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1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2.xml" ContentType="application/vnd.openxmlformats-officedocument.drawing+xml"/>
  <Override PartName="/xl/charts/chart29.xml" ContentType="application/vnd.openxmlformats-officedocument.drawingml.chart+xml"/>
  <Override PartName="/xl/drawings/drawing13.xml" ContentType="application/vnd.openxmlformats-officedocument.drawing+xml"/>
  <Override PartName="/xl/tables/table1.xml" ContentType="application/vnd.openxmlformats-officedocument.spreadsheetml.table+xml"/>
  <Override PartName="/xl/charts/chart30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4.xml" ContentType="application/vnd.openxmlformats-officedocument.drawing+xml"/>
  <Override PartName="/xl/charts/chart3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6.xml" ContentType="application/vnd.openxmlformats-officedocument.drawing+xml"/>
  <Override PartName="/xl/charts/chart3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7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Research_Project_Shkurte_Esati\Code\Results\"/>
    </mc:Choice>
  </mc:AlternateContent>
  <bookViews>
    <workbookView xWindow="360" yWindow="45" windowWidth="9555" windowHeight="4950" firstSheet="12" activeTab="18"/>
  </bookViews>
  <sheets>
    <sheet name="MPLS_Demands" sheetId="2" r:id="rId1"/>
    <sheet name="Failure-free" sheetId="1" r:id="rId2"/>
    <sheet name="Shut-off lambda" sheetId="4" r:id="rId3"/>
    <sheet name="Multiple-path Reroute" sheetId="15" r:id="rId4"/>
    <sheet name="Selective 0&lt;alpha&lt;1" sheetId="16" r:id="rId5"/>
    <sheet name="BDF" sheetId="5" r:id="rId6"/>
    <sheet name="SDF" sheetId="6" r:id="rId7"/>
    <sheet name="Single-hop Reroute" sheetId="8" r:id="rId8"/>
    <sheet name="No-Rerouting" sheetId="9" r:id="rId9"/>
    <sheet name="ES-EP" sheetId="10" r:id="rId10"/>
    <sheet name="US-EP" sheetId="11" r:id="rId11"/>
    <sheet name="US-UP" sheetId="12" r:id="rId12"/>
    <sheet name="US" sheetId="13" r:id="rId13"/>
    <sheet name="Simulation" sheetId="14" r:id="rId14"/>
    <sheet name="FlowThinning" sheetId="17" r:id="rId15"/>
    <sheet name="FlowThinningModularCapacities" sheetId="18" r:id="rId16"/>
    <sheet name="AffineFlowThinning" sheetId="19" r:id="rId17"/>
    <sheet name="AffineFlowThinningModularCapaci" sheetId="20" r:id="rId18"/>
    <sheet name="conclusion" sheetId="7" r:id="rId19"/>
  </sheets>
  <calcPr calcId="162913"/>
</workbook>
</file>

<file path=xl/calcChain.xml><?xml version="1.0" encoding="utf-8"?>
<calcChain xmlns="http://schemas.openxmlformats.org/spreadsheetml/2006/main">
  <c r="L18" i="18" l="1"/>
  <c r="N16" i="20" l="1"/>
  <c r="M16" i="20"/>
  <c r="Q15" i="20"/>
  <c r="M15" i="20"/>
  <c r="Q14" i="20"/>
  <c r="M14" i="20"/>
  <c r="Q13" i="20"/>
  <c r="M13" i="20"/>
  <c r="P12" i="20"/>
  <c r="M12" i="20"/>
  <c r="P11" i="20"/>
  <c r="N11" i="20"/>
  <c r="M11" i="20"/>
  <c r="O10" i="20"/>
  <c r="N10" i="20"/>
  <c r="M10" i="20"/>
  <c r="Q9" i="20"/>
  <c r="N9" i="20"/>
  <c r="M9" i="20"/>
  <c r="Q8" i="20"/>
  <c r="P8" i="20"/>
  <c r="O8" i="20"/>
  <c r="N8" i="20"/>
  <c r="M8" i="20"/>
  <c r="O7" i="20"/>
  <c r="M7" i="20"/>
  <c r="Q6" i="20"/>
  <c r="O6" i="20"/>
  <c r="N6" i="20"/>
  <c r="M6" i="20"/>
  <c r="Q5" i="20"/>
  <c r="M5" i="20"/>
  <c r="H31" i="20" l="1"/>
  <c r="I29" i="20"/>
  <c r="I28" i="20"/>
  <c r="I27" i="20"/>
  <c r="I26" i="20"/>
  <c r="I25" i="20"/>
  <c r="I24" i="20"/>
  <c r="I23" i="20"/>
  <c r="I22" i="20"/>
  <c r="I21" i="20"/>
  <c r="I20" i="20"/>
  <c r="I19" i="20"/>
  <c r="I18" i="20"/>
  <c r="I17" i="20"/>
  <c r="I16" i="20"/>
  <c r="I15" i="20"/>
  <c r="I14" i="20"/>
  <c r="I13" i="20"/>
  <c r="I12" i="20"/>
  <c r="I11" i="20"/>
  <c r="I10" i="20"/>
  <c r="I9" i="20"/>
  <c r="I8" i="20"/>
  <c r="I7" i="20"/>
  <c r="I6" i="20"/>
  <c r="I5" i="20"/>
  <c r="H16" i="19"/>
  <c r="I14" i="19"/>
  <c r="I13" i="19"/>
  <c r="I12" i="19"/>
  <c r="I11" i="19"/>
  <c r="I10" i="19"/>
  <c r="I9" i="19"/>
  <c r="I8" i="19"/>
  <c r="I7" i="19"/>
  <c r="I6" i="19"/>
  <c r="H15" i="19"/>
  <c r="R16" i="20"/>
  <c r="R15" i="20"/>
  <c r="R14" i="20"/>
  <c r="R13" i="20"/>
  <c r="R12" i="20"/>
  <c r="R11" i="20"/>
  <c r="R10" i="20"/>
  <c r="R9" i="20"/>
  <c r="N17" i="20"/>
  <c r="R8" i="20"/>
  <c r="R7" i="20"/>
  <c r="Q17" i="20"/>
  <c r="P17" i="20"/>
  <c r="O17" i="20"/>
  <c r="R6" i="20"/>
  <c r="R5" i="20"/>
  <c r="N19" i="19"/>
  <c r="M19" i="19"/>
  <c r="Q18" i="19"/>
  <c r="N18" i="19"/>
  <c r="M18" i="19"/>
  <c r="Q17" i="19"/>
  <c r="Q19" i="19" s="1"/>
  <c r="P17" i="19"/>
  <c r="P18" i="19" s="1"/>
  <c r="O17" i="19"/>
  <c r="O18" i="19" s="1"/>
  <c r="R18" i="19" s="1"/>
  <c r="N17" i="19"/>
  <c r="M17" i="19"/>
  <c r="R16" i="19"/>
  <c r="R15" i="19"/>
  <c r="R14" i="19"/>
  <c r="R13" i="19"/>
  <c r="R12" i="19"/>
  <c r="R11" i="19"/>
  <c r="R10" i="19"/>
  <c r="R9" i="19"/>
  <c r="R8" i="19"/>
  <c r="R7" i="19"/>
  <c r="R6" i="19"/>
  <c r="R5" i="19"/>
  <c r="R17" i="19" s="1"/>
  <c r="L16" i="18"/>
  <c r="K16" i="18"/>
  <c r="O15" i="18"/>
  <c r="K15" i="18"/>
  <c r="P15" i="18" s="1"/>
  <c r="O14" i="18"/>
  <c r="K14" i="18"/>
  <c r="P14" i="18" s="1"/>
  <c r="O13" i="18"/>
  <c r="K13" i="18"/>
  <c r="P13" i="18" s="1"/>
  <c r="N12" i="18"/>
  <c r="K12" i="18"/>
  <c r="N11" i="18"/>
  <c r="L11" i="18"/>
  <c r="K11" i="18"/>
  <c r="M10" i="18"/>
  <c r="L10" i="18"/>
  <c r="K10" i="18"/>
  <c r="P10" i="18" s="1"/>
  <c r="O9" i="18"/>
  <c r="L9" i="18"/>
  <c r="K9" i="18"/>
  <c r="O8" i="18"/>
  <c r="N8" i="18"/>
  <c r="N17" i="18" s="1"/>
  <c r="M8" i="18"/>
  <c r="M17" i="18" s="1"/>
  <c r="L8" i="18"/>
  <c r="K8" i="18"/>
  <c r="P8" i="18" s="1"/>
  <c r="M7" i="18"/>
  <c r="K7" i="18"/>
  <c r="O6" i="18"/>
  <c r="M6" i="18"/>
  <c r="L6" i="18"/>
  <c r="L17" i="18" s="1"/>
  <c r="K6" i="18"/>
  <c r="P6" i="18" s="1"/>
  <c r="O5" i="18"/>
  <c r="K5" i="18"/>
  <c r="P16" i="18"/>
  <c r="P12" i="18"/>
  <c r="P11" i="18"/>
  <c r="P9" i="18"/>
  <c r="P7" i="18"/>
  <c r="O17" i="18"/>
  <c r="K17" i="18"/>
  <c r="Q20" i="17"/>
  <c r="P19" i="17"/>
  <c r="O19" i="17"/>
  <c r="Q18" i="17"/>
  <c r="Q19" i="17" s="1"/>
  <c r="P18" i="17"/>
  <c r="P20" i="17" s="1"/>
  <c r="O18" i="17"/>
  <c r="O20" i="17" s="1"/>
  <c r="N18" i="17"/>
  <c r="N19" i="17" s="1"/>
  <c r="M18" i="17"/>
  <c r="M19" i="17" s="1"/>
  <c r="R19" i="17" s="1"/>
  <c r="R17" i="17"/>
  <c r="R16" i="17"/>
  <c r="R15" i="17"/>
  <c r="R14" i="17"/>
  <c r="R13" i="17"/>
  <c r="R12" i="17"/>
  <c r="R11" i="17"/>
  <c r="R10" i="17"/>
  <c r="R9" i="17"/>
  <c r="R8" i="17"/>
  <c r="R7" i="17"/>
  <c r="R6" i="17"/>
  <c r="R18" i="17" s="1"/>
  <c r="H10" i="17"/>
  <c r="H11" i="17" s="1"/>
  <c r="I8" i="17"/>
  <c r="I7" i="17"/>
  <c r="R17" i="20" l="1"/>
  <c r="N18" i="20"/>
  <c r="N19" i="20"/>
  <c r="O19" i="20"/>
  <c r="O18" i="20"/>
  <c r="P19" i="20"/>
  <c r="P18" i="20"/>
  <c r="Q18" i="20"/>
  <c r="Q19" i="20"/>
  <c r="M17" i="20"/>
  <c r="O19" i="19"/>
  <c r="R19" i="19" s="1"/>
  <c r="P19" i="19"/>
  <c r="N18" i="18"/>
  <c r="N19" i="18"/>
  <c r="K18" i="18"/>
  <c r="K19" i="18"/>
  <c r="L19" i="18"/>
  <c r="O18" i="18"/>
  <c r="O19" i="18"/>
  <c r="M18" i="18"/>
  <c r="M19" i="18"/>
  <c r="P5" i="18"/>
  <c r="P17" i="18" s="1"/>
  <c r="M20" i="17"/>
  <c r="N20" i="17"/>
  <c r="M18" i="20" l="1"/>
  <c r="R18" i="20" s="1"/>
  <c r="M19" i="20"/>
  <c r="R19" i="20" s="1"/>
  <c r="P19" i="18"/>
  <c r="P18" i="18"/>
  <c r="R20" i="17"/>
  <c r="D35" i="20" l="1"/>
  <c r="B35" i="20"/>
  <c r="C34" i="20"/>
  <c r="C33" i="20"/>
  <c r="C32" i="20"/>
  <c r="C31" i="20"/>
  <c r="C30" i="20"/>
  <c r="C29" i="20"/>
  <c r="C28" i="20"/>
  <c r="C27" i="20"/>
  <c r="C26" i="20"/>
  <c r="C25" i="20"/>
  <c r="C24" i="20"/>
  <c r="C23" i="20"/>
  <c r="C22" i="20"/>
  <c r="C21" i="20"/>
  <c r="C20" i="20"/>
  <c r="C19" i="20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D35" i="19"/>
  <c r="B35" i="19"/>
  <c r="C34" i="19"/>
  <c r="C33" i="19"/>
  <c r="C32" i="19"/>
  <c r="C31" i="19"/>
  <c r="C30" i="19"/>
  <c r="C29" i="19"/>
  <c r="C28" i="19"/>
  <c r="C27" i="19"/>
  <c r="C26" i="19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D35" i="18"/>
  <c r="B35" i="18"/>
  <c r="C34" i="18"/>
  <c r="C33" i="18"/>
  <c r="C32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4" i="17"/>
  <c r="D35" i="17"/>
  <c r="C33" i="17"/>
  <c r="C32" i="17"/>
  <c r="C31" i="17"/>
  <c r="C30" i="17"/>
  <c r="C29" i="17"/>
  <c r="C25" i="17"/>
  <c r="C24" i="17"/>
  <c r="C23" i="17"/>
  <c r="C22" i="17"/>
  <c r="C21" i="17"/>
  <c r="C17" i="17"/>
  <c r="C16" i="17"/>
  <c r="C15" i="17"/>
  <c r="C14" i="17"/>
  <c r="C9" i="17"/>
  <c r="C8" i="17"/>
  <c r="C7" i="17"/>
  <c r="B35" i="17"/>
  <c r="C34" i="17"/>
  <c r="C28" i="17"/>
  <c r="C27" i="17"/>
  <c r="C26" i="17"/>
  <c r="C20" i="17"/>
  <c r="C19" i="17"/>
  <c r="C18" i="17"/>
  <c r="C12" i="17"/>
  <c r="C11" i="17"/>
  <c r="C10" i="17"/>
  <c r="C6" i="17"/>
  <c r="C5" i="17"/>
  <c r="C35" i="20" l="1"/>
  <c r="C35" i="19"/>
  <c r="C35" i="18"/>
  <c r="C13" i="17"/>
  <c r="C35" i="17" s="1"/>
  <c r="AF36" i="13" l="1"/>
  <c r="AE36" i="13"/>
  <c r="AD36" i="13"/>
  <c r="AC36" i="13"/>
  <c r="AB36" i="13"/>
  <c r="AG36" i="13" s="1"/>
  <c r="AF35" i="13"/>
  <c r="AE35" i="13"/>
  <c r="AD35" i="13"/>
  <c r="AG35" i="13" s="1"/>
  <c r="AC35" i="13"/>
  <c r="AB35" i="13"/>
  <c r="AF34" i="13"/>
  <c r="AE34" i="13"/>
  <c r="AD34" i="13"/>
  <c r="AC34" i="13"/>
  <c r="AB34" i="13"/>
  <c r="AG34" i="13" s="1"/>
  <c r="AF33" i="13"/>
  <c r="AE33" i="13"/>
  <c r="AD33" i="13"/>
  <c r="AC33" i="13"/>
  <c r="AB33" i="13"/>
  <c r="AG33" i="13" s="1"/>
  <c r="AF32" i="13"/>
  <c r="AE32" i="13"/>
  <c r="AD32" i="13"/>
  <c r="AC32" i="13"/>
  <c r="AB32" i="13"/>
  <c r="AG32" i="13" s="1"/>
  <c r="AF31" i="13"/>
  <c r="AE31" i="13"/>
  <c r="AD31" i="13"/>
  <c r="AG31" i="13" s="1"/>
  <c r="AC31" i="13"/>
  <c r="AB31" i="13"/>
  <c r="AF30" i="13"/>
  <c r="AE30" i="13"/>
  <c r="AD30" i="13"/>
  <c r="AC30" i="13"/>
  <c r="AB30" i="13"/>
  <c r="AG30" i="13" s="1"/>
  <c r="AF29" i="13"/>
  <c r="AE29" i="13"/>
  <c r="AD29" i="13"/>
  <c r="AC29" i="13"/>
  <c r="AB29" i="13"/>
  <c r="AG29" i="13" s="1"/>
  <c r="AF28" i="13"/>
  <c r="AE28" i="13"/>
  <c r="AD28" i="13"/>
  <c r="AC28" i="13"/>
  <c r="AB28" i="13"/>
  <c r="AG28" i="13" s="1"/>
  <c r="AF27" i="13"/>
  <c r="AE27" i="13"/>
  <c r="AD27" i="13"/>
  <c r="AG27" i="13" s="1"/>
  <c r="AC27" i="13"/>
  <c r="AB27" i="13"/>
  <c r="AF26" i="13"/>
  <c r="AE26" i="13"/>
  <c r="AD26" i="13"/>
  <c r="AC26" i="13"/>
  <c r="AB26" i="13"/>
  <c r="AG26" i="13" s="1"/>
  <c r="AF25" i="13"/>
  <c r="AF37" i="13" s="1"/>
  <c r="AE25" i="13"/>
  <c r="AE37" i="13" s="1"/>
  <c r="AD25" i="13"/>
  <c r="AD37" i="13" s="1"/>
  <c r="AC25" i="13"/>
  <c r="AC37" i="13" s="1"/>
  <c r="AB25" i="13"/>
  <c r="AB37" i="13" s="1"/>
  <c r="AG16" i="13"/>
  <c r="AG17" i="13" s="1"/>
  <c r="AI15" i="13"/>
  <c r="AH15" i="13"/>
  <c r="AL15" i="13" s="1"/>
  <c r="AJ14" i="13"/>
  <c r="AI14" i="13"/>
  <c r="AH14" i="13"/>
  <c r="AL14" i="13" s="1"/>
  <c r="AL13" i="13"/>
  <c r="AJ13" i="13"/>
  <c r="AI13" i="13"/>
  <c r="AL12" i="13"/>
  <c r="AI12" i="13"/>
  <c r="AH12" i="13"/>
  <c r="AJ11" i="13"/>
  <c r="AI11" i="13"/>
  <c r="AL11" i="13" s="1"/>
  <c r="AH11" i="13"/>
  <c r="AL10" i="13"/>
  <c r="AK10" i="13"/>
  <c r="AJ10" i="13"/>
  <c r="AI10" i="13"/>
  <c r="AJ9" i="13"/>
  <c r="AI9" i="13"/>
  <c r="AL9" i="13" s="1"/>
  <c r="AH9" i="13"/>
  <c r="AL8" i="13"/>
  <c r="AJ8" i="13"/>
  <c r="AI8" i="13"/>
  <c r="AJ7" i="13"/>
  <c r="AJ16" i="13" s="1"/>
  <c r="AI7" i="13"/>
  <c r="AH7" i="13"/>
  <c r="AL7" i="13" s="1"/>
  <c r="AK6" i="13"/>
  <c r="AI6" i="13"/>
  <c r="AL6" i="13" s="1"/>
  <c r="AK5" i="13"/>
  <c r="AK16" i="13" s="1"/>
  <c r="AI5" i="13"/>
  <c r="AH5" i="13"/>
  <c r="AL5" i="13" s="1"/>
  <c r="AL4" i="13"/>
  <c r="AJ4" i="13"/>
  <c r="AI4" i="13"/>
  <c r="AI16" i="13" s="1"/>
  <c r="AH4" i="13"/>
  <c r="AH16" i="13" s="1"/>
  <c r="AF36" i="12"/>
  <c r="AE36" i="12"/>
  <c r="AD36" i="12"/>
  <c r="AC36" i="12"/>
  <c r="AB36" i="12"/>
  <c r="AG36" i="12" s="1"/>
  <c r="AF35" i="12"/>
  <c r="AE35" i="12"/>
  <c r="AD35" i="12"/>
  <c r="AC35" i="12"/>
  <c r="AG35" i="12" s="1"/>
  <c r="AB35" i="12"/>
  <c r="AF34" i="12"/>
  <c r="AE34" i="12"/>
  <c r="AD34" i="12"/>
  <c r="AC34" i="12"/>
  <c r="AG34" i="12" s="1"/>
  <c r="AB34" i="12"/>
  <c r="AF33" i="12"/>
  <c r="AE33" i="12"/>
  <c r="AD33" i="12"/>
  <c r="AC33" i="12"/>
  <c r="AB33" i="12"/>
  <c r="AG33" i="12" s="1"/>
  <c r="AF32" i="12"/>
  <c r="AE32" i="12"/>
  <c r="AD32" i="12"/>
  <c r="AC32" i="12"/>
  <c r="AB32" i="12"/>
  <c r="AG32" i="12" s="1"/>
  <c r="AF31" i="12"/>
  <c r="AE31" i="12"/>
  <c r="AD31" i="12"/>
  <c r="AC31" i="12"/>
  <c r="AG31" i="12" s="1"/>
  <c r="AB31" i="12"/>
  <c r="AF30" i="12"/>
  <c r="AE30" i="12"/>
  <c r="AD30" i="12"/>
  <c r="AC30" i="12"/>
  <c r="AG30" i="12" s="1"/>
  <c r="AB30" i="12"/>
  <c r="AF29" i="12"/>
  <c r="AE29" i="12"/>
  <c r="AD29" i="12"/>
  <c r="AC29" i="12"/>
  <c r="AB29" i="12"/>
  <c r="AG29" i="12" s="1"/>
  <c r="AF28" i="12"/>
  <c r="AE28" i="12"/>
  <c r="AD28" i="12"/>
  <c r="AC28" i="12"/>
  <c r="AB28" i="12"/>
  <c r="AG28" i="12" s="1"/>
  <c r="AF27" i="12"/>
  <c r="AE27" i="12"/>
  <c r="AD27" i="12"/>
  <c r="AC27" i="12"/>
  <c r="AG27" i="12" s="1"/>
  <c r="AB27" i="12"/>
  <c r="AF26" i="12"/>
  <c r="AE26" i="12"/>
  <c r="AD26" i="12"/>
  <c r="AC26" i="12"/>
  <c r="AG26" i="12" s="1"/>
  <c r="AB26" i="12"/>
  <c r="AF25" i="12"/>
  <c r="AF37" i="12" s="1"/>
  <c r="AE25" i="12"/>
  <c r="AE37" i="12" s="1"/>
  <c r="AD25" i="12"/>
  <c r="AD37" i="12" s="1"/>
  <c r="AC25" i="12"/>
  <c r="AC37" i="12" s="1"/>
  <c r="AB25" i="12"/>
  <c r="AB37" i="12" s="1"/>
  <c r="AG16" i="12"/>
  <c r="AG17" i="12" s="1"/>
  <c r="AI15" i="12"/>
  <c r="AH15" i="12"/>
  <c r="AL15" i="12" s="1"/>
  <c r="AJ14" i="12"/>
  <c r="AI14" i="12"/>
  <c r="AH14" i="12"/>
  <c r="AL14" i="12" s="1"/>
  <c r="AL13" i="12"/>
  <c r="AJ13" i="12"/>
  <c r="AI13" i="12"/>
  <c r="AL12" i="12"/>
  <c r="AI12" i="12"/>
  <c r="AH12" i="12"/>
  <c r="AJ11" i="12"/>
  <c r="AI11" i="12"/>
  <c r="AL11" i="12" s="1"/>
  <c r="AH11" i="12"/>
  <c r="AL10" i="12"/>
  <c r="AK10" i="12"/>
  <c r="AJ10" i="12"/>
  <c r="AI10" i="12"/>
  <c r="AJ9" i="12"/>
  <c r="AI9" i="12"/>
  <c r="AL9" i="12" s="1"/>
  <c r="AH9" i="12"/>
  <c r="AL8" i="12"/>
  <c r="AJ8" i="12"/>
  <c r="AI8" i="12"/>
  <c r="AJ7" i="12"/>
  <c r="AJ16" i="12" s="1"/>
  <c r="AI7" i="12"/>
  <c r="AH7" i="12"/>
  <c r="AL7" i="12" s="1"/>
  <c r="AK6" i="12"/>
  <c r="AI6" i="12"/>
  <c r="AL6" i="12" s="1"/>
  <c r="AK5" i="12"/>
  <c r="AK16" i="12" s="1"/>
  <c r="AI5" i="12"/>
  <c r="AH5" i="12"/>
  <c r="AL5" i="12" s="1"/>
  <c r="AL4" i="12"/>
  <c r="AL16" i="12" s="1"/>
  <c r="AJ4" i="12"/>
  <c r="AI4" i="12"/>
  <c r="AI16" i="12" s="1"/>
  <c r="AH4" i="12"/>
  <c r="AH16" i="12" s="1"/>
  <c r="AF36" i="11"/>
  <c r="AE36" i="11"/>
  <c r="AD36" i="11"/>
  <c r="AC36" i="11"/>
  <c r="AB36" i="11"/>
  <c r="AG36" i="11" s="1"/>
  <c r="AF35" i="11"/>
  <c r="AE35" i="11"/>
  <c r="AD35" i="11"/>
  <c r="AC35" i="11"/>
  <c r="AG35" i="11" s="1"/>
  <c r="AB35" i="11"/>
  <c r="AF34" i="11"/>
  <c r="AE34" i="11"/>
  <c r="AD34" i="11"/>
  <c r="AC34" i="11"/>
  <c r="AG34" i="11" s="1"/>
  <c r="AB34" i="11"/>
  <c r="AF33" i="11"/>
  <c r="AE33" i="11"/>
  <c r="AD33" i="11"/>
  <c r="AC33" i="11"/>
  <c r="AB33" i="11"/>
  <c r="AG33" i="11" s="1"/>
  <c r="AG32" i="11"/>
  <c r="AF32" i="11"/>
  <c r="AE32" i="11"/>
  <c r="AD32" i="11"/>
  <c r="AC32" i="11"/>
  <c r="AB32" i="11"/>
  <c r="AF31" i="11"/>
  <c r="AE31" i="11"/>
  <c r="AD31" i="11"/>
  <c r="AC31" i="11"/>
  <c r="AG31" i="11" s="1"/>
  <c r="AB31" i="11"/>
  <c r="AF30" i="11"/>
  <c r="AE30" i="11"/>
  <c r="AD30" i="11"/>
  <c r="AC30" i="11"/>
  <c r="AG30" i="11" s="1"/>
  <c r="AB30" i="11"/>
  <c r="AF29" i="11"/>
  <c r="AE29" i="11"/>
  <c r="AD29" i="11"/>
  <c r="AC29" i="11"/>
  <c r="AB29" i="11"/>
  <c r="AG29" i="11" s="1"/>
  <c r="AG28" i="11"/>
  <c r="AF28" i="11"/>
  <c r="AE28" i="11"/>
  <c r="AD28" i="11"/>
  <c r="AC28" i="11"/>
  <c r="AB28" i="11"/>
  <c r="AF27" i="11"/>
  <c r="AE27" i="11"/>
  <c r="AD27" i="11"/>
  <c r="AC27" i="11"/>
  <c r="AG27" i="11" s="1"/>
  <c r="AB27" i="11"/>
  <c r="AF26" i="11"/>
  <c r="AE26" i="11"/>
  <c r="AD26" i="11"/>
  <c r="AC26" i="11"/>
  <c r="AG26" i="11" s="1"/>
  <c r="AB26" i="11"/>
  <c r="AF25" i="11"/>
  <c r="AF37" i="11" s="1"/>
  <c r="AE25" i="11"/>
  <c r="AE37" i="11" s="1"/>
  <c r="AD25" i="11"/>
  <c r="AD37" i="11" s="1"/>
  <c r="AC25" i="11"/>
  <c r="AC37" i="11" s="1"/>
  <c r="AB25" i="11"/>
  <c r="AB37" i="11" s="1"/>
  <c r="AG18" i="11"/>
  <c r="AK16" i="11"/>
  <c r="AK18" i="11" s="1"/>
  <c r="AG16" i="11"/>
  <c r="AG17" i="11" s="1"/>
  <c r="AI15" i="11"/>
  <c r="AH15" i="11"/>
  <c r="AL15" i="11" s="1"/>
  <c r="AL14" i="11"/>
  <c r="AJ14" i="11"/>
  <c r="AI14" i="11"/>
  <c r="AH14" i="11"/>
  <c r="AJ13" i="11"/>
  <c r="AI13" i="11"/>
  <c r="AL13" i="11" s="1"/>
  <c r="AI12" i="11"/>
  <c r="AL12" i="11" s="1"/>
  <c r="AH12" i="11"/>
  <c r="AL11" i="11"/>
  <c r="AJ11" i="11"/>
  <c r="AI11" i="11"/>
  <c r="AH11" i="11"/>
  <c r="AK10" i="11"/>
  <c r="AJ10" i="11"/>
  <c r="AI10" i="11"/>
  <c r="AL10" i="11" s="1"/>
  <c r="AL9" i="11"/>
  <c r="AJ9" i="11"/>
  <c r="AI9" i="11"/>
  <c r="AH9" i="11"/>
  <c r="AJ8" i="11"/>
  <c r="AI8" i="11"/>
  <c r="AL8" i="11" s="1"/>
  <c r="AJ7" i="11"/>
  <c r="AJ16" i="11" s="1"/>
  <c r="AI7" i="11"/>
  <c r="AL7" i="11" s="1"/>
  <c r="AH7" i="11"/>
  <c r="AK6" i="11"/>
  <c r="AI6" i="11"/>
  <c r="AL6" i="11" s="1"/>
  <c r="AL5" i="11"/>
  <c r="AK5" i="11"/>
  <c r="AI5" i="11"/>
  <c r="AI16" i="11" s="1"/>
  <c r="AH5" i="11"/>
  <c r="AJ4" i="11"/>
  <c r="AI4" i="11"/>
  <c r="AH4" i="11"/>
  <c r="AH16" i="11" s="1"/>
  <c r="AF38" i="10"/>
  <c r="AD38" i="10"/>
  <c r="AC38" i="10"/>
  <c r="AB39" i="10"/>
  <c r="AF36" i="10"/>
  <c r="AE36" i="10"/>
  <c r="AD36" i="10"/>
  <c r="AC36" i="10"/>
  <c r="AB36" i="10"/>
  <c r="AG36" i="10" s="1"/>
  <c r="AF35" i="10"/>
  <c r="AE35" i="10"/>
  <c r="AD35" i="10"/>
  <c r="AC35" i="10"/>
  <c r="AB35" i="10"/>
  <c r="AG35" i="10" s="1"/>
  <c r="AF34" i="10"/>
  <c r="AE34" i="10"/>
  <c r="AD34" i="10"/>
  <c r="AG34" i="10" s="1"/>
  <c r="AC34" i="10"/>
  <c r="AB34" i="10"/>
  <c r="AF33" i="10"/>
  <c r="AE33" i="10"/>
  <c r="AD33" i="10"/>
  <c r="AC33" i="10"/>
  <c r="AB33" i="10"/>
  <c r="AG33" i="10" s="1"/>
  <c r="AF32" i="10"/>
  <c r="AE32" i="10"/>
  <c r="AD32" i="10"/>
  <c r="AC32" i="10"/>
  <c r="AB32" i="10"/>
  <c r="AG32" i="10" s="1"/>
  <c r="AF31" i="10"/>
  <c r="AE31" i="10"/>
  <c r="AD31" i="10"/>
  <c r="AC31" i="10"/>
  <c r="AB31" i="10"/>
  <c r="AG31" i="10" s="1"/>
  <c r="AF30" i="10"/>
  <c r="AE30" i="10"/>
  <c r="AD30" i="10"/>
  <c r="AG30" i="10" s="1"/>
  <c r="AC30" i="10"/>
  <c r="AB30" i="10"/>
  <c r="AF29" i="10"/>
  <c r="AE29" i="10"/>
  <c r="AD29" i="10"/>
  <c r="AC29" i="10"/>
  <c r="AB29" i="10"/>
  <c r="AG29" i="10" s="1"/>
  <c r="AF28" i="10"/>
  <c r="AE28" i="10"/>
  <c r="AD28" i="10"/>
  <c r="AC28" i="10"/>
  <c r="AB28" i="10"/>
  <c r="AG28" i="10" s="1"/>
  <c r="AF27" i="10"/>
  <c r="AE27" i="10"/>
  <c r="AD27" i="10"/>
  <c r="AC27" i="10"/>
  <c r="AB27" i="10"/>
  <c r="AG27" i="10" s="1"/>
  <c r="AF26" i="10"/>
  <c r="AE26" i="10"/>
  <c r="AD26" i="10"/>
  <c r="AG26" i="10" s="1"/>
  <c r="AC26" i="10"/>
  <c r="AB26" i="10"/>
  <c r="AF25" i="10"/>
  <c r="AF37" i="10" s="1"/>
  <c r="AE25" i="10"/>
  <c r="AE37" i="10" s="1"/>
  <c r="AD25" i="10"/>
  <c r="AD37" i="10" s="1"/>
  <c r="AC25" i="10"/>
  <c r="AC37" i="10" s="1"/>
  <c r="AB25" i="10"/>
  <c r="AB37" i="10" s="1"/>
  <c r="AG16" i="10"/>
  <c r="AG17" i="10" s="1"/>
  <c r="AL15" i="10"/>
  <c r="AI15" i="10"/>
  <c r="AH15" i="10"/>
  <c r="AJ14" i="10"/>
  <c r="AI14" i="10"/>
  <c r="AH14" i="10"/>
  <c r="AL14" i="10" s="1"/>
  <c r="AL13" i="10"/>
  <c r="AJ13" i="10"/>
  <c r="AI13" i="10"/>
  <c r="AL12" i="10"/>
  <c r="AI12" i="10"/>
  <c r="AH12" i="10"/>
  <c r="AJ11" i="10"/>
  <c r="AI11" i="10"/>
  <c r="AH11" i="10"/>
  <c r="AL11" i="10" s="1"/>
  <c r="AK10" i="10"/>
  <c r="AJ10" i="10"/>
  <c r="AI10" i="10"/>
  <c r="AL10" i="10" s="1"/>
  <c r="AJ9" i="10"/>
  <c r="AI9" i="10"/>
  <c r="AH9" i="10"/>
  <c r="AL9" i="10" s="1"/>
  <c r="AJ8" i="10"/>
  <c r="AI8" i="10"/>
  <c r="AL8" i="10" s="1"/>
  <c r="AJ7" i="10"/>
  <c r="AI7" i="10"/>
  <c r="AH7" i="10"/>
  <c r="AL7" i="10" s="1"/>
  <c r="AL6" i="10"/>
  <c r="AK6" i="10"/>
  <c r="AI6" i="10"/>
  <c r="AK5" i="10"/>
  <c r="AK16" i="10" s="1"/>
  <c r="AI5" i="10"/>
  <c r="AI16" i="10" s="1"/>
  <c r="AH5" i="10"/>
  <c r="AL5" i="10" s="1"/>
  <c r="AJ4" i="10"/>
  <c r="AL4" i="10" s="1"/>
  <c r="AL16" i="10" s="1"/>
  <c r="AI4" i="10"/>
  <c r="AH4" i="10"/>
  <c r="AH16" i="10" s="1"/>
  <c r="AI41" i="9"/>
  <c r="AI40" i="9"/>
  <c r="AH41" i="9"/>
  <c r="AH40" i="9"/>
  <c r="AG41" i="9"/>
  <c r="AG40" i="9"/>
  <c r="AF41" i="9"/>
  <c r="AF40" i="9"/>
  <c r="AE41" i="9"/>
  <c r="AE40" i="9"/>
  <c r="AF27" i="9"/>
  <c r="AF39" i="9" s="1"/>
  <c r="AG27" i="9"/>
  <c r="AG39" i="9" s="1"/>
  <c r="AH27" i="9"/>
  <c r="AH39" i="9" s="1"/>
  <c r="AI27" i="9"/>
  <c r="AI39" i="9" s="1"/>
  <c r="AF28" i="9"/>
  <c r="AG28" i="9"/>
  <c r="AH28" i="9"/>
  <c r="AI28" i="9"/>
  <c r="AF29" i="9"/>
  <c r="AG29" i="9"/>
  <c r="AH29" i="9"/>
  <c r="AI29" i="9"/>
  <c r="AF30" i="9"/>
  <c r="AG30" i="9"/>
  <c r="AH30" i="9"/>
  <c r="AI30" i="9"/>
  <c r="AF31" i="9"/>
  <c r="AG31" i="9"/>
  <c r="AH31" i="9"/>
  <c r="AI31" i="9"/>
  <c r="AF32" i="9"/>
  <c r="AG32" i="9"/>
  <c r="AH32" i="9"/>
  <c r="AI32" i="9"/>
  <c r="AF33" i="9"/>
  <c r="AG33" i="9"/>
  <c r="AH33" i="9"/>
  <c r="AJ33" i="9" s="1"/>
  <c r="AI33" i="9"/>
  <c r="AF34" i="9"/>
  <c r="AG34" i="9"/>
  <c r="AH34" i="9"/>
  <c r="AI34" i="9"/>
  <c r="AF35" i="9"/>
  <c r="AJ35" i="9" s="1"/>
  <c r="AG35" i="9"/>
  <c r="AH35" i="9"/>
  <c r="AI35" i="9"/>
  <c r="AF36" i="9"/>
  <c r="AG36" i="9"/>
  <c r="AH36" i="9"/>
  <c r="AI36" i="9"/>
  <c r="AF37" i="9"/>
  <c r="AG37" i="9"/>
  <c r="AH37" i="9"/>
  <c r="AI37" i="9"/>
  <c r="AF38" i="9"/>
  <c r="AG38" i="9"/>
  <c r="AJ38" i="9" s="1"/>
  <c r="AH38" i="9"/>
  <c r="AI38" i="9"/>
  <c r="AE28" i="9"/>
  <c r="AE29" i="9"/>
  <c r="AE30" i="9"/>
  <c r="AE31" i="9"/>
  <c r="AJ31" i="9" s="1"/>
  <c r="AE32" i="9"/>
  <c r="AE33" i="9"/>
  <c r="AE34" i="9"/>
  <c r="AE35" i="9"/>
  <c r="AE36" i="9"/>
  <c r="AJ36" i="9" s="1"/>
  <c r="AE37" i="9"/>
  <c r="AE38" i="9"/>
  <c r="AE27" i="9"/>
  <c r="AN20" i="9"/>
  <c r="AN19" i="9"/>
  <c r="AM20" i="9"/>
  <c r="AM19" i="9"/>
  <c r="AL20" i="9"/>
  <c r="AL19" i="9"/>
  <c r="AK20" i="9"/>
  <c r="AK19" i="9"/>
  <c r="AJ20" i="9"/>
  <c r="AJ19" i="9"/>
  <c r="AJ34" i="9"/>
  <c r="AJ30" i="9"/>
  <c r="AJ28" i="9"/>
  <c r="AJ18" i="9"/>
  <c r="AL17" i="9"/>
  <c r="AK17" i="9"/>
  <c r="AO17" i="9" s="1"/>
  <c r="AM16" i="9"/>
  <c r="AL16" i="9"/>
  <c r="AK16" i="9"/>
  <c r="AO16" i="9" s="1"/>
  <c r="AM15" i="9"/>
  <c r="AL15" i="9"/>
  <c r="AO15" i="9" s="1"/>
  <c r="AL14" i="9"/>
  <c r="AK14" i="9"/>
  <c r="AO14" i="9" s="1"/>
  <c r="AO13" i="9"/>
  <c r="AM13" i="9"/>
  <c r="AL13" i="9"/>
  <c r="AK13" i="9"/>
  <c r="AN12" i="9"/>
  <c r="AM12" i="9"/>
  <c r="AL12" i="9"/>
  <c r="AO12" i="9" s="1"/>
  <c r="AO11" i="9"/>
  <c r="AM11" i="9"/>
  <c r="AL11" i="9"/>
  <c r="AK11" i="9"/>
  <c r="AO10" i="9"/>
  <c r="AM10" i="9"/>
  <c r="AL10" i="9"/>
  <c r="AM9" i="9"/>
  <c r="AM18" i="9" s="1"/>
  <c r="AL9" i="9"/>
  <c r="AK9" i="9"/>
  <c r="AN8" i="9"/>
  <c r="AL8" i="9"/>
  <c r="AO8" i="9" s="1"/>
  <c r="AN7" i="9"/>
  <c r="AN18" i="9" s="1"/>
  <c r="AL7" i="9"/>
  <c r="AL18" i="9" s="1"/>
  <c r="AK7" i="9"/>
  <c r="AK18" i="9" s="1"/>
  <c r="AM6" i="9"/>
  <c r="AL6" i="9"/>
  <c r="AK6" i="9"/>
  <c r="AO6" i="9" s="1"/>
  <c r="AR77" i="8"/>
  <c r="AR78" i="8"/>
  <c r="AQ78" i="8"/>
  <c r="AQ77" i="8"/>
  <c r="AP77" i="8"/>
  <c r="AO77" i="8"/>
  <c r="AN78" i="8"/>
  <c r="AR75" i="8"/>
  <c r="AQ75" i="8"/>
  <c r="AP75" i="8"/>
  <c r="AO75" i="8"/>
  <c r="AN75" i="8"/>
  <c r="AS75" i="8" s="1"/>
  <c r="AR74" i="8"/>
  <c r="AQ74" i="8"/>
  <c r="AP74" i="8"/>
  <c r="AO74" i="8"/>
  <c r="AN74" i="8"/>
  <c r="AS74" i="8" s="1"/>
  <c r="AR73" i="8"/>
  <c r="AS73" i="8" s="1"/>
  <c r="AQ73" i="8"/>
  <c r="AP73" i="8"/>
  <c r="AO73" i="8"/>
  <c r="AN73" i="8"/>
  <c r="AR72" i="8"/>
  <c r="AQ72" i="8"/>
  <c r="AP72" i="8"/>
  <c r="AS72" i="8" s="1"/>
  <c r="AO72" i="8"/>
  <c r="AN72" i="8"/>
  <c r="AR71" i="8"/>
  <c r="AQ71" i="8"/>
  <c r="AP71" i="8"/>
  <c r="AO71" i="8"/>
  <c r="AN71" i="8"/>
  <c r="AS71" i="8" s="1"/>
  <c r="AR70" i="8"/>
  <c r="AQ70" i="8"/>
  <c r="AP70" i="8"/>
  <c r="AO70" i="8"/>
  <c r="AN70" i="8"/>
  <c r="AS70" i="8" s="1"/>
  <c r="AR69" i="8"/>
  <c r="AQ69" i="8"/>
  <c r="AP69" i="8"/>
  <c r="AO69" i="8"/>
  <c r="AN69" i="8"/>
  <c r="AS69" i="8" s="1"/>
  <c r="AR68" i="8"/>
  <c r="AQ68" i="8"/>
  <c r="AP68" i="8"/>
  <c r="AS68" i="8" s="1"/>
  <c r="AO68" i="8"/>
  <c r="AN68" i="8"/>
  <c r="AR67" i="8"/>
  <c r="AQ67" i="8"/>
  <c r="AP67" i="8"/>
  <c r="AO67" i="8"/>
  <c r="AN67" i="8"/>
  <c r="AS67" i="8" s="1"/>
  <c r="AR66" i="8"/>
  <c r="AQ66" i="8"/>
  <c r="AP66" i="8"/>
  <c r="AO66" i="8"/>
  <c r="AN66" i="8"/>
  <c r="AS66" i="8" s="1"/>
  <c r="AR65" i="8"/>
  <c r="AQ65" i="8"/>
  <c r="AP65" i="8"/>
  <c r="AO65" i="8"/>
  <c r="AN65" i="8"/>
  <c r="AS65" i="8" s="1"/>
  <c r="AR64" i="8"/>
  <c r="AR76" i="8" s="1"/>
  <c r="AQ64" i="8"/>
  <c r="AQ76" i="8" s="1"/>
  <c r="AP64" i="8"/>
  <c r="AS64" i="8" s="1"/>
  <c r="AS76" i="8" s="1"/>
  <c r="AO64" i="8"/>
  <c r="AO76" i="8" s="1"/>
  <c r="AN64" i="8"/>
  <c r="AN76" i="8" s="1"/>
  <c r="AF85" i="8"/>
  <c r="AF84" i="8"/>
  <c r="AF83" i="8"/>
  <c r="AH82" i="8"/>
  <c r="AG82" i="8"/>
  <c r="AK82" i="8" s="1"/>
  <c r="AI81" i="8"/>
  <c r="AH81" i="8"/>
  <c r="AK81" i="8" s="1"/>
  <c r="AG81" i="8"/>
  <c r="AI80" i="8"/>
  <c r="AH80" i="8"/>
  <c r="AK80" i="8" s="1"/>
  <c r="AH79" i="8"/>
  <c r="AG79" i="8"/>
  <c r="AK79" i="8" s="1"/>
  <c r="AK78" i="8"/>
  <c r="AI78" i="8"/>
  <c r="AH78" i="8"/>
  <c r="AG78" i="8"/>
  <c r="AJ77" i="8"/>
  <c r="AI77" i="8"/>
  <c r="AH77" i="8"/>
  <c r="AK77" i="8" s="1"/>
  <c r="AK76" i="8"/>
  <c r="AI76" i="8"/>
  <c r="AH76" i="8"/>
  <c r="AG76" i="8"/>
  <c r="AI75" i="8"/>
  <c r="AH75" i="8"/>
  <c r="AK75" i="8" s="1"/>
  <c r="AI74" i="8"/>
  <c r="AK74" i="8" s="1"/>
  <c r="AH74" i="8"/>
  <c r="AG74" i="8"/>
  <c r="AJ73" i="8"/>
  <c r="AH73" i="8"/>
  <c r="AK73" i="8" s="1"/>
  <c r="AJ72" i="8"/>
  <c r="AJ83" i="8" s="1"/>
  <c r="AH72" i="8"/>
  <c r="AK72" i="8" s="1"/>
  <c r="AG72" i="8"/>
  <c r="AI71" i="8"/>
  <c r="AH71" i="8"/>
  <c r="AG71" i="8"/>
  <c r="AG83" i="8" s="1"/>
  <c r="AG38" i="6"/>
  <c r="AG37" i="6"/>
  <c r="AF38" i="6"/>
  <c r="AF37" i="6"/>
  <c r="AE38" i="6"/>
  <c r="AE37" i="6"/>
  <c r="AD38" i="6"/>
  <c r="AD37" i="6"/>
  <c r="AC38" i="6"/>
  <c r="AC37" i="6"/>
  <c r="AH18" i="6"/>
  <c r="AL18" i="6"/>
  <c r="AL17" i="6"/>
  <c r="AK18" i="6"/>
  <c r="AK17" i="6"/>
  <c r="AJ18" i="6"/>
  <c r="AJ17" i="6"/>
  <c r="AI18" i="6"/>
  <c r="AI17" i="6"/>
  <c r="AH17" i="6"/>
  <c r="Y17" i="6"/>
  <c r="AC25" i="6"/>
  <c r="AH25" i="6" s="1"/>
  <c r="AD25" i="6"/>
  <c r="AE25" i="6"/>
  <c r="AF25" i="6"/>
  <c r="AF36" i="6" s="1"/>
  <c r="AG25" i="6"/>
  <c r="AC26" i="6"/>
  <c r="AD26" i="6"/>
  <c r="AE26" i="6"/>
  <c r="AF26" i="6"/>
  <c r="AH26" i="6" s="1"/>
  <c r="AG26" i="6"/>
  <c r="AG36" i="6" s="1"/>
  <c r="AC27" i="6"/>
  <c r="AH27" i="6" s="1"/>
  <c r="AD27" i="6"/>
  <c r="AE27" i="6"/>
  <c r="AF27" i="6"/>
  <c r="AG27" i="6"/>
  <c r="AC28" i="6"/>
  <c r="AD28" i="6"/>
  <c r="AE28" i="6"/>
  <c r="AF28" i="6"/>
  <c r="AG28" i="6"/>
  <c r="AC29" i="6"/>
  <c r="AD29" i="6"/>
  <c r="AE29" i="6"/>
  <c r="AF29" i="6"/>
  <c r="AG29" i="6"/>
  <c r="AC30" i="6"/>
  <c r="AD30" i="6"/>
  <c r="AH30" i="6" s="1"/>
  <c r="AE30" i="6"/>
  <c r="AF30" i="6"/>
  <c r="AG30" i="6"/>
  <c r="AC31" i="6"/>
  <c r="AD31" i="6"/>
  <c r="AE31" i="6"/>
  <c r="AF31" i="6"/>
  <c r="AH31" i="6" s="1"/>
  <c r="AG31" i="6"/>
  <c r="AC32" i="6"/>
  <c r="AH32" i="6" s="1"/>
  <c r="AD32" i="6"/>
  <c r="AE32" i="6"/>
  <c r="AF32" i="6"/>
  <c r="AG32" i="6"/>
  <c r="AC33" i="6"/>
  <c r="AH33" i="6" s="1"/>
  <c r="AD33" i="6"/>
  <c r="AE33" i="6"/>
  <c r="AF33" i="6"/>
  <c r="AG33" i="6"/>
  <c r="AC34" i="6"/>
  <c r="AD34" i="6"/>
  <c r="AE34" i="6"/>
  <c r="AH34" i="6" s="1"/>
  <c r="AF34" i="6"/>
  <c r="AG34" i="6"/>
  <c r="AC35" i="6"/>
  <c r="AH35" i="6" s="1"/>
  <c r="AD35" i="6"/>
  <c r="AE35" i="6"/>
  <c r="AF35" i="6"/>
  <c r="AG35" i="6"/>
  <c r="AD24" i="6"/>
  <c r="AE24" i="6"/>
  <c r="AF24" i="6"/>
  <c r="AG24" i="6"/>
  <c r="AC24" i="6"/>
  <c r="AH29" i="6"/>
  <c r="AH28" i="6"/>
  <c r="AH16" i="6"/>
  <c r="AJ15" i="6"/>
  <c r="AI15" i="6"/>
  <c r="AM15" i="6" s="1"/>
  <c r="AM14" i="6"/>
  <c r="AK14" i="6"/>
  <c r="AJ14" i="6"/>
  <c r="AI14" i="6"/>
  <c r="AM13" i="6"/>
  <c r="AK13" i="6"/>
  <c r="AJ13" i="6"/>
  <c r="AJ12" i="6"/>
  <c r="AI12" i="6"/>
  <c r="AM12" i="6" s="1"/>
  <c r="AK11" i="6"/>
  <c r="AJ11" i="6"/>
  <c r="AM11" i="6" s="1"/>
  <c r="AI11" i="6"/>
  <c r="AL10" i="6"/>
  <c r="AK10" i="6"/>
  <c r="AM10" i="6" s="1"/>
  <c r="AJ10" i="6"/>
  <c r="AK9" i="6"/>
  <c r="AJ9" i="6"/>
  <c r="AM9" i="6" s="1"/>
  <c r="AI9" i="6"/>
  <c r="AK8" i="6"/>
  <c r="AJ8" i="6"/>
  <c r="AM8" i="6" s="1"/>
  <c r="AK7" i="6"/>
  <c r="AK16" i="6" s="1"/>
  <c r="AJ7" i="6"/>
  <c r="AI7" i="6"/>
  <c r="AM7" i="6" s="1"/>
  <c r="AL6" i="6"/>
  <c r="AL16" i="6" s="1"/>
  <c r="AJ6" i="6"/>
  <c r="AM6" i="6" s="1"/>
  <c r="AM5" i="6"/>
  <c r="AL5" i="6"/>
  <c r="AJ5" i="6"/>
  <c r="AI5" i="6"/>
  <c r="AI16" i="6" s="1"/>
  <c r="AM4" i="6"/>
  <c r="AK4" i="6"/>
  <c r="AJ4" i="6"/>
  <c r="AJ16" i="6" s="1"/>
  <c r="AI4" i="6"/>
  <c r="AN43" i="5"/>
  <c r="AN42" i="5"/>
  <c r="AL43" i="5"/>
  <c r="AL42" i="5"/>
  <c r="AJ43" i="5"/>
  <c r="AJ42" i="5"/>
  <c r="AK29" i="5"/>
  <c r="AL29" i="5"/>
  <c r="AL41" i="5" s="1"/>
  <c r="AM29" i="5"/>
  <c r="AN29" i="5"/>
  <c r="AK30" i="5"/>
  <c r="AL30" i="5"/>
  <c r="AM30" i="5"/>
  <c r="AN30" i="5"/>
  <c r="AK31" i="5"/>
  <c r="AL31" i="5"/>
  <c r="AM31" i="5"/>
  <c r="AN31" i="5"/>
  <c r="AK32" i="5"/>
  <c r="AO32" i="5" s="1"/>
  <c r="AL32" i="5"/>
  <c r="AM32" i="5"/>
  <c r="AN32" i="5"/>
  <c r="AK33" i="5"/>
  <c r="AO33" i="5" s="1"/>
  <c r="AL33" i="5"/>
  <c r="AM33" i="5"/>
  <c r="AN33" i="5"/>
  <c r="AK34" i="5"/>
  <c r="AL34" i="5"/>
  <c r="AM34" i="5"/>
  <c r="AN34" i="5"/>
  <c r="AK35" i="5"/>
  <c r="AL35" i="5"/>
  <c r="AM35" i="5"/>
  <c r="AN35" i="5"/>
  <c r="AK36" i="5"/>
  <c r="AL36" i="5"/>
  <c r="AM36" i="5"/>
  <c r="AN36" i="5"/>
  <c r="AK37" i="5"/>
  <c r="AL37" i="5"/>
  <c r="AO37" i="5" s="1"/>
  <c r="AM37" i="5"/>
  <c r="AN37" i="5"/>
  <c r="AK38" i="5"/>
  <c r="AO38" i="5" s="1"/>
  <c r="AL38" i="5"/>
  <c r="AM38" i="5"/>
  <c r="AN38" i="5"/>
  <c r="AK39" i="5"/>
  <c r="AL39" i="5"/>
  <c r="AM39" i="5"/>
  <c r="AN39" i="5"/>
  <c r="AK40" i="5"/>
  <c r="AO40" i="5" s="1"/>
  <c r="AL40" i="5"/>
  <c r="AM40" i="5"/>
  <c r="AN40" i="5"/>
  <c r="AJ30" i="5"/>
  <c r="AJ31" i="5"/>
  <c r="AO31" i="5" s="1"/>
  <c r="AJ32" i="5"/>
  <c r="AJ33" i="5"/>
  <c r="AJ34" i="5"/>
  <c r="AJ35" i="5"/>
  <c r="AJ36" i="5"/>
  <c r="AJ37" i="5"/>
  <c r="AJ38" i="5"/>
  <c r="AJ39" i="5"/>
  <c r="AO39" i="5" s="1"/>
  <c r="AJ40" i="5"/>
  <c r="AJ29" i="5"/>
  <c r="AF49" i="5"/>
  <c r="AF50" i="5"/>
  <c r="AE50" i="5"/>
  <c r="AE49" i="5"/>
  <c r="AD50" i="5"/>
  <c r="AD49" i="5"/>
  <c r="AC50" i="5"/>
  <c r="AC49" i="5"/>
  <c r="AB50" i="5"/>
  <c r="AB49" i="5"/>
  <c r="AO34" i="5"/>
  <c r="AO30" i="5"/>
  <c r="AN41" i="5"/>
  <c r="AM41" i="5"/>
  <c r="AK41" i="5"/>
  <c r="AF48" i="5"/>
  <c r="AB48" i="5"/>
  <c r="AD47" i="5"/>
  <c r="AC47" i="5"/>
  <c r="AG47" i="5" s="1"/>
  <c r="AE46" i="5"/>
  <c r="AD46" i="5"/>
  <c r="AC46" i="5"/>
  <c r="AG46" i="5" s="1"/>
  <c r="AG45" i="5"/>
  <c r="AE45" i="5"/>
  <c r="AD45" i="5"/>
  <c r="AD44" i="5"/>
  <c r="AG44" i="5" s="1"/>
  <c r="AC44" i="5"/>
  <c r="AE43" i="5"/>
  <c r="AD43" i="5"/>
  <c r="AG43" i="5" s="1"/>
  <c r="AC43" i="5"/>
  <c r="AF42" i="5"/>
  <c r="AE42" i="5"/>
  <c r="AD42" i="5"/>
  <c r="AG42" i="5" s="1"/>
  <c r="AE41" i="5"/>
  <c r="AD41" i="5"/>
  <c r="AG41" i="5" s="1"/>
  <c r="AC41" i="5"/>
  <c r="AE40" i="5"/>
  <c r="AD40" i="5"/>
  <c r="AG40" i="5" s="1"/>
  <c r="AE39" i="5"/>
  <c r="AE48" i="5" s="1"/>
  <c r="AD39" i="5"/>
  <c r="AC39" i="5"/>
  <c r="AG39" i="5" s="1"/>
  <c r="AF38" i="5"/>
  <c r="AD38" i="5"/>
  <c r="AG38" i="5" s="1"/>
  <c r="AF37" i="5"/>
  <c r="AD37" i="5"/>
  <c r="AD48" i="5" s="1"/>
  <c r="AC37" i="5"/>
  <c r="AC48" i="5" s="1"/>
  <c r="AG36" i="5"/>
  <c r="AE36" i="5"/>
  <c r="AD36" i="5"/>
  <c r="AC36" i="5"/>
  <c r="AD30" i="5"/>
  <c r="AB31" i="5"/>
  <c r="AB30" i="5"/>
  <c r="AF47" i="16"/>
  <c r="AD48" i="16"/>
  <c r="AB48" i="16"/>
  <c r="AB47" i="16"/>
  <c r="AC34" i="16"/>
  <c r="AD34" i="16"/>
  <c r="AE34" i="16"/>
  <c r="AF34" i="16"/>
  <c r="AC35" i="16"/>
  <c r="AD35" i="16"/>
  <c r="AE35" i="16"/>
  <c r="AF35" i="16"/>
  <c r="AG35" i="16" s="1"/>
  <c r="AC36" i="16"/>
  <c r="AD36" i="16"/>
  <c r="AE36" i="16"/>
  <c r="AF36" i="16"/>
  <c r="AC37" i="16"/>
  <c r="AD37" i="16"/>
  <c r="AE37" i="16"/>
  <c r="AF37" i="16"/>
  <c r="AC38" i="16"/>
  <c r="AD38" i="16"/>
  <c r="AG38" i="16" s="1"/>
  <c r="AE38" i="16"/>
  <c r="AF38" i="16"/>
  <c r="AC39" i="16"/>
  <c r="AD39" i="16"/>
  <c r="AE39" i="16"/>
  <c r="AF39" i="16"/>
  <c r="AC40" i="16"/>
  <c r="AD40" i="16"/>
  <c r="AG40" i="16" s="1"/>
  <c r="AE40" i="16"/>
  <c r="AF40" i="16"/>
  <c r="AC41" i="16"/>
  <c r="AD41" i="16"/>
  <c r="AE41" i="16"/>
  <c r="AF41" i="16"/>
  <c r="AG41" i="16" s="1"/>
  <c r="AC42" i="16"/>
  <c r="AD42" i="16"/>
  <c r="AE42" i="16"/>
  <c r="AF42" i="16"/>
  <c r="AC43" i="16"/>
  <c r="AD43" i="16"/>
  <c r="AE43" i="16"/>
  <c r="AF43" i="16"/>
  <c r="AC44" i="16"/>
  <c r="AD44" i="16"/>
  <c r="AE44" i="16"/>
  <c r="AF44" i="16"/>
  <c r="AC45" i="16"/>
  <c r="AG45" i="16" s="1"/>
  <c r="AD45" i="16"/>
  <c r="AE45" i="16"/>
  <c r="AF45" i="16"/>
  <c r="AB35" i="16"/>
  <c r="AB36" i="16"/>
  <c r="AB37" i="16"/>
  <c r="AB38" i="16"/>
  <c r="AB39" i="16"/>
  <c r="AB40" i="16"/>
  <c r="AB41" i="16"/>
  <c r="AB42" i="16"/>
  <c r="AB43" i="16"/>
  <c r="AB44" i="16"/>
  <c r="AB45" i="16"/>
  <c r="AB34" i="16"/>
  <c r="X54" i="16"/>
  <c r="X53" i="16"/>
  <c r="W54" i="16"/>
  <c r="W53" i="16"/>
  <c r="V54" i="16"/>
  <c r="V53" i="16"/>
  <c r="U54" i="16"/>
  <c r="U53" i="16"/>
  <c r="T54" i="16"/>
  <c r="T53" i="16"/>
  <c r="X35" i="16"/>
  <c r="X34" i="16"/>
  <c r="W35" i="16"/>
  <c r="W34" i="16"/>
  <c r="V35" i="16"/>
  <c r="V34" i="16"/>
  <c r="U35" i="16"/>
  <c r="U34" i="16"/>
  <c r="T35" i="16"/>
  <c r="T34" i="16"/>
  <c r="AG37" i="16"/>
  <c r="T52" i="16"/>
  <c r="V51" i="16"/>
  <c r="Y51" i="16" s="1"/>
  <c r="U51" i="16"/>
  <c r="W50" i="16"/>
  <c r="V50" i="16"/>
  <c r="U50" i="16"/>
  <c r="Y50" i="16" s="1"/>
  <c r="W49" i="16"/>
  <c r="V49" i="16"/>
  <c r="Y49" i="16" s="1"/>
  <c r="V48" i="16"/>
  <c r="U48" i="16"/>
  <c r="Y48" i="16" s="1"/>
  <c r="W47" i="16"/>
  <c r="V47" i="16"/>
  <c r="U47" i="16"/>
  <c r="Y47" i="16" s="1"/>
  <c r="Y46" i="16"/>
  <c r="X46" i="16"/>
  <c r="W46" i="16"/>
  <c r="V46" i="16"/>
  <c r="W45" i="16"/>
  <c r="V45" i="16"/>
  <c r="U45" i="16"/>
  <c r="Y45" i="16" s="1"/>
  <c r="Y44" i="16"/>
  <c r="W44" i="16"/>
  <c r="V44" i="16"/>
  <c r="W43" i="16"/>
  <c r="V43" i="16"/>
  <c r="U43" i="16"/>
  <c r="Y43" i="16" s="1"/>
  <c r="X42" i="16"/>
  <c r="Y42" i="16" s="1"/>
  <c r="V42" i="16"/>
  <c r="X41" i="16"/>
  <c r="X52" i="16" s="1"/>
  <c r="V41" i="16"/>
  <c r="U41" i="16"/>
  <c r="Y41" i="16" s="1"/>
  <c r="W40" i="16"/>
  <c r="W52" i="16" s="1"/>
  <c r="V40" i="16"/>
  <c r="V52" i="16" s="1"/>
  <c r="U40" i="16"/>
  <c r="AC37" i="15"/>
  <c r="AD37" i="15"/>
  <c r="AE37" i="15"/>
  <c r="AF37" i="15"/>
  <c r="AC38" i="15"/>
  <c r="AD38" i="15"/>
  <c r="AE38" i="15"/>
  <c r="AF38" i="15"/>
  <c r="AC39" i="15"/>
  <c r="AD39" i="15"/>
  <c r="AE39" i="15"/>
  <c r="AF39" i="15"/>
  <c r="AC40" i="15"/>
  <c r="AD40" i="15"/>
  <c r="AE40" i="15"/>
  <c r="AF40" i="15"/>
  <c r="AC41" i="15"/>
  <c r="AD41" i="15"/>
  <c r="AE41" i="15"/>
  <c r="AF41" i="15"/>
  <c r="AG41" i="15" s="1"/>
  <c r="AC42" i="15"/>
  <c r="AD42" i="15"/>
  <c r="AE42" i="15"/>
  <c r="AF42" i="15"/>
  <c r="AC43" i="15"/>
  <c r="AD43" i="15"/>
  <c r="AE43" i="15"/>
  <c r="AF43" i="15"/>
  <c r="AC44" i="15"/>
  <c r="AD44" i="15"/>
  <c r="AE44" i="15"/>
  <c r="AF44" i="15"/>
  <c r="AC45" i="15"/>
  <c r="AD45" i="15"/>
  <c r="AE45" i="15"/>
  <c r="AF45" i="15"/>
  <c r="AC46" i="15"/>
  <c r="AD46" i="15"/>
  <c r="AE46" i="15"/>
  <c r="AF46" i="15"/>
  <c r="AC47" i="15"/>
  <c r="AD47" i="15"/>
  <c r="AE47" i="15"/>
  <c r="AG47" i="15" s="1"/>
  <c r="AF47" i="15"/>
  <c r="AC48" i="15"/>
  <c r="AD48" i="15"/>
  <c r="AE48" i="15"/>
  <c r="AF48" i="15"/>
  <c r="AB38" i="15"/>
  <c r="AG38" i="15" s="1"/>
  <c r="AB39" i="15"/>
  <c r="AB40" i="15"/>
  <c r="AB41" i="15"/>
  <c r="AB42" i="15"/>
  <c r="AB43" i="15"/>
  <c r="AB44" i="15"/>
  <c r="AB45" i="15"/>
  <c r="AB46" i="15"/>
  <c r="AG46" i="15" s="1"/>
  <c r="AB47" i="15"/>
  <c r="AB48" i="15"/>
  <c r="AB37" i="15"/>
  <c r="AG37" i="15" s="1"/>
  <c r="W52" i="15"/>
  <c r="W51" i="15"/>
  <c r="V52" i="15"/>
  <c r="V51" i="15"/>
  <c r="U52" i="15"/>
  <c r="U51" i="15"/>
  <c r="T52" i="15"/>
  <c r="T51" i="15"/>
  <c r="S52" i="15"/>
  <c r="S51" i="15"/>
  <c r="W32" i="15"/>
  <c r="W31" i="15"/>
  <c r="V32" i="15"/>
  <c r="V31" i="15"/>
  <c r="U32" i="15"/>
  <c r="U31" i="15"/>
  <c r="T32" i="15"/>
  <c r="T31" i="15"/>
  <c r="S32" i="15"/>
  <c r="S31" i="15"/>
  <c r="AG48" i="15"/>
  <c r="AG40" i="15"/>
  <c r="W50" i="15"/>
  <c r="S50" i="15"/>
  <c r="X49" i="15"/>
  <c r="U49" i="15"/>
  <c r="T49" i="15"/>
  <c r="V48" i="15"/>
  <c r="U48" i="15"/>
  <c r="T48" i="15"/>
  <c r="X48" i="15" s="1"/>
  <c r="V47" i="15"/>
  <c r="X47" i="15" s="1"/>
  <c r="U47" i="15"/>
  <c r="U46" i="15"/>
  <c r="X46" i="15" s="1"/>
  <c r="T46" i="15"/>
  <c r="V45" i="15"/>
  <c r="U45" i="15"/>
  <c r="T45" i="15"/>
  <c r="X45" i="15" s="1"/>
  <c r="W44" i="15"/>
  <c r="V44" i="15"/>
  <c r="U44" i="15"/>
  <c r="X44" i="15" s="1"/>
  <c r="V43" i="15"/>
  <c r="U43" i="15"/>
  <c r="T43" i="15"/>
  <c r="X43" i="15" s="1"/>
  <c r="V42" i="15"/>
  <c r="U42" i="15"/>
  <c r="X42" i="15" s="1"/>
  <c r="V41" i="15"/>
  <c r="U41" i="15"/>
  <c r="T41" i="15"/>
  <c r="X41" i="15" s="1"/>
  <c r="X40" i="15"/>
  <c r="W40" i="15"/>
  <c r="U40" i="15"/>
  <c r="W39" i="15"/>
  <c r="U39" i="15"/>
  <c r="U50" i="15" s="1"/>
  <c r="T39" i="15"/>
  <c r="X39" i="15" s="1"/>
  <c r="V38" i="15"/>
  <c r="X38" i="15" s="1"/>
  <c r="X50" i="15" s="1"/>
  <c r="U38" i="15"/>
  <c r="T38" i="15"/>
  <c r="U52" i="4"/>
  <c r="U51" i="4"/>
  <c r="U50" i="4"/>
  <c r="T53" i="4"/>
  <c r="T49" i="4"/>
  <c r="T52" i="4"/>
  <c r="U49" i="4"/>
  <c r="T50" i="4"/>
  <c r="T47" i="4"/>
  <c r="U46" i="4"/>
  <c r="U48" i="4"/>
  <c r="V46" i="4"/>
  <c r="V48" i="4"/>
  <c r="V47" i="4"/>
  <c r="U53" i="4"/>
  <c r="U45" i="4"/>
  <c r="V52" i="4"/>
  <c r="V45" i="4"/>
  <c r="V51" i="4"/>
  <c r="T45" i="4"/>
  <c r="U44" i="4"/>
  <c r="T43" i="4"/>
  <c r="W48" i="4"/>
  <c r="W43" i="4"/>
  <c r="U43" i="4"/>
  <c r="W44" i="4"/>
  <c r="V49" i="4"/>
  <c r="V42" i="4"/>
  <c r="U47" i="4"/>
  <c r="U42" i="4"/>
  <c r="T42" i="4"/>
  <c r="AF39" i="13" l="1"/>
  <c r="AF38" i="13"/>
  <c r="AB38" i="13"/>
  <c r="AB39" i="13"/>
  <c r="AC38" i="13"/>
  <c r="AC39" i="13"/>
  <c r="AD38" i="13"/>
  <c r="AD39" i="13"/>
  <c r="AE38" i="13"/>
  <c r="AE39" i="13"/>
  <c r="AG25" i="13"/>
  <c r="AG37" i="13" s="1"/>
  <c r="AK18" i="13"/>
  <c r="AK17" i="13"/>
  <c r="AI17" i="13"/>
  <c r="AI18" i="13"/>
  <c r="AH17" i="13"/>
  <c r="AH18" i="13"/>
  <c r="AL16" i="13"/>
  <c r="AJ17" i="13"/>
  <c r="AJ18" i="13"/>
  <c r="AG18" i="13"/>
  <c r="AF39" i="12"/>
  <c r="AF38" i="12"/>
  <c r="AB38" i="12"/>
  <c r="AG38" i="12" s="1"/>
  <c r="AB39" i="12"/>
  <c r="AC38" i="12"/>
  <c r="AC39" i="12"/>
  <c r="AD38" i="12"/>
  <c r="AD39" i="12"/>
  <c r="AE38" i="12"/>
  <c r="AE39" i="12"/>
  <c r="AG25" i="12"/>
  <c r="AG37" i="12" s="1"/>
  <c r="AK18" i="12"/>
  <c r="AK17" i="12"/>
  <c r="AH17" i="12"/>
  <c r="AH18" i="12"/>
  <c r="AI17" i="12"/>
  <c r="AI18" i="12"/>
  <c r="AJ17" i="12"/>
  <c r="AJ18" i="12"/>
  <c r="AG18" i="12"/>
  <c r="AB38" i="11"/>
  <c r="AB39" i="11"/>
  <c r="AG39" i="11" s="1"/>
  <c r="AC38" i="11"/>
  <c r="AC39" i="11"/>
  <c r="AD38" i="11"/>
  <c r="AD39" i="11"/>
  <c r="AE38" i="11"/>
  <c r="AE39" i="11"/>
  <c r="AF39" i="11"/>
  <c r="AF38" i="11"/>
  <c r="AG25" i="11"/>
  <c r="AG37" i="11" s="1"/>
  <c r="AH17" i="11"/>
  <c r="AH18" i="11"/>
  <c r="AJ17" i="11"/>
  <c r="AJ18" i="11"/>
  <c r="AI17" i="11"/>
  <c r="AI18" i="11"/>
  <c r="AL18" i="11"/>
  <c r="AK17" i="11"/>
  <c r="AL4" i="11"/>
  <c r="AL16" i="11" s="1"/>
  <c r="AF39" i="10"/>
  <c r="AB38" i="10"/>
  <c r="AC39" i="10"/>
  <c r="AD39" i="10"/>
  <c r="AE38" i="10"/>
  <c r="AE39" i="10"/>
  <c r="AG25" i="10"/>
  <c r="AG37" i="10" s="1"/>
  <c r="AI17" i="10"/>
  <c r="AI18" i="10"/>
  <c r="AK18" i="10"/>
  <c r="AK17" i="10"/>
  <c r="AH17" i="10"/>
  <c r="AH18" i="10"/>
  <c r="AJ16" i="10"/>
  <c r="AG18" i="10"/>
  <c r="AJ29" i="9"/>
  <c r="AJ37" i="9"/>
  <c r="AJ32" i="9"/>
  <c r="AE39" i="9"/>
  <c r="AO20" i="9"/>
  <c r="AO19" i="9"/>
  <c r="AJ40" i="9"/>
  <c r="AJ41" i="9"/>
  <c r="AJ27" i="9"/>
  <c r="AO9" i="9"/>
  <c r="AO7" i="9"/>
  <c r="AO18" i="9" s="1"/>
  <c r="AN77" i="8"/>
  <c r="AO78" i="8"/>
  <c r="AP76" i="8"/>
  <c r="AJ85" i="8"/>
  <c r="AJ84" i="8"/>
  <c r="AG84" i="8"/>
  <c r="AG85" i="8"/>
  <c r="AH83" i="8"/>
  <c r="AI83" i="8"/>
  <c r="AK71" i="8"/>
  <c r="AK83" i="8" s="1"/>
  <c r="AM17" i="6"/>
  <c r="AD36" i="6"/>
  <c r="AC36" i="6"/>
  <c r="AE36" i="6"/>
  <c r="AH24" i="6"/>
  <c r="AH36" i="6" s="1"/>
  <c r="AM16" i="6"/>
  <c r="AM18" i="6"/>
  <c r="AO36" i="5"/>
  <c r="AO35" i="5"/>
  <c r="AJ41" i="5"/>
  <c r="AK42" i="5"/>
  <c r="AK43" i="5"/>
  <c r="AM43" i="5"/>
  <c r="AM42" i="5"/>
  <c r="AO29" i="5"/>
  <c r="AG50" i="5"/>
  <c r="AG37" i="5"/>
  <c r="AG48" i="5" s="1"/>
  <c r="AG49" i="5"/>
  <c r="AG43" i="16"/>
  <c r="AG44" i="16"/>
  <c r="AG36" i="16"/>
  <c r="AG42" i="16"/>
  <c r="AG39" i="16"/>
  <c r="AB46" i="16"/>
  <c r="AD46" i="16"/>
  <c r="AC46" i="16"/>
  <c r="AC47" i="16"/>
  <c r="AC48" i="16"/>
  <c r="AG34" i="16"/>
  <c r="AE46" i="16"/>
  <c r="AF46" i="16"/>
  <c r="U52" i="16"/>
  <c r="Y40" i="16"/>
  <c r="Y52" i="16" s="1"/>
  <c r="AG45" i="15"/>
  <c r="AG39" i="15"/>
  <c r="AG43" i="15"/>
  <c r="AG42" i="15"/>
  <c r="AF49" i="15"/>
  <c r="AD49" i="15"/>
  <c r="AG44" i="15"/>
  <c r="AC49" i="15"/>
  <c r="AB49" i="15"/>
  <c r="T50" i="15"/>
  <c r="V50" i="15"/>
  <c r="AG38" i="13" l="1"/>
  <c r="AL17" i="13"/>
  <c r="AL17" i="12"/>
  <c r="AL18" i="12"/>
  <c r="AL17" i="11"/>
  <c r="AG39" i="13"/>
  <c r="AL18" i="13"/>
  <c r="AG39" i="12"/>
  <c r="AG38" i="11"/>
  <c r="AG39" i="10"/>
  <c r="AG38" i="10"/>
  <c r="AJ17" i="10"/>
  <c r="AL17" i="10" s="1"/>
  <c r="AJ18" i="10"/>
  <c r="AL18" i="10"/>
  <c r="AJ39" i="9"/>
  <c r="AS78" i="8"/>
  <c r="AS77" i="8"/>
  <c r="AP78" i="8"/>
  <c r="AI84" i="8"/>
  <c r="AI85" i="8"/>
  <c r="AH84" i="8"/>
  <c r="AH85" i="8"/>
  <c r="AK85" i="8" s="1"/>
  <c r="AK84" i="8"/>
  <c r="AH38" i="6"/>
  <c r="AH37" i="6"/>
  <c r="AO41" i="5"/>
  <c r="AO43" i="5"/>
  <c r="AO42" i="5"/>
  <c r="AG46" i="16"/>
  <c r="AD47" i="16"/>
  <c r="AF48" i="16"/>
  <c r="AE47" i="16"/>
  <c r="AE48" i="16"/>
  <c r="AG48" i="16" s="1"/>
  <c r="Y53" i="16"/>
  <c r="Y54" i="16"/>
  <c r="AC51" i="15"/>
  <c r="AC50" i="15"/>
  <c r="AF51" i="15"/>
  <c r="AF50" i="15"/>
  <c r="AB51" i="15"/>
  <c r="AB50" i="15"/>
  <c r="AD50" i="15"/>
  <c r="AD51" i="15"/>
  <c r="AE49" i="15"/>
  <c r="AG49" i="15"/>
  <c r="X52" i="15"/>
  <c r="AG47" i="16" l="1"/>
  <c r="AE51" i="15"/>
  <c r="AG51" i="15" s="1"/>
  <c r="AE50" i="15"/>
  <c r="AG50" i="15" s="1"/>
  <c r="X51" i="15"/>
  <c r="AB34" i="4" l="1"/>
  <c r="AC34" i="4"/>
  <c r="AD34" i="4"/>
  <c r="AE34" i="4"/>
  <c r="AF34" i="4"/>
  <c r="AB35" i="4"/>
  <c r="AC35" i="4"/>
  <c r="AD35" i="4"/>
  <c r="AE35" i="4"/>
  <c r="AF35" i="4"/>
  <c r="AB36" i="4"/>
  <c r="AC36" i="4"/>
  <c r="AD36" i="4"/>
  <c r="AE36" i="4"/>
  <c r="AF36" i="4"/>
  <c r="AB37" i="4"/>
  <c r="AC37" i="4"/>
  <c r="AD37" i="4"/>
  <c r="AE37" i="4"/>
  <c r="AF37" i="4"/>
  <c r="AB38" i="4"/>
  <c r="AC38" i="4"/>
  <c r="AD38" i="4"/>
  <c r="AE38" i="4"/>
  <c r="AF38" i="4"/>
  <c r="AB39" i="4"/>
  <c r="AC39" i="4"/>
  <c r="AD39" i="4"/>
  <c r="AE39" i="4"/>
  <c r="AF39" i="4"/>
  <c r="AB40" i="4"/>
  <c r="AC40" i="4"/>
  <c r="AD40" i="4"/>
  <c r="AE40" i="4"/>
  <c r="AF40" i="4"/>
  <c r="AB41" i="4"/>
  <c r="AC41" i="4"/>
  <c r="AD41" i="4"/>
  <c r="AE41" i="4"/>
  <c r="AF41" i="4"/>
  <c r="AB42" i="4"/>
  <c r="AC42" i="4"/>
  <c r="AD42" i="4"/>
  <c r="AE42" i="4"/>
  <c r="AF42" i="4"/>
  <c r="AB43" i="4"/>
  <c r="AC43" i="4"/>
  <c r="AD43" i="4"/>
  <c r="AE43" i="4"/>
  <c r="AF43" i="4"/>
  <c r="AB44" i="4"/>
  <c r="AC44" i="4"/>
  <c r="AD44" i="4"/>
  <c r="AE44" i="4"/>
  <c r="AF44" i="4"/>
  <c r="AC33" i="4"/>
  <c r="AD33" i="4"/>
  <c r="AE33" i="4"/>
  <c r="AF33" i="4"/>
  <c r="AB33" i="4"/>
  <c r="S54" i="4"/>
  <c r="S55" i="4" s="1"/>
  <c r="X53" i="4"/>
  <c r="X52" i="4"/>
  <c r="X51" i="4"/>
  <c r="X50" i="4"/>
  <c r="X49" i="4"/>
  <c r="X48" i="4"/>
  <c r="X47" i="4"/>
  <c r="X46" i="4"/>
  <c r="X45" i="4"/>
  <c r="X44" i="4"/>
  <c r="W54" i="4"/>
  <c r="W55" i="4" s="1"/>
  <c r="U54" i="4"/>
  <c r="U56" i="4" s="1"/>
  <c r="X43" i="4"/>
  <c r="X42" i="4"/>
  <c r="W35" i="4"/>
  <c r="W34" i="4"/>
  <c r="V35" i="4"/>
  <c r="V34" i="4"/>
  <c r="U35" i="4"/>
  <c r="U34" i="4"/>
  <c r="T35" i="4"/>
  <c r="T34" i="4"/>
  <c r="S35" i="4"/>
  <c r="S34" i="4"/>
  <c r="S56" i="4" l="1"/>
  <c r="AG39" i="4"/>
  <c r="W56" i="4"/>
  <c r="U55" i="4"/>
  <c r="AG35" i="4"/>
  <c r="AG37" i="4"/>
  <c r="AG34" i="4"/>
  <c r="AG40" i="4"/>
  <c r="AG36" i="4"/>
  <c r="AG33" i="4"/>
  <c r="AG41" i="4"/>
  <c r="AC45" i="4"/>
  <c r="AG38" i="4"/>
  <c r="X54" i="4"/>
  <c r="AE45" i="4"/>
  <c r="V54" i="4"/>
  <c r="T54" i="4"/>
  <c r="V56" i="4" l="1"/>
  <c r="V55" i="4"/>
  <c r="AE47" i="4"/>
  <c r="AE46" i="4"/>
  <c r="T56" i="4"/>
  <c r="T55" i="4"/>
  <c r="AC46" i="4"/>
  <c r="AC47" i="4"/>
  <c r="AG42" i="4"/>
  <c r="X56" i="4" l="1"/>
  <c r="AD45" i="4"/>
  <c r="X55" i="4"/>
  <c r="AB45" i="4"/>
  <c r="AB46" i="4" l="1"/>
  <c r="AB47" i="4"/>
  <c r="AD47" i="4"/>
  <c r="AD46" i="4"/>
  <c r="AG44" i="4"/>
  <c r="AG43" i="4"/>
  <c r="AG45" i="4" s="1"/>
  <c r="AF45" i="4"/>
  <c r="AF47" i="4" l="1"/>
  <c r="AF46" i="4"/>
  <c r="AG46" i="4" s="1"/>
  <c r="AG47" i="4"/>
  <c r="G9" i="18" l="1"/>
  <c r="G10" i="18" s="1"/>
  <c r="H7" i="18"/>
  <c r="H6" i="18"/>
  <c r="H30" i="20" l="1"/>
  <c r="X23" i="5" l="1"/>
  <c r="X20" i="5"/>
  <c r="S14" i="4"/>
  <c r="T14" i="4" s="1"/>
  <c r="T13" i="4"/>
  <c r="T12" i="4"/>
  <c r="T11" i="4"/>
  <c r="T10" i="4"/>
  <c r="T9" i="4"/>
  <c r="T8" i="4"/>
  <c r="T7" i="4"/>
  <c r="T6" i="4"/>
  <c r="T5" i="4"/>
  <c r="T4" i="4"/>
  <c r="X33" i="16"/>
  <c r="W33" i="16"/>
  <c r="V33" i="16"/>
  <c r="U33" i="16"/>
  <c r="T33" i="16"/>
  <c r="Y32" i="16"/>
  <c r="Y31" i="16"/>
  <c r="Y30" i="16"/>
  <c r="Y29" i="16"/>
  <c r="Y28" i="16"/>
  <c r="Y27" i="16"/>
  <c r="Y26" i="16"/>
  <c r="Y25" i="16"/>
  <c r="Y24" i="16"/>
  <c r="Y23" i="16"/>
  <c r="Y22" i="16"/>
  <c r="Y21" i="16"/>
  <c r="M56" i="16"/>
  <c r="H56" i="16"/>
  <c r="I56" i="16" s="1"/>
  <c r="M55" i="16"/>
  <c r="H55" i="16"/>
  <c r="I55" i="16" s="1"/>
  <c r="T16" i="16"/>
  <c r="T17" i="16" s="1"/>
  <c r="M54" i="16"/>
  <c r="H54" i="16"/>
  <c r="I54" i="16" s="1"/>
  <c r="U15" i="16"/>
  <c r="M53" i="16"/>
  <c r="H53" i="16"/>
  <c r="I53" i="16" s="1"/>
  <c r="U14" i="16"/>
  <c r="M52" i="16"/>
  <c r="H52" i="16"/>
  <c r="I52" i="16" s="1"/>
  <c r="U13" i="16"/>
  <c r="M51" i="16"/>
  <c r="H51" i="16"/>
  <c r="I51" i="16" s="1"/>
  <c r="U12" i="16"/>
  <c r="M50" i="16"/>
  <c r="H50" i="16"/>
  <c r="I50" i="16" s="1"/>
  <c r="M49" i="16"/>
  <c r="H49" i="16"/>
  <c r="I49" i="16" s="1"/>
  <c r="N48" i="16"/>
  <c r="M48" i="16"/>
  <c r="H48" i="16"/>
  <c r="I48" i="16" s="1"/>
  <c r="N47" i="16"/>
  <c r="M47" i="16"/>
  <c r="H47" i="16"/>
  <c r="I47" i="16" s="1"/>
  <c r="M46" i="16"/>
  <c r="H46" i="16"/>
  <c r="I46" i="16" s="1"/>
  <c r="M45" i="16"/>
  <c r="H45" i="16"/>
  <c r="I45" i="16" s="1"/>
  <c r="M44" i="16"/>
  <c r="H44" i="16"/>
  <c r="I44" i="16" s="1"/>
  <c r="M43" i="16"/>
  <c r="H43" i="16"/>
  <c r="I43" i="16" s="1"/>
  <c r="M42" i="16"/>
  <c r="H42" i="16"/>
  <c r="I42" i="16" s="1"/>
  <c r="M41" i="16"/>
  <c r="H41" i="16"/>
  <c r="I41" i="16" s="1"/>
  <c r="M40" i="16"/>
  <c r="H40" i="16"/>
  <c r="I40" i="16" s="1"/>
  <c r="M39" i="16"/>
  <c r="H39" i="16"/>
  <c r="I39" i="16" s="1"/>
  <c r="O38" i="16"/>
  <c r="M38" i="16"/>
  <c r="H38" i="16"/>
  <c r="N38" i="16" s="1"/>
  <c r="M37" i="16"/>
  <c r="H37" i="16"/>
  <c r="N37" i="16" s="1"/>
  <c r="M36" i="16"/>
  <c r="H36" i="16"/>
  <c r="N36" i="16" s="1"/>
  <c r="M35" i="16"/>
  <c r="H35" i="16"/>
  <c r="N35" i="16" s="1"/>
  <c r="M34" i="16"/>
  <c r="H34" i="16"/>
  <c r="N34" i="16" s="1"/>
  <c r="M33" i="16"/>
  <c r="H33" i="16"/>
  <c r="N33" i="16" s="1"/>
  <c r="M32" i="16"/>
  <c r="H32" i="16"/>
  <c r="N32" i="16" s="1"/>
  <c r="O31" i="16"/>
  <c r="M31" i="16"/>
  <c r="H31" i="16"/>
  <c r="N31" i="16" s="1"/>
  <c r="O30" i="16"/>
  <c r="M30" i="16"/>
  <c r="H30" i="16"/>
  <c r="N30" i="16" s="1"/>
  <c r="M29" i="16"/>
  <c r="H29" i="16"/>
  <c r="N29" i="16" s="1"/>
  <c r="M28" i="16"/>
  <c r="H28" i="16"/>
  <c r="N28" i="16" s="1"/>
  <c r="M27" i="16"/>
  <c r="H27" i="16"/>
  <c r="N27" i="16" s="1"/>
  <c r="O26" i="16"/>
  <c r="M26" i="16"/>
  <c r="H26" i="16"/>
  <c r="I26" i="16" s="1"/>
  <c r="H25" i="16"/>
  <c r="M24" i="16"/>
  <c r="H24" i="16"/>
  <c r="N24" i="16" s="1"/>
  <c r="M23" i="16"/>
  <c r="H23" i="16"/>
  <c r="I23" i="16" s="1"/>
  <c r="M22" i="16"/>
  <c r="H22" i="16"/>
  <c r="I22" i="16" s="1"/>
  <c r="M21" i="16"/>
  <c r="H21" i="16"/>
  <c r="I21" i="16" s="1"/>
  <c r="M20" i="16"/>
  <c r="H20" i="16"/>
  <c r="I20" i="16" s="1"/>
  <c r="M19" i="16"/>
  <c r="H19" i="16"/>
  <c r="I19" i="16" s="1"/>
  <c r="M18" i="16"/>
  <c r="H18" i="16"/>
  <c r="I18" i="16" s="1"/>
  <c r="M17" i="16"/>
  <c r="H17" i="16"/>
  <c r="I17" i="16" s="1"/>
  <c r="M16" i="16"/>
  <c r="H16" i="16"/>
  <c r="I16" i="16" s="1"/>
  <c r="M15" i="16"/>
  <c r="H15" i="16"/>
  <c r="I15" i="16" s="1"/>
  <c r="H14" i="16"/>
  <c r="M13" i="16"/>
  <c r="H13" i="16"/>
  <c r="I13" i="16" s="1"/>
  <c r="M12" i="16"/>
  <c r="H12" i="16"/>
  <c r="N12" i="16" s="1"/>
  <c r="M11" i="16"/>
  <c r="H11" i="16"/>
  <c r="N11" i="16" s="1"/>
  <c r="M10" i="16"/>
  <c r="H10" i="16"/>
  <c r="N10" i="16" s="1"/>
  <c r="M9" i="16"/>
  <c r="H9" i="16"/>
  <c r="I9" i="16" s="1"/>
  <c r="M8" i="16"/>
  <c r="H8" i="16"/>
  <c r="N8" i="16" s="1"/>
  <c r="M7" i="16"/>
  <c r="I7" i="16"/>
  <c r="H7" i="16"/>
  <c r="N7" i="16" s="1"/>
  <c r="M6" i="16"/>
  <c r="H6" i="16"/>
  <c r="I6" i="16" s="1"/>
  <c r="M5" i="16"/>
  <c r="H5" i="16"/>
  <c r="I5" i="16" s="1"/>
  <c r="N4" i="16"/>
  <c r="M4" i="16"/>
  <c r="H4" i="16"/>
  <c r="I4" i="16" s="1"/>
  <c r="M3" i="16"/>
  <c r="H3" i="16"/>
  <c r="I3" i="16" s="1"/>
  <c r="W30" i="15"/>
  <c r="V30" i="15"/>
  <c r="U30" i="15"/>
  <c r="T30" i="15"/>
  <c r="S30" i="15"/>
  <c r="X29" i="15"/>
  <c r="X28" i="15"/>
  <c r="X27" i="15"/>
  <c r="X26" i="15"/>
  <c r="X25" i="15"/>
  <c r="X24" i="15"/>
  <c r="X23" i="15"/>
  <c r="X22" i="15"/>
  <c r="X21" i="15"/>
  <c r="X20" i="15"/>
  <c r="X19" i="15"/>
  <c r="X18" i="15"/>
  <c r="X30" i="15" s="1"/>
  <c r="M56" i="15"/>
  <c r="H56" i="15"/>
  <c r="I56" i="15" s="1"/>
  <c r="M55" i="15"/>
  <c r="I55" i="15"/>
  <c r="H55" i="15"/>
  <c r="N55" i="15" s="1"/>
  <c r="S11" i="15"/>
  <c r="S12" i="15" s="1"/>
  <c r="M54" i="15"/>
  <c r="H54" i="15"/>
  <c r="N54" i="15" s="1"/>
  <c r="M53" i="15"/>
  <c r="H53" i="15"/>
  <c r="N53" i="15" s="1"/>
  <c r="T9" i="15"/>
  <c r="M52" i="15"/>
  <c r="H52" i="15"/>
  <c r="N52" i="15" s="1"/>
  <c r="M51" i="15"/>
  <c r="I51" i="15"/>
  <c r="H51" i="15"/>
  <c r="N51" i="15" s="1"/>
  <c r="T7" i="15"/>
  <c r="M50" i="15"/>
  <c r="H50" i="15"/>
  <c r="N50" i="15" s="1"/>
  <c r="M49" i="15"/>
  <c r="H49" i="15"/>
  <c r="N49" i="15" s="1"/>
  <c r="M48" i="15"/>
  <c r="H48" i="15"/>
  <c r="N48" i="15" s="1"/>
  <c r="M47" i="15"/>
  <c r="H47" i="15"/>
  <c r="N47" i="15" s="1"/>
  <c r="M46" i="15"/>
  <c r="H46" i="15"/>
  <c r="N46" i="15" s="1"/>
  <c r="M45" i="15"/>
  <c r="H45" i="15"/>
  <c r="N45" i="15" s="1"/>
  <c r="M44" i="15"/>
  <c r="H44" i="15"/>
  <c r="N44" i="15" s="1"/>
  <c r="M43" i="15"/>
  <c r="H43" i="15"/>
  <c r="N43" i="15" s="1"/>
  <c r="M42" i="15"/>
  <c r="H42" i="15"/>
  <c r="N42" i="15" s="1"/>
  <c r="M41" i="15"/>
  <c r="H41" i="15"/>
  <c r="N41" i="15" s="1"/>
  <c r="M40" i="15"/>
  <c r="H40" i="15"/>
  <c r="N40" i="15" s="1"/>
  <c r="M39" i="15"/>
  <c r="H39" i="15"/>
  <c r="N39" i="15" s="1"/>
  <c r="M38" i="15"/>
  <c r="H38" i="15"/>
  <c r="N38" i="15" s="1"/>
  <c r="M37" i="15"/>
  <c r="H37" i="15"/>
  <c r="N37" i="15" s="1"/>
  <c r="M36" i="15"/>
  <c r="H36" i="15"/>
  <c r="N36" i="15" s="1"/>
  <c r="M35" i="15"/>
  <c r="H35" i="15"/>
  <c r="N35" i="15" s="1"/>
  <c r="M34" i="15"/>
  <c r="H34" i="15"/>
  <c r="N34" i="15" s="1"/>
  <c r="M33" i="15"/>
  <c r="H33" i="15"/>
  <c r="N33" i="15" s="1"/>
  <c r="M32" i="15"/>
  <c r="H32" i="15"/>
  <c r="N32" i="15" s="1"/>
  <c r="M31" i="15"/>
  <c r="H31" i="15"/>
  <c r="N31" i="15" s="1"/>
  <c r="M30" i="15"/>
  <c r="H30" i="15"/>
  <c r="I30" i="15" s="1"/>
  <c r="M29" i="15"/>
  <c r="H29" i="15"/>
  <c r="I29" i="15" s="1"/>
  <c r="M28" i="15"/>
  <c r="H28" i="15"/>
  <c r="I28" i="15" s="1"/>
  <c r="M27" i="15"/>
  <c r="H27" i="15"/>
  <c r="I27" i="15" s="1"/>
  <c r="M26" i="15"/>
  <c r="H26" i="15"/>
  <c r="N26" i="15" s="1"/>
  <c r="H25" i="15"/>
  <c r="M24" i="15"/>
  <c r="H24" i="15"/>
  <c r="N24" i="15" s="1"/>
  <c r="M23" i="15"/>
  <c r="H23" i="15"/>
  <c r="N23" i="15" s="1"/>
  <c r="M22" i="15"/>
  <c r="H22" i="15"/>
  <c r="N22" i="15" s="1"/>
  <c r="M21" i="15"/>
  <c r="H21" i="15"/>
  <c r="N21" i="15" s="1"/>
  <c r="M20" i="15"/>
  <c r="H20" i="15"/>
  <c r="N20" i="15" s="1"/>
  <c r="M19" i="15"/>
  <c r="H19" i="15"/>
  <c r="N19" i="15" s="1"/>
  <c r="M18" i="15"/>
  <c r="H18" i="15"/>
  <c r="N18" i="15" s="1"/>
  <c r="M17" i="15"/>
  <c r="H17" i="15"/>
  <c r="N17" i="15" s="1"/>
  <c r="M16" i="15"/>
  <c r="H16" i="15"/>
  <c r="N16" i="15" s="1"/>
  <c r="M15" i="15"/>
  <c r="H15" i="15"/>
  <c r="N15" i="15" s="1"/>
  <c r="H14" i="15"/>
  <c r="M13" i="15"/>
  <c r="H13" i="15"/>
  <c r="I13" i="15" s="1"/>
  <c r="N12" i="15"/>
  <c r="M12" i="15"/>
  <c r="H12" i="15"/>
  <c r="I12" i="15" s="1"/>
  <c r="N11" i="15"/>
  <c r="M11" i="15"/>
  <c r="H11" i="15"/>
  <c r="I11" i="15" s="1"/>
  <c r="M10" i="15"/>
  <c r="H10" i="15"/>
  <c r="I10" i="15" s="1"/>
  <c r="M9" i="15"/>
  <c r="H9" i="15"/>
  <c r="I9" i="15" s="1"/>
  <c r="N8" i="15"/>
  <c r="M8" i="15"/>
  <c r="H8" i="15"/>
  <c r="I8" i="15" s="1"/>
  <c r="M7" i="15"/>
  <c r="H7" i="15"/>
  <c r="I7" i="15" s="1"/>
  <c r="M6" i="15"/>
  <c r="H6" i="15"/>
  <c r="I6" i="15" s="1"/>
  <c r="N5" i="15"/>
  <c r="M5" i="15"/>
  <c r="H5" i="15"/>
  <c r="I5" i="15" s="1"/>
  <c r="N4" i="15"/>
  <c r="M4" i="15"/>
  <c r="H4" i="15"/>
  <c r="I4" i="15" s="1"/>
  <c r="M3" i="15"/>
  <c r="H3" i="15"/>
  <c r="I3" i="15" s="1"/>
  <c r="N3" i="15" l="1"/>
  <c r="I31" i="15"/>
  <c r="I53" i="15"/>
  <c r="N6" i="15"/>
  <c r="N9" i="15"/>
  <c r="N10" i="15"/>
  <c r="N22" i="16"/>
  <c r="N40" i="16"/>
  <c r="N56" i="16"/>
  <c r="N13" i="15"/>
  <c r="I26" i="15"/>
  <c r="N44" i="16"/>
  <c r="N5" i="16"/>
  <c r="N18" i="16"/>
  <c r="N43" i="16"/>
  <c r="Y33" i="16"/>
  <c r="N3" i="16"/>
  <c r="N16" i="16"/>
  <c r="N20" i="16"/>
  <c r="N26" i="16"/>
  <c r="I30" i="16"/>
  <c r="I31" i="16"/>
  <c r="N39" i="16"/>
  <c r="N6" i="16"/>
  <c r="N15" i="16"/>
  <c r="N19" i="16"/>
  <c r="N23" i="16"/>
  <c r="I29" i="16"/>
  <c r="N42" i="16"/>
  <c r="N46" i="16"/>
  <c r="N50" i="16"/>
  <c r="I28" i="16"/>
  <c r="N41" i="16"/>
  <c r="N45" i="16"/>
  <c r="N49" i="16"/>
  <c r="N52" i="16"/>
  <c r="N17" i="16"/>
  <c r="N21" i="16"/>
  <c r="I27" i="16"/>
  <c r="N54" i="16"/>
  <c r="Y35" i="16"/>
  <c r="I10" i="16"/>
  <c r="I12" i="16"/>
  <c r="I24" i="16"/>
  <c r="I32" i="16"/>
  <c r="I33" i="16"/>
  <c r="I34" i="16"/>
  <c r="I35" i="16"/>
  <c r="I36" i="16"/>
  <c r="I37" i="16"/>
  <c r="I38" i="16"/>
  <c r="I8" i="16"/>
  <c r="I11" i="16"/>
  <c r="N9" i="16"/>
  <c r="N13" i="16"/>
  <c r="N51" i="16"/>
  <c r="N53" i="16"/>
  <c r="N55" i="16"/>
  <c r="X32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2" i="15"/>
  <c r="I54" i="15"/>
  <c r="N56" i="15"/>
  <c r="N7" i="15"/>
  <c r="I15" i="15"/>
  <c r="I16" i="15"/>
  <c r="I17" i="15"/>
  <c r="I18" i="15"/>
  <c r="I19" i="15"/>
  <c r="I20" i="15"/>
  <c r="I21" i="15"/>
  <c r="I22" i="15"/>
  <c r="I23" i="15"/>
  <c r="I24" i="15"/>
  <c r="N27" i="15"/>
  <c r="N28" i="15"/>
  <c r="N29" i="15"/>
  <c r="N30" i="15"/>
  <c r="I32" i="15"/>
  <c r="I33" i="15"/>
  <c r="I34" i="15"/>
  <c r="I35" i="15"/>
  <c r="I36" i="15"/>
  <c r="I37" i="15"/>
  <c r="I38" i="15"/>
  <c r="W33" i="4"/>
  <c r="V33" i="4"/>
  <c r="U33" i="4"/>
  <c r="T33" i="4"/>
  <c r="S33" i="4"/>
  <c r="X32" i="4"/>
  <c r="X31" i="4"/>
  <c r="X30" i="4"/>
  <c r="X29" i="4"/>
  <c r="X28" i="4"/>
  <c r="X27" i="4"/>
  <c r="X26" i="4"/>
  <c r="X25" i="4"/>
  <c r="X24" i="4"/>
  <c r="X23" i="4"/>
  <c r="X22" i="4"/>
  <c r="X21" i="4"/>
  <c r="Y34" i="16" l="1"/>
  <c r="X31" i="15"/>
  <c r="X33" i="4"/>
  <c r="X35" i="4" l="1"/>
  <c r="X34" i="4"/>
  <c r="P4" i="14"/>
  <c r="P6" i="14"/>
  <c r="P7" i="14"/>
  <c r="P9" i="14"/>
  <c r="P10" i="14"/>
  <c r="P11" i="14"/>
  <c r="P13" i="14"/>
  <c r="P16" i="14"/>
  <c r="P18" i="14"/>
  <c r="P21" i="14"/>
  <c r="P23" i="14"/>
  <c r="P24" i="14"/>
  <c r="P26" i="14"/>
  <c r="P28" i="14"/>
  <c r="P30" i="14"/>
  <c r="P31" i="14"/>
  <c r="P38" i="14"/>
  <c r="P39" i="14"/>
  <c r="P40" i="14"/>
  <c r="P43" i="14"/>
  <c r="P44" i="14"/>
  <c r="P46" i="14"/>
  <c r="P49" i="14"/>
  <c r="P51" i="14"/>
  <c r="P52" i="14"/>
  <c r="P54" i="14"/>
  <c r="P3" i="14"/>
  <c r="O5" i="14"/>
  <c r="P5" i="14" s="1"/>
  <c r="O6" i="14"/>
  <c r="O8" i="14"/>
  <c r="P8" i="14" s="1"/>
  <c r="O11" i="14"/>
  <c r="O12" i="14"/>
  <c r="P12" i="14" s="1"/>
  <c r="O15" i="14"/>
  <c r="P15" i="14" s="1"/>
  <c r="O17" i="14"/>
  <c r="P17" i="14" s="1"/>
  <c r="O18" i="14"/>
  <c r="O19" i="14"/>
  <c r="P19" i="14" s="1"/>
  <c r="O21" i="14"/>
  <c r="O22" i="14"/>
  <c r="P22" i="14" s="1"/>
  <c r="O27" i="14"/>
  <c r="P27" i="14" s="1"/>
  <c r="O28" i="14"/>
  <c r="O29" i="14"/>
  <c r="P29" i="14" s="1"/>
  <c r="O32" i="14"/>
  <c r="P32" i="14" s="1"/>
  <c r="O33" i="14"/>
  <c r="P33" i="14" s="1"/>
  <c r="O34" i="14"/>
  <c r="P34" i="14" s="1"/>
  <c r="O35" i="14"/>
  <c r="P35" i="14" s="1"/>
  <c r="O36" i="14"/>
  <c r="P36" i="14" s="1"/>
  <c r="O37" i="14"/>
  <c r="P37" i="14" s="1"/>
  <c r="O41" i="14"/>
  <c r="P41" i="14" s="1"/>
  <c r="O42" i="14"/>
  <c r="P42" i="14" s="1"/>
  <c r="O45" i="14"/>
  <c r="P45" i="14" s="1"/>
  <c r="O47" i="14"/>
  <c r="P47" i="14" s="1"/>
  <c r="O48" i="14"/>
  <c r="P48" i="14" s="1"/>
  <c r="O49" i="14"/>
  <c r="O50" i="14"/>
  <c r="P50" i="14" s="1"/>
  <c r="O51" i="14"/>
  <c r="O52" i="14"/>
  <c r="O53" i="14"/>
  <c r="P53" i="14" s="1"/>
  <c r="O54" i="14"/>
  <c r="O55" i="14"/>
  <c r="P55" i="14" s="1"/>
  <c r="O56" i="14"/>
  <c r="P56" i="14" s="1"/>
  <c r="J56" i="14" l="1"/>
  <c r="H56" i="14"/>
  <c r="N56" i="14" s="1"/>
  <c r="J55" i="14"/>
  <c r="H55" i="14"/>
  <c r="N55" i="14" s="1"/>
  <c r="Q54" i="14"/>
  <c r="J54" i="14"/>
  <c r="H54" i="14"/>
  <c r="N54" i="14" s="1"/>
  <c r="Q53" i="14"/>
  <c r="H53" i="14"/>
  <c r="N53" i="14" s="1"/>
  <c r="H52" i="14"/>
  <c r="N52" i="14" s="1"/>
  <c r="Q51" i="14"/>
  <c r="H51" i="14"/>
  <c r="N51" i="14" s="1"/>
  <c r="H50" i="14"/>
  <c r="N50" i="14" s="1"/>
  <c r="H49" i="14"/>
  <c r="N49" i="14" s="1"/>
  <c r="J48" i="14"/>
  <c r="H48" i="14"/>
  <c r="N48" i="14" s="1"/>
  <c r="J47" i="14"/>
  <c r="H47" i="14"/>
  <c r="N47" i="14" s="1"/>
  <c r="Q46" i="14"/>
  <c r="J46" i="14"/>
  <c r="H46" i="14"/>
  <c r="N46" i="14" s="1"/>
  <c r="Q45" i="14"/>
  <c r="H45" i="14"/>
  <c r="N45" i="14" s="1"/>
  <c r="H44" i="14"/>
  <c r="N44" i="14" s="1"/>
  <c r="Q43" i="14"/>
  <c r="H43" i="14"/>
  <c r="N43" i="14" s="1"/>
  <c r="H42" i="14"/>
  <c r="N42" i="14" s="1"/>
  <c r="H41" i="14"/>
  <c r="N41" i="14" s="1"/>
  <c r="J40" i="14"/>
  <c r="H40" i="14"/>
  <c r="N40" i="14" s="1"/>
  <c r="J39" i="14"/>
  <c r="H39" i="14"/>
  <c r="N39" i="14" s="1"/>
  <c r="H38" i="14"/>
  <c r="H37" i="14"/>
  <c r="H36" i="14"/>
  <c r="H35" i="14"/>
  <c r="H34" i="14"/>
  <c r="H33" i="14"/>
  <c r="H32" i="14"/>
  <c r="H31" i="14"/>
  <c r="N31" i="14" s="1"/>
  <c r="H30" i="14"/>
  <c r="H29" i="14"/>
  <c r="H28" i="14"/>
  <c r="H27" i="14"/>
  <c r="H26" i="14"/>
  <c r="N26" i="14" s="1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N13" i="14" s="1"/>
  <c r="Q12" i="14"/>
  <c r="J12" i="14"/>
  <c r="H12" i="14"/>
  <c r="N12" i="14" s="1"/>
  <c r="Q11" i="14"/>
  <c r="J11" i="14"/>
  <c r="H11" i="14"/>
  <c r="N11" i="14" s="1"/>
  <c r="H10" i="14"/>
  <c r="N10" i="14" s="1"/>
  <c r="Q9" i="14"/>
  <c r="H9" i="14"/>
  <c r="N9" i="14" s="1"/>
  <c r="H8" i="14"/>
  <c r="N8" i="14" s="1"/>
  <c r="H7" i="14"/>
  <c r="Q6" i="14"/>
  <c r="J6" i="14"/>
  <c r="H6" i="14"/>
  <c r="N6" i="14" s="1"/>
  <c r="Q5" i="14"/>
  <c r="J5" i="14"/>
  <c r="H5" i="14"/>
  <c r="N5" i="14" s="1"/>
  <c r="H4" i="14"/>
  <c r="N4" i="14" s="1"/>
  <c r="Q3" i="14"/>
  <c r="H3" i="14"/>
  <c r="N3" i="14" s="1"/>
  <c r="J37" i="14" l="1"/>
  <c r="N37" i="14"/>
  <c r="J18" i="14"/>
  <c r="N18" i="14"/>
  <c r="J31" i="14"/>
  <c r="J38" i="14"/>
  <c r="N38" i="14"/>
  <c r="J41" i="14"/>
  <c r="J49" i="14"/>
  <c r="Q7" i="14"/>
  <c r="N7" i="14"/>
  <c r="J19" i="14"/>
  <c r="N19" i="14"/>
  <c r="J26" i="14"/>
  <c r="Q31" i="14"/>
  <c r="Q41" i="14"/>
  <c r="J44" i="14"/>
  <c r="Q49" i="14"/>
  <c r="J52" i="14"/>
  <c r="J17" i="14"/>
  <c r="N17" i="14"/>
  <c r="J10" i="14"/>
  <c r="Q4" i="14"/>
  <c r="Q10" i="14"/>
  <c r="J13" i="14"/>
  <c r="Q26" i="14"/>
  <c r="J32" i="14"/>
  <c r="N32" i="14"/>
  <c r="Q44" i="14"/>
  <c r="Q52" i="14"/>
  <c r="J8" i="14"/>
  <c r="Q13" i="14"/>
  <c r="J21" i="14"/>
  <c r="N21" i="14"/>
  <c r="Q27" i="14"/>
  <c r="N27" i="14"/>
  <c r="J33" i="14"/>
  <c r="N33" i="14"/>
  <c r="Q39" i="14"/>
  <c r="J42" i="14"/>
  <c r="Q47" i="14"/>
  <c r="J50" i="14"/>
  <c r="Q55" i="14"/>
  <c r="J4" i="14"/>
  <c r="J20" i="14"/>
  <c r="N20" i="14"/>
  <c r="Q8" i="14"/>
  <c r="J22" i="14"/>
  <c r="N22" i="14"/>
  <c r="Q28" i="14"/>
  <c r="N28" i="14"/>
  <c r="J34" i="14"/>
  <c r="N34" i="14"/>
  <c r="Q42" i="14"/>
  <c r="J45" i="14"/>
  <c r="Q50" i="14"/>
  <c r="J53" i="14"/>
  <c r="J15" i="14"/>
  <c r="N15" i="14"/>
  <c r="J23" i="14"/>
  <c r="N23" i="14"/>
  <c r="Q29" i="14"/>
  <c r="N29" i="14"/>
  <c r="J35" i="14"/>
  <c r="N35" i="14"/>
  <c r="J3" i="14"/>
  <c r="J9" i="14"/>
  <c r="J16" i="14"/>
  <c r="N16" i="14"/>
  <c r="J24" i="14"/>
  <c r="N24" i="14"/>
  <c r="Q30" i="14"/>
  <c r="N30" i="14"/>
  <c r="J36" i="14"/>
  <c r="N36" i="14"/>
  <c r="Q40" i="14"/>
  <c r="J43" i="14"/>
  <c r="Q48" i="14"/>
  <c r="J51" i="14"/>
  <c r="Q56" i="14"/>
  <c r="J7" i="14"/>
  <c r="Q15" i="14"/>
  <c r="Q16" i="14"/>
  <c r="Q17" i="14"/>
  <c r="Q18" i="14"/>
  <c r="Q19" i="14"/>
  <c r="Q20" i="14"/>
  <c r="Q21" i="14"/>
  <c r="Q22" i="14"/>
  <c r="Q23" i="14"/>
  <c r="Q24" i="14"/>
  <c r="J27" i="14"/>
  <c r="J28" i="14"/>
  <c r="J29" i="14"/>
  <c r="J30" i="14"/>
  <c r="Q32" i="14"/>
  <c r="Q33" i="14"/>
  <c r="Q34" i="14"/>
  <c r="Q35" i="14"/>
  <c r="Q36" i="14"/>
  <c r="Q37" i="14"/>
  <c r="Q38" i="14"/>
  <c r="N56" i="13"/>
  <c r="J56" i="13"/>
  <c r="I56" i="13"/>
  <c r="H56" i="13"/>
  <c r="O56" i="13" s="1"/>
  <c r="P56" i="13" s="1"/>
  <c r="N55" i="13"/>
  <c r="J55" i="13"/>
  <c r="I55" i="13"/>
  <c r="H55" i="13"/>
  <c r="O55" i="13" s="1"/>
  <c r="P55" i="13" s="1"/>
  <c r="N54" i="13"/>
  <c r="J54" i="13"/>
  <c r="H54" i="13"/>
  <c r="O54" i="13" s="1"/>
  <c r="P54" i="13" s="1"/>
  <c r="N53" i="13"/>
  <c r="J53" i="13"/>
  <c r="H53" i="13"/>
  <c r="O53" i="13" s="1"/>
  <c r="P53" i="13" s="1"/>
  <c r="N52" i="13"/>
  <c r="J52" i="13"/>
  <c r="H52" i="13"/>
  <c r="O52" i="13" s="1"/>
  <c r="P52" i="13" s="1"/>
  <c r="N51" i="13"/>
  <c r="J51" i="13"/>
  <c r="H51" i="13"/>
  <c r="O51" i="13" s="1"/>
  <c r="P51" i="13" s="1"/>
  <c r="N50" i="13"/>
  <c r="J50" i="13"/>
  <c r="H50" i="13"/>
  <c r="O50" i="13" s="1"/>
  <c r="P50" i="13" s="1"/>
  <c r="N49" i="13"/>
  <c r="J49" i="13"/>
  <c r="H49" i="13"/>
  <c r="O49" i="13" s="1"/>
  <c r="P49" i="13" s="1"/>
  <c r="N48" i="13"/>
  <c r="J48" i="13"/>
  <c r="H48" i="13"/>
  <c r="O48" i="13" s="1"/>
  <c r="P48" i="13" s="1"/>
  <c r="N47" i="13"/>
  <c r="J47" i="13"/>
  <c r="H47" i="13"/>
  <c r="O47" i="13" s="1"/>
  <c r="P47" i="13" s="1"/>
  <c r="N46" i="13"/>
  <c r="J46" i="13"/>
  <c r="H46" i="13"/>
  <c r="O46" i="13" s="1"/>
  <c r="P46" i="13" s="1"/>
  <c r="N45" i="13"/>
  <c r="J45" i="13"/>
  <c r="H45" i="13"/>
  <c r="O45" i="13" s="1"/>
  <c r="P45" i="13" s="1"/>
  <c r="N44" i="13"/>
  <c r="J44" i="13"/>
  <c r="H44" i="13"/>
  <c r="O44" i="13" s="1"/>
  <c r="P44" i="13" s="1"/>
  <c r="N43" i="13"/>
  <c r="J43" i="13"/>
  <c r="H43" i="13"/>
  <c r="O43" i="13" s="1"/>
  <c r="P43" i="13" s="1"/>
  <c r="N42" i="13"/>
  <c r="J42" i="13"/>
  <c r="H42" i="13"/>
  <c r="O42" i="13" s="1"/>
  <c r="P42" i="13" s="1"/>
  <c r="N41" i="13"/>
  <c r="J41" i="13"/>
  <c r="H41" i="13"/>
  <c r="O41" i="13" s="1"/>
  <c r="P41" i="13" s="1"/>
  <c r="N40" i="13"/>
  <c r="J40" i="13"/>
  <c r="H40" i="13"/>
  <c r="O40" i="13" s="1"/>
  <c r="P40" i="13" s="1"/>
  <c r="N39" i="13"/>
  <c r="J39" i="13"/>
  <c r="H39" i="13"/>
  <c r="O39" i="13" s="1"/>
  <c r="P39" i="13" s="1"/>
  <c r="N38" i="13"/>
  <c r="J38" i="13"/>
  <c r="H38" i="13"/>
  <c r="O38" i="13" s="1"/>
  <c r="P38" i="13" s="1"/>
  <c r="N37" i="13"/>
  <c r="J37" i="13"/>
  <c r="H37" i="13"/>
  <c r="O37" i="13" s="1"/>
  <c r="P37" i="13" s="1"/>
  <c r="N36" i="13"/>
  <c r="J36" i="13"/>
  <c r="H36" i="13"/>
  <c r="O36" i="13" s="1"/>
  <c r="P36" i="13" s="1"/>
  <c r="N35" i="13"/>
  <c r="J35" i="13"/>
  <c r="H35" i="13"/>
  <c r="O35" i="13" s="1"/>
  <c r="P35" i="13" s="1"/>
  <c r="N34" i="13"/>
  <c r="J34" i="13"/>
  <c r="H34" i="13"/>
  <c r="O34" i="13" s="1"/>
  <c r="P34" i="13" s="1"/>
  <c r="N33" i="13"/>
  <c r="J33" i="13"/>
  <c r="H33" i="13"/>
  <c r="O33" i="13" s="1"/>
  <c r="P33" i="13" s="1"/>
  <c r="N32" i="13"/>
  <c r="J32" i="13"/>
  <c r="H32" i="13"/>
  <c r="O32" i="13" s="1"/>
  <c r="P32" i="13" s="1"/>
  <c r="N31" i="13"/>
  <c r="J31" i="13"/>
  <c r="H31" i="13"/>
  <c r="O31" i="13" s="1"/>
  <c r="P31" i="13" s="1"/>
  <c r="U30" i="13"/>
  <c r="U31" i="13" s="1"/>
  <c r="N30" i="13"/>
  <c r="J30" i="13"/>
  <c r="H30" i="13"/>
  <c r="O30" i="13" s="1"/>
  <c r="P30" i="13" s="1"/>
  <c r="N29" i="13"/>
  <c r="J29" i="13"/>
  <c r="H29" i="13"/>
  <c r="O29" i="13" s="1"/>
  <c r="P29" i="13" s="1"/>
  <c r="N28" i="13"/>
  <c r="J28" i="13"/>
  <c r="H28" i="13"/>
  <c r="O28" i="13" s="1"/>
  <c r="P28" i="13" s="1"/>
  <c r="N27" i="13"/>
  <c r="J27" i="13"/>
  <c r="H27" i="13"/>
  <c r="O27" i="13" s="1"/>
  <c r="P27" i="13" s="1"/>
  <c r="N26" i="13"/>
  <c r="J26" i="13"/>
  <c r="H26" i="13"/>
  <c r="O26" i="13" s="1"/>
  <c r="P26" i="13" s="1"/>
  <c r="H25" i="13"/>
  <c r="N24" i="13"/>
  <c r="H24" i="13"/>
  <c r="J24" i="13" s="1"/>
  <c r="N23" i="13"/>
  <c r="H23" i="13"/>
  <c r="O23" i="13" s="1"/>
  <c r="P23" i="13" s="1"/>
  <c r="N22" i="13"/>
  <c r="H22" i="13"/>
  <c r="J22" i="13" s="1"/>
  <c r="N21" i="13"/>
  <c r="H21" i="13"/>
  <c r="O21" i="13" s="1"/>
  <c r="P21" i="13" s="1"/>
  <c r="N20" i="13"/>
  <c r="H20" i="13"/>
  <c r="J20" i="13" s="1"/>
  <c r="N19" i="13"/>
  <c r="H19" i="13"/>
  <c r="O19" i="13" s="1"/>
  <c r="P19" i="13" s="1"/>
  <c r="N18" i="13"/>
  <c r="H18" i="13"/>
  <c r="O18" i="13" s="1"/>
  <c r="P18" i="13" s="1"/>
  <c r="N17" i="13"/>
  <c r="H17" i="13"/>
  <c r="O17" i="13" s="1"/>
  <c r="P17" i="13" s="1"/>
  <c r="Y16" i="13"/>
  <c r="Y18" i="13" s="1"/>
  <c r="X16" i="13"/>
  <c r="X18" i="13" s="1"/>
  <c r="W16" i="13"/>
  <c r="W18" i="13" s="1"/>
  <c r="V16" i="13"/>
  <c r="V18" i="13" s="1"/>
  <c r="U16" i="13"/>
  <c r="U18" i="13" s="1"/>
  <c r="N16" i="13"/>
  <c r="H16" i="13"/>
  <c r="O16" i="13" s="1"/>
  <c r="P16" i="13" s="1"/>
  <c r="Z15" i="13"/>
  <c r="N15" i="13"/>
  <c r="J15" i="13"/>
  <c r="H15" i="13"/>
  <c r="O15" i="13" s="1"/>
  <c r="P15" i="13" s="1"/>
  <c r="Z14" i="13"/>
  <c r="H14" i="13"/>
  <c r="Z13" i="13"/>
  <c r="N13" i="13"/>
  <c r="H13" i="13"/>
  <c r="O13" i="13" s="1"/>
  <c r="P13" i="13" s="1"/>
  <c r="Z12" i="13"/>
  <c r="N12" i="13"/>
  <c r="H12" i="13"/>
  <c r="O12" i="13" s="1"/>
  <c r="P12" i="13" s="1"/>
  <c r="Z11" i="13"/>
  <c r="N11" i="13"/>
  <c r="H11" i="13"/>
  <c r="I11" i="13" s="1"/>
  <c r="Z10" i="13"/>
  <c r="N10" i="13"/>
  <c r="H10" i="13"/>
  <c r="O10" i="13" s="1"/>
  <c r="Z9" i="13"/>
  <c r="N9" i="13"/>
  <c r="I9" i="13"/>
  <c r="H9" i="13"/>
  <c r="O9" i="13" s="1"/>
  <c r="P9" i="13" s="1"/>
  <c r="Z8" i="13"/>
  <c r="N8" i="13"/>
  <c r="H8" i="13"/>
  <c r="I8" i="13" s="1"/>
  <c r="Z7" i="13"/>
  <c r="N7" i="13"/>
  <c r="H7" i="13"/>
  <c r="O7" i="13" s="1"/>
  <c r="P7" i="13" s="1"/>
  <c r="Z6" i="13"/>
  <c r="N6" i="13"/>
  <c r="H6" i="13"/>
  <c r="O6" i="13" s="1"/>
  <c r="P6" i="13" s="1"/>
  <c r="Z5" i="13"/>
  <c r="N5" i="13"/>
  <c r="H5" i="13"/>
  <c r="O5" i="13" s="1"/>
  <c r="P5" i="13" s="1"/>
  <c r="Z4" i="13"/>
  <c r="N4" i="13"/>
  <c r="H4" i="13"/>
  <c r="J4" i="13" s="1"/>
  <c r="N3" i="13"/>
  <c r="H3" i="13"/>
  <c r="O3" i="13" s="1"/>
  <c r="P3" i="13" s="1"/>
  <c r="N56" i="12"/>
  <c r="J56" i="12"/>
  <c r="I56" i="12"/>
  <c r="H56" i="12"/>
  <c r="O56" i="12" s="1"/>
  <c r="P56" i="12" s="1"/>
  <c r="N55" i="12"/>
  <c r="J55" i="12"/>
  <c r="H55" i="12"/>
  <c r="O55" i="12" s="1"/>
  <c r="P55" i="12" s="1"/>
  <c r="N54" i="12"/>
  <c r="J54" i="12"/>
  <c r="I54" i="12"/>
  <c r="H54" i="12"/>
  <c r="O54" i="12" s="1"/>
  <c r="P54" i="12" s="1"/>
  <c r="N53" i="12"/>
  <c r="J53" i="12"/>
  <c r="H53" i="12"/>
  <c r="O53" i="12" s="1"/>
  <c r="P53" i="12" s="1"/>
  <c r="N52" i="12"/>
  <c r="J52" i="12"/>
  <c r="I52" i="12"/>
  <c r="H52" i="12"/>
  <c r="O52" i="12" s="1"/>
  <c r="P52" i="12" s="1"/>
  <c r="N51" i="12"/>
  <c r="J51" i="12"/>
  <c r="H51" i="12"/>
  <c r="O51" i="12" s="1"/>
  <c r="P51" i="12" s="1"/>
  <c r="N50" i="12"/>
  <c r="J50" i="12"/>
  <c r="I50" i="12"/>
  <c r="H50" i="12"/>
  <c r="O50" i="12" s="1"/>
  <c r="P50" i="12" s="1"/>
  <c r="N49" i="12"/>
  <c r="J49" i="12"/>
  <c r="H49" i="12"/>
  <c r="O49" i="12" s="1"/>
  <c r="P49" i="12" s="1"/>
  <c r="N48" i="12"/>
  <c r="J48" i="12"/>
  <c r="I48" i="12"/>
  <c r="H48" i="12"/>
  <c r="O48" i="12" s="1"/>
  <c r="P48" i="12" s="1"/>
  <c r="N47" i="12"/>
  <c r="J47" i="12"/>
  <c r="H47" i="12"/>
  <c r="O47" i="12" s="1"/>
  <c r="P47" i="12" s="1"/>
  <c r="N46" i="12"/>
  <c r="J46" i="12"/>
  <c r="I46" i="12"/>
  <c r="H46" i="12"/>
  <c r="O46" i="12" s="1"/>
  <c r="P46" i="12" s="1"/>
  <c r="N45" i="12"/>
  <c r="J45" i="12"/>
  <c r="H45" i="12"/>
  <c r="O45" i="12" s="1"/>
  <c r="P45" i="12" s="1"/>
  <c r="N44" i="12"/>
  <c r="J44" i="12"/>
  <c r="I44" i="12"/>
  <c r="H44" i="12"/>
  <c r="O44" i="12" s="1"/>
  <c r="P44" i="12" s="1"/>
  <c r="N43" i="12"/>
  <c r="J43" i="12"/>
  <c r="H43" i="12"/>
  <c r="O43" i="12" s="1"/>
  <c r="P43" i="12" s="1"/>
  <c r="N42" i="12"/>
  <c r="J42" i="12"/>
  <c r="I42" i="12"/>
  <c r="H42" i="12"/>
  <c r="O42" i="12" s="1"/>
  <c r="P42" i="12" s="1"/>
  <c r="N41" i="12"/>
  <c r="J41" i="12"/>
  <c r="H41" i="12"/>
  <c r="O41" i="12" s="1"/>
  <c r="P41" i="12" s="1"/>
  <c r="N40" i="12"/>
  <c r="J40" i="12"/>
  <c r="I40" i="12"/>
  <c r="H40" i="12"/>
  <c r="O40" i="12" s="1"/>
  <c r="P40" i="12" s="1"/>
  <c r="N39" i="12"/>
  <c r="J39" i="12"/>
  <c r="H39" i="12"/>
  <c r="O39" i="12" s="1"/>
  <c r="P39" i="12" s="1"/>
  <c r="N38" i="12"/>
  <c r="J38" i="12"/>
  <c r="I38" i="12"/>
  <c r="H38" i="12"/>
  <c r="O38" i="12" s="1"/>
  <c r="P38" i="12" s="1"/>
  <c r="N37" i="12"/>
  <c r="J37" i="12"/>
  <c r="H37" i="12"/>
  <c r="O37" i="12" s="1"/>
  <c r="P37" i="12" s="1"/>
  <c r="N36" i="12"/>
  <c r="J36" i="12"/>
  <c r="I36" i="12"/>
  <c r="H36" i="12"/>
  <c r="O36" i="12" s="1"/>
  <c r="P36" i="12" s="1"/>
  <c r="N35" i="12"/>
  <c r="J35" i="12"/>
  <c r="H35" i="12"/>
  <c r="O35" i="12" s="1"/>
  <c r="P35" i="12" s="1"/>
  <c r="N34" i="12"/>
  <c r="J34" i="12"/>
  <c r="I34" i="12"/>
  <c r="H34" i="12"/>
  <c r="O34" i="12" s="1"/>
  <c r="P34" i="12" s="1"/>
  <c r="N33" i="12"/>
  <c r="J33" i="12"/>
  <c r="H33" i="12"/>
  <c r="O33" i="12" s="1"/>
  <c r="P33" i="12" s="1"/>
  <c r="N32" i="12"/>
  <c r="J32" i="12"/>
  <c r="I32" i="12"/>
  <c r="H32" i="12"/>
  <c r="O32" i="12" s="1"/>
  <c r="P32" i="12" s="1"/>
  <c r="N31" i="12"/>
  <c r="J31" i="12"/>
  <c r="H31" i="12"/>
  <c r="O31" i="12" s="1"/>
  <c r="P31" i="12" s="1"/>
  <c r="U30" i="12"/>
  <c r="U31" i="12" s="1"/>
  <c r="N30" i="12"/>
  <c r="J30" i="12"/>
  <c r="I30" i="12"/>
  <c r="H30" i="12"/>
  <c r="O30" i="12" s="1"/>
  <c r="P30" i="12" s="1"/>
  <c r="N29" i="12"/>
  <c r="J29" i="12"/>
  <c r="H29" i="12"/>
  <c r="O29" i="12" s="1"/>
  <c r="P29" i="12" s="1"/>
  <c r="N28" i="12"/>
  <c r="J28" i="12"/>
  <c r="I28" i="12"/>
  <c r="H28" i="12"/>
  <c r="O28" i="12" s="1"/>
  <c r="P28" i="12" s="1"/>
  <c r="N27" i="12"/>
  <c r="J27" i="12"/>
  <c r="H27" i="12"/>
  <c r="O27" i="12" s="1"/>
  <c r="P27" i="12" s="1"/>
  <c r="N26" i="12"/>
  <c r="I26" i="12"/>
  <c r="H26" i="12"/>
  <c r="O26" i="12" s="1"/>
  <c r="P26" i="12" s="1"/>
  <c r="H25" i="12"/>
  <c r="N24" i="12"/>
  <c r="H24" i="12"/>
  <c r="J24" i="12" s="1"/>
  <c r="N23" i="12"/>
  <c r="J23" i="12"/>
  <c r="H23" i="12"/>
  <c r="O23" i="12" s="1"/>
  <c r="P23" i="12" s="1"/>
  <c r="N22" i="12"/>
  <c r="H22" i="12"/>
  <c r="J22" i="12" s="1"/>
  <c r="N21" i="12"/>
  <c r="H21" i="12"/>
  <c r="O21" i="12" s="1"/>
  <c r="P21" i="12" s="1"/>
  <c r="N20" i="12"/>
  <c r="H20" i="12"/>
  <c r="J20" i="12" s="1"/>
  <c r="N19" i="12"/>
  <c r="J19" i="12"/>
  <c r="H19" i="12"/>
  <c r="O19" i="12" s="1"/>
  <c r="P19" i="12" s="1"/>
  <c r="N18" i="12"/>
  <c r="H18" i="12"/>
  <c r="O18" i="12" s="1"/>
  <c r="P18" i="12" s="1"/>
  <c r="N17" i="12"/>
  <c r="J17" i="12"/>
  <c r="H17" i="12"/>
  <c r="O17" i="12" s="1"/>
  <c r="P17" i="12" s="1"/>
  <c r="Y16" i="12"/>
  <c r="Y18" i="12" s="1"/>
  <c r="X16" i="12"/>
  <c r="X18" i="12" s="1"/>
  <c r="W16" i="12"/>
  <c r="W18" i="12" s="1"/>
  <c r="V16" i="12"/>
  <c r="V18" i="12" s="1"/>
  <c r="U16" i="12"/>
  <c r="U18" i="12" s="1"/>
  <c r="N16" i="12"/>
  <c r="J16" i="12"/>
  <c r="H16" i="12"/>
  <c r="O16" i="12" s="1"/>
  <c r="P16" i="12" s="1"/>
  <c r="Z15" i="12"/>
  <c r="N15" i="12"/>
  <c r="H15" i="12"/>
  <c r="O15" i="12" s="1"/>
  <c r="P15" i="12" s="1"/>
  <c r="Z14" i="12"/>
  <c r="H14" i="12"/>
  <c r="Z13" i="12"/>
  <c r="N13" i="12"/>
  <c r="J13" i="12"/>
  <c r="H13" i="12"/>
  <c r="O13" i="12" s="1"/>
  <c r="P13" i="12" s="1"/>
  <c r="Z12" i="12"/>
  <c r="N12" i="12"/>
  <c r="J12" i="12"/>
  <c r="I12" i="12"/>
  <c r="H12" i="12"/>
  <c r="O12" i="12" s="1"/>
  <c r="P12" i="12" s="1"/>
  <c r="Z11" i="12"/>
  <c r="N11" i="12"/>
  <c r="H11" i="12"/>
  <c r="I11" i="12" s="1"/>
  <c r="Z10" i="12"/>
  <c r="N10" i="12"/>
  <c r="J10" i="12"/>
  <c r="H10" i="12"/>
  <c r="I10" i="12" s="1"/>
  <c r="Z9" i="12"/>
  <c r="N9" i="12"/>
  <c r="I9" i="12"/>
  <c r="H9" i="12"/>
  <c r="J9" i="12" s="1"/>
  <c r="Z8" i="12"/>
  <c r="N8" i="12"/>
  <c r="H8" i="12"/>
  <c r="J8" i="12" s="1"/>
  <c r="Z7" i="12"/>
  <c r="N7" i="12"/>
  <c r="I7" i="12"/>
  <c r="H7" i="12"/>
  <c r="O7" i="12" s="1"/>
  <c r="P7" i="12" s="1"/>
  <c r="Z6" i="12"/>
  <c r="N6" i="12"/>
  <c r="H6" i="12"/>
  <c r="I6" i="12" s="1"/>
  <c r="Z5" i="12"/>
  <c r="N5" i="12"/>
  <c r="I5" i="12"/>
  <c r="H5" i="12"/>
  <c r="J5" i="12" s="1"/>
  <c r="Z4" i="12"/>
  <c r="N4" i="12"/>
  <c r="H4" i="12"/>
  <c r="J4" i="12" s="1"/>
  <c r="N3" i="12"/>
  <c r="J3" i="12"/>
  <c r="H3" i="12"/>
  <c r="O3" i="12" s="1"/>
  <c r="P3" i="12" s="1"/>
  <c r="N56" i="11"/>
  <c r="J56" i="11"/>
  <c r="H56" i="11"/>
  <c r="I56" i="11" s="1"/>
  <c r="N55" i="11"/>
  <c r="J55" i="11"/>
  <c r="H55" i="11"/>
  <c r="I55" i="11" s="1"/>
  <c r="N54" i="11"/>
  <c r="J54" i="11"/>
  <c r="H54" i="11"/>
  <c r="I54" i="11" s="1"/>
  <c r="N53" i="11"/>
  <c r="J53" i="11"/>
  <c r="H53" i="11"/>
  <c r="I53" i="11" s="1"/>
  <c r="N52" i="11"/>
  <c r="J52" i="11"/>
  <c r="H52" i="11"/>
  <c r="I52" i="11" s="1"/>
  <c r="N51" i="11"/>
  <c r="J51" i="11"/>
  <c r="H51" i="11"/>
  <c r="I51" i="11" s="1"/>
  <c r="N50" i="11"/>
  <c r="J50" i="11"/>
  <c r="H50" i="11"/>
  <c r="I50" i="11" s="1"/>
  <c r="N49" i="11"/>
  <c r="J49" i="11"/>
  <c r="H49" i="11"/>
  <c r="I49" i="11" s="1"/>
  <c r="N48" i="11"/>
  <c r="J48" i="11"/>
  <c r="H48" i="11"/>
  <c r="I48" i="11" s="1"/>
  <c r="N47" i="11"/>
  <c r="J47" i="11"/>
  <c r="H47" i="11"/>
  <c r="I47" i="11" s="1"/>
  <c r="N46" i="11"/>
  <c r="J46" i="11"/>
  <c r="H46" i="11"/>
  <c r="I46" i="11" s="1"/>
  <c r="N45" i="11"/>
  <c r="J45" i="11"/>
  <c r="H45" i="11"/>
  <c r="I45" i="11" s="1"/>
  <c r="N44" i="11"/>
  <c r="J44" i="11"/>
  <c r="H44" i="11"/>
  <c r="I44" i="11" s="1"/>
  <c r="N43" i="11"/>
  <c r="J43" i="11"/>
  <c r="H43" i="11"/>
  <c r="I43" i="11" s="1"/>
  <c r="N42" i="11"/>
  <c r="J42" i="11"/>
  <c r="H42" i="11"/>
  <c r="I42" i="11" s="1"/>
  <c r="N41" i="11"/>
  <c r="J41" i="11"/>
  <c r="H41" i="11"/>
  <c r="I41" i="11" s="1"/>
  <c r="N40" i="11"/>
  <c r="J40" i="11"/>
  <c r="H40" i="11"/>
  <c r="I40" i="11" s="1"/>
  <c r="N39" i="11"/>
  <c r="J39" i="11"/>
  <c r="H39" i="11"/>
  <c r="I39" i="11" s="1"/>
  <c r="N38" i="11"/>
  <c r="J38" i="11"/>
  <c r="H38" i="11"/>
  <c r="I38" i="11" s="1"/>
  <c r="N37" i="11"/>
  <c r="J37" i="11"/>
  <c r="H37" i="11"/>
  <c r="I37" i="11" s="1"/>
  <c r="N36" i="11"/>
  <c r="J36" i="11"/>
  <c r="H36" i="11"/>
  <c r="I36" i="11" s="1"/>
  <c r="N35" i="11"/>
  <c r="J35" i="11"/>
  <c r="H35" i="11"/>
  <c r="I35" i="11" s="1"/>
  <c r="N34" i="11"/>
  <c r="J34" i="11"/>
  <c r="H34" i="11"/>
  <c r="I34" i="11" s="1"/>
  <c r="N33" i="11"/>
  <c r="J33" i="11"/>
  <c r="H33" i="11"/>
  <c r="I33" i="11" s="1"/>
  <c r="N32" i="11"/>
  <c r="J32" i="11"/>
  <c r="H32" i="11"/>
  <c r="I32" i="11" s="1"/>
  <c r="N31" i="11"/>
  <c r="J31" i="11"/>
  <c r="I31" i="11"/>
  <c r="H31" i="11"/>
  <c r="O31" i="11" s="1"/>
  <c r="P31" i="11" s="1"/>
  <c r="U30" i="11"/>
  <c r="U31" i="11" s="1"/>
  <c r="N30" i="11"/>
  <c r="J30" i="11"/>
  <c r="H30" i="11"/>
  <c r="I30" i="11" s="1"/>
  <c r="N29" i="11"/>
  <c r="J29" i="11"/>
  <c r="H29" i="11"/>
  <c r="I29" i="11" s="1"/>
  <c r="N28" i="11"/>
  <c r="J28" i="11"/>
  <c r="H28" i="11"/>
  <c r="I28" i="11" s="1"/>
  <c r="N27" i="11"/>
  <c r="J27" i="11"/>
  <c r="H27" i="11"/>
  <c r="I27" i="11" s="1"/>
  <c r="N26" i="11"/>
  <c r="J26" i="11"/>
  <c r="H26" i="11"/>
  <c r="I26" i="11" s="1"/>
  <c r="H25" i="11"/>
  <c r="N24" i="11"/>
  <c r="I24" i="11"/>
  <c r="H24" i="11"/>
  <c r="J24" i="11" s="1"/>
  <c r="N23" i="11"/>
  <c r="H23" i="11"/>
  <c r="O23" i="11" s="1"/>
  <c r="P23" i="11" s="1"/>
  <c r="N22" i="11"/>
  <c r="H22" i="11"/>
  <c r="J22" i="11" s="1"/>
  <c r="N21" i="11"/>
  <c r="I21" i="11"/>
  <c r="H21" i="11"/>
  <c r="O21" i="11" s="1"/>
  <c r="P21" i="11" s="1"/>
  <c r="N20" i="11"/>
  <c r="I20" i="11"/>
  <c r="H20" i="11"/>
  <c r="J20" i="11" s="1"/>
  <c r="N19" i="11"/>
  <c r="I19" i="11"/>
  <c r="H19" i="11"/>
  <c r="O19" i="11" s="1"/>
  <c r="P19" i="11" s="1"/>
  <c r="N18" i="11"/>
  <c r="H18" i="11"/>
  <c r="O18" i="11" s="1"/>
  <c r="P18" i="11" s="1"/>
  <c r="N17" i="11"/>
  <c r="I17" i="11"/>
  <c r="H17" i="11"/>
  <c r="O17" i="11" s="1"/>
  <c r="P17" i="11" s="1"/>
  <c r="Y16" i="11"/>
  <c r="Y18" i="11" s="1"/>
  <c r="X16" i="11"/>
  <c r="X18" i="11" s="1"/>
  <c r="W16" i="11"/>
  <c r="W18" i="11" s="1"/>
  <c r="V16" i="11"/>
  <c r="V18" i="11" s="1"/>
  <c r="U16" i="11"/>
  <c r="U18" i="11" s="1"/>
  <c r="N16" i="11"/>
  <c r="H16" i="11"/>
  <c r="O16" i="11" s="1"/>
  <c r="P16" i="11" s="1"/>
  <c r="Z15" i="11"/>
  <c r="N15" i="11"/>
  <c r="H15" i="11"/>
  <c r="I15" i="11" s="1"/>
  <c r="Z14" i="11"/>
  <c r="H14" i="11"/>
  <c r="Z13" i="11"/>
  <c r="N13" i="11"/>
  <c r="I13" i="11"/>
  <c r="H13" i="11"/>
  <c r="O13" i="11" s="1"/>
  <c r="P13" i="11" s="1"/>
  <c r="Z12" i="11"/>
  <c r="N12" i="11"/>
  <c r="J12" i="11"/>
  <c r="H12" i="11"/>
  <c r="I12" i="11" s="1"/>
  <c r="Z11" i="11"/>
  <c r="N11" i="11"/>
  <c r="I11" i="11"/>
  <c r="H11" i="11"/>
  <c r="J11" i="11" s="1"/>
  <c r="Z10" i="11"/>
  <c r="N10" i="11"/>
  <c r="I10" i="11"/>
  <c r="H10" i="11"/>
  <c r="O10" i="11" s="1"/>
  <c r="Z9" i="11"/>
  <c r="N9" i="11"/>
  <c r="J9" i="11"/>
  <c r="H9" i="11"/>
  <c r="I9" i="11" s="1"/>
  <c r="Z8" i="11"/>
  <c r="N8" i="11"/>
  <c r="I8" i="11"/>
  <c r="H8" i="11"/>
  <c r="J8" i="11" s="1"/>
  <c r="Z7" i="11"/>
  <c r="N7" i="11"/>
  <c r="H7" i="11"/>
  <c r="I7" i="11" s="1"/>
  <c r="Z6" i="11"/>
  <c r="N6" i="11"/>
  <c r="I6" i="11"/>
  <c r="H6" i="11"/>
  <c r="O6" i="11" s="1"/>
  <c r="P6" i="11" s="1"/>
  <c r="Z5" i="11"/>
  <c r="N5" i="11"/>
  <c r="J5" i="11"/>
  <c r="H5" i="11"/>
  <c r="I5" i="11" s="1"/>
  <c r="Z4" i="11"/>
  <c r="N4" i="11"/>
  <c r="I4" i="11"/>
  <c r="H4" i="11"/>
  <c r="J4" i="11" s="1"/>
  <c r="N3" i="11"/>
  <c r="J3" i="11"/>
  <c r="I3" i="11"/>
  <c r="H3" i="11"/>
  <c r="O3" i="11" s="1"/>
  <c r="P3" i="11" s="1"/>
  <c r="I16" i="11" l="1"/>
  <c r="I22" i="11"/>
  <c r="J26" i="12"/>
  <c r="I5" i="13"/>
  <c r="I7" i="13"/>
  <c r="J9" i="13"/>
  <c r="J17" i="13"/>
  <c r="J23" i="13"/>
  <c r="J16" i="11"/>
  <c r="J5" i="13"/>
  <c r="I12" i="13"/>
  <c r="Z18" i="13"/>
  <c r="I27" i="13"/>
  <c r="I29" i="13"/>
  <c r="I33" i="13"/>
  <c r="I35" i="13"/>
  <c r="I37" i="13"/>
  <c r="I39" i="13"/>
  <c r="I41" i="13"/>
  <c r="I43" i="13"/>
  <c r="I45" i="13"/>
  <c r="I47" i="13"/>
  <c r="I49" i="13"/>
  <c r="I51" i="13"/>
  <c r="I53" i="13"/>
  <c r="Z18" i="11"/>
  <c r="I23" i="11"/>
  <c r="J6" i="12"/>
  <c r="Z18" i="12"/>
  <c r="I27" i="12"/>
  <c r="I29" i="12"/>
  <c r="I33" i="12"/>
  <c r="I35" i="12"/>
  <c r="I37" i="12"/>
  <c r="I39" i="12"/>
  <c r="I41" i="12"/>
  <c r="I43" i="12"/>
  <c r="I45" i="12"/>
  <c r="I47" i="12"/>
  <c r="I49" i="12"/>
  <c r="I51" i="12"/>
  <c r="I53" i="12"/>
  <c r="I55" i="12"/>
  <c r="J12" i="13"/>
  <c r="J18" i="13"/>
  <c r="J21" i="13"/>
  <c r="J6" i="11"/>
  <c r="J15" i="11"/>
  <c r="I18" i="11"/>
  <c r="I15" i="12"/>
  <c r="J18" i="12"/>
  <c r="J21" i="12"/>
  <c r="I15" i="13"/>
  <c r="J15" i="12"/>
  <c r="Z16" i="13"/>
  <c r="J19" i="13"/>
  <c r="I26" i="13"/>
  <c r="I28" i="13"/>
  <c r="I30" i="13"/>
  <c r="I32" i="13"/>
  <c r="I34" i="13"/>
  <c r="I36" i="13"/>
  <c r="I38" i="13"/>
  <c r="I40" i="13"/>
  <c r="I42" i="13"/>
  <c r="I44" i="13"/>
  <c r="I46" i="13"/>
  <c r="I48" i="13"/>
  <c r="I50" i="13"/>
  <c r="I52" i="13"/>
  <c r="I54" i="13"/>
  <c r="Z16" i="12"/>
  <c r="J8" i="13"/>
  <c r="J11" i="13"/>
  <c r="I3" i="13"/>
  <c r="I6" i="13"/>
  <c r="J7" i="13"/>
  <c r="I10" i="13"/>
  <c r="I13" i="13"/>
  <c r="I16" i="13"/>
  <c r="I17" i="13"/>
  <c r="X17" i="13"/>
  <c r="I18" i="13"/>
  <c r="I19" i="13"/>
  <c r="I21" i="13"/>
  <c r="I23" i="13"/>
  <c r="I31" i="13"/>
  <c r="J3" i="13"/>
  <c r="O4" i="13"/>
  <c r="P4" i="13" s="1"/>
  <c r="J6" i="13"/>
  <c r="J10" i="13"/>
  <c r="O11" i="13"/>
  <c r="P11" i="13" s="1"/>
  <c r="J13" i="13"/>
  <c r="J16" i="13"/>
  <c r="U17" i="13"/>
  <c r="Y17" i="13"/>
  <c r="O20" i="13"/>
  <c r="P20" i="13" s="1"/>
  <c r="O22" i="13"/>
  <c r="P22" i="13" s="1"/>
  <c r="O24" i="13"/>
  <c r="P24" i="13" s="1"/>
  <c r="O8" i="13"/>
  <c r="P8" i="13" s="1"/>
  <c r="I4" i="13"/>
  <c r="V17" i="13"/>
  <c r="I20" i="13"/>
  <c r="I22" i="13"/>
  <c r="I24" i="13"/>
  <c r="W17" i="13"/>
  <c r="O6" i="12"/>
  <c r="P6" i="12" s="1"/>
  <c r="O10" i="12"/>
  <c r="J11" i="12"/>
  <c r="I3" i="12"/>
  <c r="O5" i="12"/>
  <c r="P5" i="12" s="1"/>
  <c r="J7" i="12"/>
  <c r="O9" i="12"/>
  <c r="P9" i="12" s="1"/>
  <c r="I13" i="12"/>
  <c r="I16" i="12"/>
  <c r="I17" i="12"/>
  <c r="X17" i="12"/>
  <c r="I18" i="12"/>
  <c r="I19" i="12"/>
  <c r="I21" i="12"/>
  <c r="I23" i="12"/>
  <c r="I31" i="12"/>
  <c r="O8" i="12"/>
  <c r="P8" i="12" s="1"/>
  <c r="O11" i="12"/>
  <c r="P11" i="12" s="1"/>
  <c r="U17" i="12"/>
  <c r="Y17" i="12"/>
  <c r="O20" i="12"/>
  <c r="P20" i="12" s="1"/>
  <c r="O22" i="12"/>
  <c r="P22" i="12" s="1"/>
  <c r="O24" i="12"/>
  <c r="P24" i="12" s="1"/>
  <c r="O4" i="12"/>
  <c r="P4" i="12" s="1"/>
  <c r="I4" i="12"/>
  <c r="I8" i="12"/>
  <c r="V17" i="12"/>
  <c r="I20" i="12"/>
  <c r="I22" i="12"/>
  <c r="I24" i="12"/>
  <c r="W17" i="12"/>
  <c r="Z16" i="11"/>
  <c r="O5" i="11"/>
  <c r="P5" i="11" s="1"/>
  <c r="J7" i="11"/>
  <c r="O9" i="11"/>
  <c r="P9" i="11" s="1"/>
  <c r="O12" i="11"/>
  <c r="P12" i="11" s="1"/>
  <c r="O15" i="11"/>
  <c r="P15" i="11" s="1"/>
  <c r="X17" i="11"/>
  <c r="O26" i="11"/>
  <c r="P26" i="11" s="1"/>
  <c r="O28" i="11"/>
  <c r="P28" i="11" s="1"/>
  <c r="O30" i="11"/>
  <c r="P30" i="11" s="1"/>
  <c r="O33" i="11"/>
  <c r="P33" i="11" s="1"/>
  <c r="O35" i="11"/>
  <c r="P35" i="11" s="1"/>
  <c r="O37" i="11"/>
  <c r="P37" i="11" s="1"/>
  <c r="O39" i="11"/>
  <c r="P39" i="11" s="1"/>
  <c r="O41" i="11"/>
  <c r="P41" i="11" s="1"/>
  <c r="O43" i="11"/>
  <c r="P43" i="11" s="1"/>
  <c r="O45" i="11"/>
  <c r="P45" i="11" s="1"/>
  <c r="O47" i="11"/>
  <c r="P47" i="11" s="1"/>
  <c r="O49" i="11"/>
  <c r="P49" i="11" s="1"/>
  <c r="O51" i="11"/>
  <c r="P51" i="11" s="1"/>
  <c r="O53" i="11"/>
  <c r="P53" i="11" s="1"/>
  <c r="O55" i="11"/>
  <c r="P55" i="11" s="1"/>
  <c r="O4" i="11"/>
  <c r="P4" i="11" s="1"/>
  <c r="O8" i="11"/>
  <c r="P8" i="11" s="1"/>
  <c r="J10" i="11"/>
  <c r="O11" i="11"/>
  <c r="P11" i="11" s="1"/>
  <c r="J13" i="11"/>
  <c r="J17" i="11"/>
  <c r="U17" i="11"/>
  <c r="Y17" i="11"/>
  <c r="J18" i="11"/>
  <c r="J19" i="11"/>
  <c r="O20" i="11"/>
  <c r="P20" i="11" s="1"/>
  <c r="J21" i="11"/>
  <c r="O22" i="11"/>
  <c r="P22" i="11" s="1"/>
  <c r="J23" i="11"/>
  <c r="O24" i="11"/>
  <c r="P24" i="11" s="1"/>
  <c r="V17" i="11"/>
  <c r="O27" i="11"/>
  <c r="P27" i="11" s="1"/>
  <c r="O29" i="11"/>
  <c r="P29" i="11" s="1"/>
  <c r="O32" i="11"/>
  <c r="P32" i="11" s="1"/>
  <c r="O34" i="11"/>
  <c r="P34" i="11" s="1"/>
  <c r="O36" i="11"/>
  <c r="P36" i="11" s="1"/>
  <c r="O38" i="11"/>
  <c r="P38" i="11" s="1"/>
  <c r="O40" i="11"/>
  <c r="P40" i="11" s="1"/>
  <c r="O42" i="11"/>
  <c r="P42" i="11" s="1"/>
  <c r="O44" i="11"/>
  <c r="P44" i="11" s="1"/>
  <c r="O46" i="11"/>
  <c r="P46" i="11" s="1"/>
  <c r="O48" i="11"/>
  <c r="P48" i="11" s="1"/>
  <c r="O50" i="11"/>
  <c r="P50" i="11" s="1"/>
  <c r="O52" i="11"/>
  <c r="P52" i="11" s="1"/>
  <c r="O54" i="11"/>
  <c r="P54" i="11" s="1"/>
  <c r="O56" i="11"/>
  <c r="P56" i="11" s="1"/>
  <c r="O7" i="11"/>
  <c r="P7" i="11" s="1"/>
  <c r="W17" i="11"/>
  <c r="Z17" i="13" l="1"/>
  <c r="Z17" i="12"/>
  <c r="Z17" i="11"/>
  <c r="U30" i="10" l="1"/>
  <c r="N56" i="10"/>
  <c r="J56" i="10"/>
  <c r="H56" i="10"/>
  <c r="I56" i="10" s="1"/>
  <c r="N55" i="10"/>
  <c r="J55" i="10"/>
  <c r="H55" i="10"/>
  <c r="I55" i="10" s="1"/>
  <c r="N54" i="10"/>
  <c r="J54" i="10"/>
  <c r="H54" i="10"/>
  <c r="I54" i="10" s="1"/>
  <c r="N53" i="10"/>
  <c r="J53" i="10"/>
  <c r="H53" i="10"/>
  <c r="I53" i="10" s="1"/>
  <c r="N52" i="10"/>
  <c r="J52" i="10"/>
  <c r="H52" i="10"/>
  <c r="I52" i="10" s="1"/>
  <c r="N51" i="10"/>
  <c r="J51" i="10"/>
  <c r="H51" i="10"/>
  <c r="I51" i="10" s="1"/>
  <c r="N50" i="10"/>
  <c r="J50" i="10"/>
  <c r="H50" i="10"/>
  <c r="I50" i="10" s="1"/>
  <c r="N49" i="10"/>
  <c r="J49" i="10"/>
  <c r="H49" i="10"/>
  <c r="I49" i="10" s="1"/>
  <c r="N48" i="10"/>
  <c r="J48" i="10"/>
  <c r="H48" i="10"/>
  <c r="I48" i="10" s="1"/>
  <c r="N47" i="10"/>
  <c r="J47" i="10"/>
  <c r="H47" i="10"/>
  <c r="I47" i="10" s="1"/>
  <c r="N46" i="10"/>
  <c r="J46" i="10"/>
  <c r="H46" i="10"/>
  <c r="I46" i="10" s="1"/>
  <c r="N45" i="10"/>
  <c r="J45" i="10"/>
  <c r="H45" i="10"/>
  <c r="I45" i="10" s="1"/>
  <c r="N44" i="10"/>
  <c r="J44" i="10"/>
  <c r="H44" i="10"/>
  <c r="I44" i="10" s="1"/>
  <c r="N43" i="10"/>
  <c r="J43" i="10"/>
  <c r="H43" i="10"/>
  <c r="I43" i="10" s="1"/>
  <c r="N42" i="10"/>
  <c r="J42" i="10"/>
  <c r="H42" i="10"/>
  <c r="I42" i="10" s="1"/>
  <c r="N41" i="10"/>
  <c r="J41" i="10"/>
  <c r="H41" i="10"/>
  <c r="I41" i="10" s="1"/>
  <c r="N40" i="10"/>
  <c r="J40" i="10"/>
  <c r="H40" i="10"/>
  <c r="I40" i="10" s="1"/>
  <c r="N39" i="10"/>
  <c r="J39" i="10"/>
  <c r="H39" i="10"/>
  <c r="I39" i="10" s="1"/>
  <c r="N38" i="10"/>
  <c r="J38" i="10"/>
  <c r="H38" i="10"/>
  <c r="I38" i="10" s="1"/>
  <c r="N37" i="10"/>
  <c r="J37" i="10"/>
  <c r="H37" i="10"/>
  <c r="I37" i="10" s="1"/>
  <c r="N36" i="10"/>
  <c r="J36" i="10"/>
  <c r="H36" i="10"/>
  <c r="I36" i="10" s="1"/>
  <c r="N35" i="10"/>
  <c r="J35" i="10"/>
  <c r="H35" i="10"/>
  <c r="I35" i="10" s="1"/>
  <c r="N34" i="10"/>
  <c r="J34" i="10"/>
  <c r="H34" i="10"/>
  <c r="O34" i="10" s="1"/>
  <c r="P34" i="10" s="1"/>
  <c r="N33" i="10"/>
  <c r="J33" i="10"/>
  <c r="H33" i="10"/>
  <c r="I33" i="10" s="1"/>
  <c r="N32" i="10"/>
  <c r="J32" i="10"/>
  <c r="H32" i="10"/>
  <c r="O32" i="10" s="1"/>
  <c r="P32" i="10" s="1"/>
  <c r="U31" i="10"/>
  <c r="N31" i="10"/>
  <c r="J31" i="10"/>
  <c r="H31" i="10"/>
  <c r="O31" i="10" s="1"/>
  <c r="P31" i="10" s="1"/>
  <c r="N30" i="10"/>
  <c r="J30" i="10"/>
  <c r="H30" i="10"/>
  <c r="O30" i="10" s="1"/>
  <c r="P30" i="10" s="1"/>
  <c r="N29" i="10"/>
  <c r="J29" i="10"/>
  <c r="H29" i="10"/>
  <c r="O29" i="10" s="1"/>
  <c r="P29" i="10" s="1"/>
  <c r="N28" i="10"/>
  <c r="J28" i="10"/>
  <c r="H28" i="10"/>
  <c r="O28" i="10" s="1"/>
  <c r="P28" i="10" s="1"/>
  <c r="N27" i="10"/>
  <c r="J27" i="10"/>
  <c r="H27" i="10"/>
  <c r="O27" i="10" s="1"/>
  <c r="P27" i="10" s="1"/>
  <c r="N26" i="10"/>
  <c r="J26" i="10"/>
  <c r="H26" i="10"/>
  <c r="O26" i="10" s="1"/>
  <c r="P26" i="10" s="1"/>
  <c r="H25" i="10"/>
  <c r="N24" i="10"/>
  <c r="H24" i="10"/>
  <c r="I24" i="10" s="1"/>
  <c r="N23" i="10"/>
  <c r="H23" i="10"/>
  <c r="I23" i="10" s="1"/>
  <c r="N22" i="10"/>
  <c r="H22" i="10"/>
  <c r="O22" i="10" s="1"/>
  <c r="P22" i="10" s="1"/>
  <c r="N21" i="10"/>
  <c r="H21" i="10"/>
  <c r="I21" i="10" s="1"/>
  <c r="N20" i="10"/>
  <c r="H20" i="10"/>
  <c r="O20" i="10" s="1"/>
  <c r="P20" i="10" s="1"/>
  <c r="N19" i="10"/>
  <c r="H19" i="10"/>
  <c r="I19" i="10" s="1"/>
  <c r="N18" i="10"/>
  <c r="H18" i="10"/>
  <c r="I18" i="10" s="1"/>
  <c r="N17" i="10"/>
  <c r="H17" i="10"/>
  <c r="I17" i="10" s="1"/>
  <c r="Y16" i="10"/>
  <c r="Y17" i="10" s="1"/>
  <c r="X16" i="10"/>
  <c r="X18" i="10" s="1"/>
  <c r="W16" i="10"/>
  <c r="W18" i="10" s="1"/>
  <c r="V16" i="10"/>
  <c r="V18" i="10" s="1"/>
  <c r="U16" i="10"/>
  <c r="U18" i="10" s="1"/>
  <c r="N16" i="10"/>
  <c r="H16" i="10"/>
  <c r="I16" i="10" s="1"/>
  <c r="Z15" i="10"/>
  <c r="N15" i="10"/>
  <c r="H15" i="10"/>
  <c r="O15" i="10" s="1"/>
  <c r="P15" i="10" s="1"/>
  <c r="Z14" i="10"/>
  <c r="H14" i="10"/>
  <c r="Z13" i="10"/>
  <c r="N13" i="10"/>
  <c r="H13" i="10"/>
  <c r="I13" i="10" s="1"/>
  <c r="Z12" i="10"/>
  <c r="N12" i="10"/>
  <c r="H12" i="10"/>
  <c r="O12" i="10" s="1"/>
  <c r="P12" i="10" s="1"/>
  <c r="Z11" i="10"/>
  <c r="N11" i="10"/>
  <c r="H11" i="10"/>
  <c r="O11" i="10" s="1"/>
  <c r="P11" i="10" s="1"/>
  <c r="Z10" i="10"/>
  <c r="N10" i="10"/>
  <c r="J10" i="10"/>
  <c r="H10" i="10"/>
  <c r="I10" i="10" s="1"/>
  <c r="Z9" i="10"/>
  <c r="N9" i="10"/>
  <c r="I9" i="10"/>
  <c r="H9" i="10"/>
  <c r="O9" i="10" s="1"/>
  <c r="P9" i="10" s="1"/>
  <c r="Z8" i="10"/>
  <c r="N8" i="10"/>
  <c r="H8" i="10"/>
  <c r="J8" i="10" s="1"/>
  <c r="Z7" i="10"/>
  <c r="N7" i="10"/>
  <c r="H7" i="10"/>
  <c r="J7" i="10" s="1"/>
  <c r="Z6" i="10"/>
  <c r="N6" i="10"/>
  <c r="H6" i="10"/>
  <c r="I6" i="10" s="1"/>
  <c r="Z5" i="10"/>
  <c r="N5" i="10"/>
  <c r="H5" i="10"/>
  <c r="O5" i="10" s="1"/>
  <c r="P5" i="10" s="1"/>
  <c r="Z4" i="10"/>
  <c r="N4" i="10"/>
  <c r="H4" i="10"/>
  <c r="I4" i="10" s="1"/>
  <c r="N3" i="10"/>
  <c r="J3" i="10"/>
  <c r="H3" i="10"/>
  <c r="I3" i="10" s="1"/>
  <c r="I12" i="10" l="1"/>
  <c r="J16" i="10"/>
  <c r="J17" i="10"/>
  <c r="J23" i="10"/>
  <c r="J6" i="10"/>
  <c r="I15" i="10"/>
  <c r="J18" i="10"/>
  <c r="J21" i="10"/>
  <c r="J15" i="10"/>
  <c r="I30" i="10"/>
  <c r="J12" i="10"/>
  <c r="I5" i="10"/>
  <c r="J9" i="10"/>
  <c r="J13" i="10"/>
  <c r="I28" i="10"/>
  <c r="J5" i="10"/>
  <c r="J19" i="10"/>
  <c r="I26" i="10"/>
  <c r="Z16" i="10"/>
  <c r="O4" i="10"/>
  <c r="P4" i="10" s="1"/>
  <c r="O8" i="10"/>
  <c r="P8" i="10" s="1"/>
  <c r="Y18" i="10"/>
  <c r="Z18" i="10" s="1"/>
  <c r="I8" i="10"/>
  <c r="I22" i="10"/>
  <c r="I32" i="10"/>
  <c r="O3" i="10"/>
  <c r="P3" i="10" s="1"/>
  <c r="J4" i="10"/>
  <c r="O6" i="10"/>
  <c r="P6" i="10" s="1"/>
  <c r="I7" i="10"/>
  <c r="O10" i="10"/>
  <c r="J11" i="10"/>
  <c r="O13" i="10"/>
  <c r="P13" i="10" s="1"/>
  <c r="O16" i="10"/>
  <c r="P16" i="10" s="1"/>
  <c r="O17" i="10"/>
  <c r="P17" i="10" s="1"/>
  <c r="W17" i="10"/>
  <c r="O18" i="10"/>
  <c r="P18" i="10" s="1"/>
  <c r="O19" i="10"/>
  <c r="P19" i="10" s="1"/>
  <c r="J20" i="10"/>
  <c r="O21" i="10"/>
  <c r="P21" i="10" s="1"/>
  <c r="J22" i="10"/>
  <c r="O23" i="10"/>
  <c r="P23" i="10" s="1"/>
  <c r="J24" i="10"/>
  <c r="I27" i="10"/>
  <c r="I29" i="10"/>
  <c r="I31" i="10"/>
  <c r="O33" i="10"/>
  <c r="P33" i="10" s="1"/>
  <c r="O35" i="10"/>
  <c r="P35" i="10" s="1"/>
  <c r="O37" i="10"/>
  <c r="P37" i="10" s="1"/>
  <c r="O39" i="10"/>
  <c r="P39" i="10" s="1"/>
  <c r="O41" i="10"/>
  <c r="P41" i="10" s="1"/>
  <c r="O43" i="10"/>
  <c r="P43" i="10" s="1"/>
  <c r="O45" i="10"/>
  <c r="P45" i="10" s="1"/>
  <c r="O47" i="10"/>
  <c r="P47" i="10" s="1"/>
  <c r="O49" i="10"/>
  <c r="P49" i="10" s="1"/>
  <c r="O51" i="10"/>
  <c r="P51" i="10" s="1"/>
  <c r="O53" i="10"/>
  <c r="P53" i="10" s="1"/>
  <c r="O55" i="10"/>
  <c r="P55" i="10" s="1"/>
  <c r="O7" i="10"/>
  <c r="P7" i="10" s="1"/>
  <c r="I11" i="10"/>
  <c r="V17" i="10"/>
  <c r="I20" i="10"/>
  <c r="I34" i="10"/>
  <c r="X17" i="10"/>
  <c r="U17" i="10"/>
  <c r="O24" i="10"/>
  <c r="P24" i="10" s="1"/>
  <c r="O36" i="10"/>
  <c r="P36" i="10" s="1"/>
  <c r="O38" i="10"/>
  <c r="P38" i="10" s="1"/>
  <c r="O40" i="10"/>
  <c r="P40" i="10" s="1"/>
  <c r="O42" i="10"/>
  <c r="P42" i="10" s="1"/>
  <c r="O44" i="10"/>
  <c r="P44" i="10" s="1"/>
  <c r="O46" i="10"/>
  <c r="P46" i="10" s="1"/>
  <c r="O48" i="10"/>
  <c r="P48" i="10" s="1"/>
  <c r="O50" i="10"/>
  <c r="P50" i="10" s="1"/>
  <c r="O52" i="10"/>
  <c r="P52" i="10" s="1"/>
  <c r="O54" i="10"/>
  <c r="P54" i="10" s="1"/>
  <c r="O56" i="10"/>
  <c r="P56" i="10" s="1"/>
  <c r="AC7" i="9"/>
  <c r="AC8" i="9"/>
  <c r="AC9" i="9"/>
  <c r="AC10" i="9"/>
  <c r="AC11" i="9"/>
  <c r="AC12" i="9"/>
  <c r="AC13" i="9"/>
  <c r="AC14" i="9"/>
  <c r="AC15" i="9"/>
  <c r="AC16" i="9"/>
  <c r="AC17" i="9"/>
  <c r="X18" i="9"/>
  <c r="X19" i="9" s="1"/>
  <c r="Y18" i="9"/>
  <c r="Y19" i="9" s="1"/>
  <c r="Z18" i="9"/>
  <c r="AA18" i="9"/>
  <c r="AB18" i="9"/>
  <c r="Z19" i="9"/>
  <c r="AA19" i="9"/>
  <c r="AB19" i="9"/>
  <c r="Y20" i="9"/>
  <c r="Z20" i="9"/>
  <c r="AA20" i="9"/>
  <c r="AB20" i="9"/>
  <c r="AC6" i="9"/>
  <c r="AJ64" i="8"/>
  <c r="AJ66" i="8" s="1"/>
  <c r="AI64" i="8"/>
  <c r="AI65" i="8" s="1"/>
  <c r="AH64" i="8"/>
  <c r="AH65" i="8" s="1"/>
  <c r="AG64" i="8"/>
  <c r="AG66" i="8" s="1"/>
  <c r="AF64" i="8"/>
  <c r="AF66" i="8" s="1"/>
  <c r="AK63" i="8"/>
  <c r="AK62" i="8"/>
  <c r="AK61" i="8"/>
  <c r="AK60" i="8"/>
  <c r="AK59" i="8"/>
  <c r="AK58" i="8"/>
  <c r="AK57" i="8"/>
  <c r="AK56" i="8"/>
  <c r="AK55" i="8"/>
  <c r="AK54" i="8"/>
  <c r="AK53" i="8"/>
  <c r="AK52" i="8"/>
  <c r="Y16" i="6"/>
  <c r="Y18" i="6" s="1"/>
  <c r="X16" i="6"/>
  <c r="X18" i="6" s="1"/>
  <c r="W16" i="6"/>
  <c r="W17" i="6" s="1"/>
  <c r="V16" i="6"/>
  <c r="V17" i="6" s="1"/>
  <c r="U16" i="6"/>
  <c r="U18" i="6" s="1"/>
  <c r="Z15" i="6"/>
  <c r="Z14" i="6"/>
  <c r="Z13" i="6"/>
  <c r="Z12" i="6"/>
  <c r="Z11" i="6"/>
  <c r="Z10" i="6"/>
  <c r="Z9" i="6"/>
  <c r="Z8" i="6"/>
  <c r="Z7" i="6"/>
  <c r="Z6" i="6"/>
  <c r="Z5" i="6"/>
  <c r="Z4" i="6"/>
  <c r="AC30" i="5"/>
  <c r="AF29" i="5"/>
  <c r="AF30" i="5" s="1"/>
  <c r="AE29" i="5"/>
  <c r="AE30" i="5" s="1"/>
  <c r="AD29" i="5"/>
  <c r="AD31" i="5" s="1"/>
  <c r="AC29" i="5"/>
  <c r="AC31" i="5" s="1"/>
  <c r="AB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Z16" i="6" l="1"/>
  <c r="Z17" i="10"/>
  <c r="AG30" i="5"/>
  <c r="AC18" i="9"/>
  <c r="X20" i="9"/>
  <c r="AC20" i="9"/>
  <c r="AC19" i="9"/>
  <c r="AK64" i="8"/>
  <c r="AF65" i="8"/>
  <c r="AJ65" i="8"/>
  <c r="AH66" i="8"/>
  <c r="AG65" i="8"/>
  <c r="AI66" i="8"/>
  <c r="AK66" i="8" s="1"/>
  <c r="X17" i="6"/>
  <c r="V18" i="6"/>
  <c r="Z18" i="6" s="1"/>
  <c r="U17" i="6"/>
  <c r="W18" i="6"/>
  <c r="AG29" i="5"/>
  <c r="AE31" i="5"/>
  <c r="AF31" i="5"/>
  <c r="AG31" i="5" l="1"/>
  <c r="AK65" i="8"/>
  <c r="Z17" i="6"/>
  <c r="U42" i="8" l="1"/>
  <c r="V41" i="8"/>
  <c r="V40" i="8"/>
  <c r="V39" i="8"/>
  <c r="V38" i="8"/>
  <c r="V37" i="8"/>
  <c r="I5" i="1" l="1"/>
  <c r="I7" i="1"/>
  <c r="I10" i="1"/>
  <c r="I13" i="1"/>
  <c r="I15" i="1"/>
  <c r="I18" i="1"/>
  <c r="I21" i="1"/>
  <c r="I23" i="1"/>
  <c r="I26" i="1"/>
  <c r="I29" i="1"/>
  <c r="I31" i="1"/>
  <c r="H3" i="1"/>
  <c r="H4" i="1"/>
  <c r="I4" i="1" s="1"/>
  <c r="H5" i="1"/>
  <c r="H6" i="1"/>
  <c r="I6" i="1" s="1"/>
  <c r="H7" i="1"/>
  <c r="H8" i="1"/>
  <c r="I8" i="1" s="1"/>
  <c r="H9" i="1"/>
  <c r="I9" i="1" s="1"/>
  <c r="H10" i="1"/>
  <c r="H11" i="1"/>
  <c r="H12" i="1"/>
  <c r="I12" i="1" s="1"/>
  <c r="H13" i="1"/>
  <c r="H14" i="1"/>
  <c r="I14" i="1" s="1"/>
  <c r="H15" i="1"/>
  <c r="H16" i="1"/>
  <c r="I16" i="1" s="1"/>
  <c r="H17" i="1"/>
  <c r="I17" i="1" s="1"/>
  <c r="H18" i="1"/>
  <c r="H19" i="1"/>
  <c r="H20" i="1"/>
  <c r="I20" i="1" s="1"/>
  <c r="H21" i="1"/>
  <c r="H22" i="1"/>
  <c r="I22" i="1" s="1"/>
  <c r="H23" i="1"/>
  <c r="H24" i="1"/>
  <c r="I24" i="1" s="1"/>
  <c r="H25" i="1"/>
  <c r="I25" i="1" s="1"/>
  <c r="H26" i="1"/>
  <c r="H27" i="1"/>
  <c r="H28" i="1"/>
  <c r="I28" i="1" s="1"/>
  <c r="H29" i="1"/>
  <c r="H30" i="1"/>
  <c r="I30" i="1" s="1"/>
  <c r="H31" i="1"/>
  <c r="H32" i="1"/>
  <c r="I32" i="1" s="1"/>
  <c r="H2" i="1"/>
  <c r="I2" i="1" s="1"/>
  <c r="I27" i="1" l="1"/>
  <c r="I19" i="1"/>
  <c r="I11" i="1"/>
  <c r="I3" i="1"/>
  <c r="E57" i="9"/>
  <c r="X32" i="9"/>
  <c r="X33" i="9" s="1"/>
  <c r="P25" i="5"/>
  <c r="P14" i="5"/>
  <c r="P5" i="9"/>
  <c r="Q5" i="9" s="1"/>
  <c r="S5" i="9" s="1"/>
  <c r="P13" i="9"/>
  <c r="P14" i="9"/>
  <c r="P21" i="9"/>
  <c r="P25" i="9"/>
  <c r="Q21" i="9"/>
  <c r="S21" i="9" s="1"/>
  <c r="Q13" i="9"/>
  <c r="S13" i="9" s="1"/>
  <c r="J32" i="9"/>
  <c r="J40" i="9"/>
  <c r="J48" i="9"/>
  <c r="J52" i="9"/>
  <c r="J56" i="9"/>
  <c r="J18" i="9"/>
  <c r="J22" i="9"/>
  <c r="J8" i="9"/>
  <c r="J12" i="9"/>
  <c r="I55" i="9"/>
  <c r="I50" i="9"/>
  <c r="I49" i="9"/>
  <c r="I47" i="9"/>
  <c r="I42" i="9"/>
  <c r="I41" i="9"/>
  <c r="I39" i="9"/>
  <c r="I34" i="9"/>
  <c r="I33" i="9"/>
  <c r="I31" i="9"/>
  <c r="I26" i="9"/>
  <c r="I24" i="9"/>
  <c r="I22" i="9"/>
  <c r="I18" i="9"/>
  <c r="I17" i="9"/>
  <c r="I16" i="9"/>
  <c r="I13" i="9"/>
  <c r="I9" i="9"/>
  <c r="I8" i="9"/>
  <c r="I5" i="9"/>
  <c r="H56" i="9"/>
  <c r="I56" i="9" s="1"/>
  <c r="H55" i="9"/>
  <c r="J55" i="9" s="1"/>
  <c r="H54" i="9"/>
  <c r="I54" i="9" s="1"/>
  <c r="H53" i="9"/>
  <c r="I53" i="9" s="1"/>
  <c r="H52" i="9"/>
  <c r="I52" i="9" s="1"/>
  <c r="H51" i="9"/>
  <c r="J51" i="9" s="1"/>
  <c r="H50" i="9"/>
  <c r="J50" i="9" s="1"/>
  <c r="H49" i="9"/>
  <c r="J49" i="9" s="1"/>
  <c r="H48" i="9"/>
  <c r="I48" i="9" s="1"/>
  <c r="H47" i="9"/>
  <c r="J47" i="9" s="1"/>
  <c r="H46" i="9"/>
  <c r="I46" i="9" s="1"/>
  <c r="H45" i="9"/>
  <c r="I45" i="9" s="1"/>
  <c r="H44" i="9"/>
  <c r="I44" i="9" s="1"/>
  <c r="H43" i="9"/>
  <c r="J43" i="9" s="1"/>
  <c r="H42" i="9"/>
  <c r="J42" i="9" s="1"/>
  <c r="H41" i="9"/>
  <c r="J41" i="9" s="1"/>
  <c r="H40" i="9"/>
  <c r="I40" i="9" s="1"/>
  <c r="H39" i="9"/>
  <c r="J39" i="9" s="1"/>
  <c r="H38" i="9"/>
  <c r="I38" i="9" s="1"/>
  <c r="H37" i="9"/>
  <c r="I37" i="9" s="1"/>
  <c r="H36" i="9"/>
  <c r="I36" i="9" s="1"/>
  <c r="H35" i="9"/>
  <c r="J35" i="9" s="1"/>
  <c r="H34" i="9"/>
  <c r="J34" i="9" s="1"/>
  <c r="H33" i="9"/>
  <c r="J33" i="9" s="1"/>
  <c r="H32" i="9"/>
  <c r="I32" i="9" s="1"/>
  <c r="H31" i="9"/>
  <c r="J31" i="9" s="1"/>
  <c r="H30" i="9"/>
  <c r="I30" i="9" s="1"/>
  <c r="H29" i="9"/>
  <c r="I29" i="9" s="1"/>
  <c r="H28" i="9"/>
  <c r="I28" i="9" s="1"/>
  <c r="H27" i="9"/>
  <c r="J27" i="9" s="1"/>
  <c r="H26" i="9"/>
  <c r="J26" i="9" s="1"/>
  <c r="H25" i="9"/>
  <c r="H24" i="9"/>
  <c r="J24" i="9" s="1"/>
  <c r="H23" i="9"/>
  <c r="J23" i="9" s="1"/>
  <c r="H22" i="9"/>
  <c r="H21" i="9"/>
  <c r="I21" i="9" s="1"/>
  <c r="H20" i="9"/>
  <c r="I20" i="9" s="1"/>
  <c r="H19" i="9"/>
  <c r="I19" i="9" s="1"/>
  <c r="H18" i="9"/>
  <c r="H17" i="9"/>
  <c r="J17" i="9" s="1"/>
  <c r="H16" i="9"/>
  <c r="J16" i="9" s="1"/>
  <c r="H15" i="9"/>
  <c r="J15" i="9" s="1"/>
  <c r="H14" i="9"/>
  <c r="H13" i="9"/>
  <c r="J13" i="9" s="1"/>
  <c r="H12" i="9"/>
  <c r="I12" i="9" s="1"/>
  <c r="H11" i="9"/>
  <c r="I11" i="9" s="1"/>
  <c r="H10" i="9"/>
  <c r="J10" i="9" s="1"/>
  <c r="H9" i="9"/>
  <c r="J9" i="9" s="1"/>
  <c r="H8" i="9"/>
  <c r="H7" i="9"/>
  <c r="I7" i="9" s="1"/>
  <c r="H6" i="9"/>
  <c r="J6" i="9" s="1"/>
  <c r="H5" i="9"/>
  <c r="J5" i="9" s="1"/>
  <c r="H4" i="9"/>
  <c r="I4" i="9" s="1"/>
  <c r="H3" i="9"/>
  <c r="I3" i="9" s="1"/>
  <c r="R56" i="9"/>
  <c r="N56" i="9"/>
  <c r="P56" i="9" s="1"/>
  <c r="Q56" i="9" s="1"/>
  <c r="S56" i="9" s="1"/>
  <c r="R55" i="9"/>
  <c r="N55" i="9"/>
  <c r="P55" i="9" s="1"/>
  <c r="Q55" i="9" s="1"/>
  <c r="S55" i="9" s="1"/>
  <c r="R54" i="9"/>
  <c r="N54" i="9"/>
  <c r="P54" i="9" s="1"/>
  <c r="Q54" i="9" s="1"/>
  <c r="S54" i="9" s="1"/>
  <c r="R53" i="9"/>
  <c r="N53" i="9"/>
  <c r="R52" i="9"/>
  <c r="N52" i="9"/>
  <c r="P52" i="9" s="1"/>
  <c r="Q52" i="9" s="1"/>
  <c r="S52" i="9" s="1"/>
  <c r="R51" i="9"/>
  <c r="N51" i="9"/>
  <c r="P51" i="9" s="1"/>
  <c r="Q51" i="9" s="1"/>
  <c r="S51" i="9" s="1"/>
  <c r="R50" i="9"/>
  <c r="N50" i="9"/>
  <c r="P50" i="9" s="1"/>
  <c r="Q50" i="9" s="1"/>
  <c r="S50" i="9" s="1"/>
  <c r="R49" i="9"/>
  <c r="N49" i="9"/>
  <c r="P49" i="9" s="1"/>
  <c r="Q49" i="9" s="1"/>
  <c r="S49" i="9" s="1"/>
  <c r="R48" i="9"/>
  <c r="N48" i="9"/>
  <c r="P48" i="9" s="1"/>
  <c r="Q48" i="9" s="1"/>
  <c r="S48" i="9" s="1"/>
  <c r="R47" i="9"/>
  <c r="N47" i="9"/>
  <c r="P47" i="9" s="1"/>
  <c r="Q47" i="9" s="1"/>
  <c r="S47" i="9" s="1"/>
  <c r="R46" i="9"/>
  <c r="N46" i="9"/>
  <c r="P46" i="9" s="1"/>
  <c r="Q46" i="9" s="1"/>
  <c r="S46" i="9" s="1"/>
  <c r="R45" i="9"/>
  <c r="N45" i="9"/>
  <c r="R44" i="9"/>
  <c r="N44" i="9"/>
  <c r="P44" i="9" s="1"/>
  <c r="Q44" i="9" s="1"/>
  <c r="S44" i="9" s="1"/>
  <c r="R43" i="9"/>
  <c r="N43" i="9"/>
  <c r="P43" i="9" s="1"/>
  <c r="Q43" i="9" s="1"/>
  <c r="S43" i="9" s="1"/>
  <c r="R42" i="9"/>
  <c r="N42" i="9"/>
  <c r="P42" i="9" s="1"/>
  <c r="Q42" i="9" s="1"/>
  <c r="S42" i="9" s="1"/>
  <c r="R41" i="9"/>
  <c r="N41" i="9"/>
  <c r="P41" i="9" s="1"/>
  <c r="Q41" i="9" s="1"/>
  <c r="S41" i="9" s="1"/>
  <c r="R40" i="9"/>
  <c r="N40" i="9"/>
  <c r="P40" i="9" s="1"/>
  <c r="Q40" i="9" s="1"/>
  <c r="S40" i="9" s="1"/>
  <c r="R39" i="9"/>
  <c r="N39" i="9"/>
  <c r="P39" i="9" s="1"/>
  <c r="Q39" i="9" s="1"/>
  <c r="S39" i="9" s="1"/>
  <c r="R38" i="9"/>
  <c r="N38" i="9"/>
  <c r="P38" i="9" s="1"/>
  <c r="Q38" i="9" s="1"/>
  <c r="R37" i="9"/>
  <c r="N37" i="9"/>
  <c r="R36" i="9"/>
  <c r="N36" i="9"/>
  <c r="P36" i="9" s="1"/>
  <c r="Q36" i="9" s="1"/>
  <c r="S36" i="9" s="1"/>
  <c r="R35" i="9"/>
  <c r="N35" i="9"/>
  <c r="P35" i="9" s="1"/>
  <c r="Q35" i="9" s="1"/>
  <c r="S35" i="9" s="1"/>
  <c r="R34" i="9"/>
  <c r="N34" i="9"/>
  <c r="P34" i="9" s="1"/>
  <c r="Q34" i="9" s="1"/>
  <c r="S34" i="9" s="1"/>
  <c r="R33" i="9"/>
  <c r="N33" i="9"/>
  <c r="P33" i="9" s="1"/>
  <c r="Q33" i="9" s="1"/>
  <c r="S33" i="9" s="1"/>
  <c r="R32" i="9"/>
  <c r="N32" i="9"/>
  <c r="P32" i="9" s="1"/>
  <c r="Q32" i="9" s="1"/>
  <c r="S32" i="9" s="1"/>
  <c r="R31" i="9"/>
  <c r="N31" i="9"/>
  <c r="P31" i="9" s="1"/>
  <c r="Q31" i="9" s="1"/>
  <c r="R30" i="9"/>
  <c r="N30" i="9"/>
  <c r="P30" i="9" s="1"/>
  <c r="Q30" i="9" s="1"/>
  <c r="R29" i="9"/>
  <c r="N29" i="9"/>
  <c r="P29" i="9" s="1"/>
  <c r="Q29" i="9" s="1"/>
  <c r="S29" i="9" s="1"/>
  <c r="R28" i="9"/>
  <c r="N28" i="9"/>
  <c r="P28" i="9" s="1"/>
  <c r="Q28" i="9" s="1"/>
  <c r="S28" i="9" s="1"/>
  <c r="R27" i="9"/>
  <c r="N27" i="9"/>
  <c r="P27" i="9" s="1"/>
  <c r="Q27" i="9" s="1"/>
  <c r="S27" i="9" s="1"/>
  <c r="R26" i="9"/>
  <c r="N26" i="9"/>
  <c r="P26" i="9" s="1"/>
  <c r="Q26" i="9" s="1"/>
  <c r="R25" i="9"/>
  <c r="T25" i="9" s="1"/>
  <c r="R24" i="9"/>
  <c r="N24" i="9"/>
  <c r="P24" i="9" s="1"/>
  <c r="Q24" i="9" s="1"/>
  <c r="S24" i="9" s="1"/>
  <c r="R23" i="9"/>
  <c r="N23" i="9"/>
  <c r="P23" i="9" s="1"/>
  <c r="Q23" i="9" s="1"/>
  <c r="S23" i="9" s="1"/>
  <c r="R22" i="9"/>
  <c r="N22" i="9"/>
  <c r="R21" i="9"/>
  <c r="N21" i="9"/>
  <c r="R20" i="9"/>
  <c r="N20" i="9"/>
  <c r="P20" i="9" s="1"/>
  <c r="Q20" i="9" s="1"/>
  <c r="S20" i="9" s="1"/>
  <c r="R19" i="9"/>
  <c r="N19" i="9"/>
  <c r="P19" i="9" s="1"/>
  <c r="Q19" i="9" s="1"/>
  <c r="S19" i="9" s="1"/>
  <c r="R18" i="9"/>
  <c r="N18" i="9"/>
  <c r="P18" i="9" s="1"/>
  <c r="Q18" i="9" s="1"/>
  <c r="S18" i="9" s="1"/>
  <c r="R17" i="9"/>
  <c r="N17" i="9"/>
  <c r="P17" i="9" s="1"/>
  <c r="Q17" i="9" s="1"/>
  <c r="S17" i="9" s="1"/>
  <c r="R16" i="9"/>
  <c r="N16" i="9"/>
  <c r="P16" i="9" s="1"/>
  <c r="Q16" i="9" s="1"/>
  <c r="S16" i="9" s="1"/>
  <c r="R15" i="9"/>
  <c r="N15" i="9"/>
  <c r="P15" i="9" s="1"/>
  <c r="Q15" i="9" s="1"/>
  <c r="S15" i="9" s="1"/>
  <c r="T14" i="9"/>
  <c r="R13" i="9"/>
  <c r="N13" i="9"/>
  <c r="R12" i="9"/>
  <c r="N12" i="9"/>
  <c r="P12" i="9" s="1"/>
  <c r="Q12" i="9" s="1"/>
  <c r="S12" i="9" s="1"/>
  <c r="T12" i="9" s="1"/>
  <c r="R11" i="9"/>
  <c r="N11" i="9"/>
  <c r="P11" i="9" s="1"/>
  <c r="Q11" i="9" s="1"/>
  <c r="R10" i="9"/>
  <c r="N10" i="9"/>
  <c r="P10" i="9" s="1"/>
  <c r="Q10" i="9" s="1"/>
  <c r="S10" i="9" s="1"/>
  <c r="R9" i="9"/>
  <c r="N9" i="9"/>
  <c r="P9" i="9" s="1"/>
  <c r="Q9" i="9" s="1"/>
  <c r="S9" i="9" s="1"/>
  <c r="R8" i="9"/>
  <c r="N8" i="9"/>
  <c r="P8" i="9" s="1"/>
  <c r="Q8" i="9" s="1"/>
  <c r="R7" i="9"/>
  <c r="N7" i="9"/>
  <c r="P7" i="9" s="1"/>
  <c r="Q7" i="9" s="1"/>
  <c r="R6" i="9"/>
  <c r="N6" i="9"/>
  <c r="P6" i="9" s="1"/>
  <c r="Q6" i="9" s="1"/>
  <c r="S6" i="9" s="1"/>
  <c r="R5" i="9"/>
  <c r="N5" i="9"/>
  <c r="R4" i="9"/>
  <c r="N4" i="9"/>
  <c r="P4" i="9" s="1"/>
  <c r="Q4" i="9" s="1"/>
  <c r="R3" i="9"/>
  <c r="N3" i="9"/>
  <c r="P3" i="9" s="1"/>
  <c r="Q3" i="9" s="1"/>
  <c r="U26" i="9" l="1"/>
  <c r="S26" i="9"/>
  <c r="U38" i="9"/>
  <c r="S38" i="9"/>
  <c r="U31" i="9"/>
  <c r="S31" i="9"/>
  <c r="T31" i="9" s="1"/>
  <c r="U30" i="9"/>
  <c r="S30" i="9"/>
  <c r="T30" i="9" s="1"/>
  <c r="S11" i="9"/>
  <c r="T11" i="9" s="1"/>
  <c r="S3" i="9"/>
  <c r="T3" i="9" s="1"/>
  <c r="S7" i="9"/>
  <c r="T7" i="9" s="1"/>
  <c r="S4" i="9"/>
  <c r="T4" i="9" s="1"/>
  <c r="S8" i="9"/>
  <c r="T8" i="9" s="1"/>
  <c r="I6" i="9"/>
  <c r="I15" i="9"/>
  <c r="I23" i="9"/>
  <c r="J7" i="9"/>
  <c r="J21" i="9"/>
  <c r="T45" i="9"/>
  <c r="J3" i="9"/>
  <c r="J20" i="9"/>
  <c r="J54" i="9"/>
  <c r="J46" i="9"/>
  <c r="J38" i="9"/>
  <c r="J30" i="9"/>
  <c r="P37" i="9"/>
  <c r="Q37" i="9" s="1"/>
  <c r="S37" i="9" s="1"/>
  <c r="T37" i="9" s="1"/>
  <c r="J19" i="9"/>
  <c r="J53" i="9"/>
  <c r="J45" i="9"/>
  <c r="J37" i="9"/>
  <c r="J29" i="9"/>
  <c r="T18" i="9"/>
  <c r="T22" i="9"/>
  <c r="I27" i="9"/>
  <c r="I35" i="9"/>
  <c r="I43" i="9"/>
  <c r="I51" i="9"/>
  <c r="J4" i="9"/>
  <c r="J44" i="9"/>
  <c r="J36" i="9"/>
  <c r="J28" i="9"/>
  <c r="T53" i="9"/>
  <c r="I10" i="9"/>
  <c r="J11" i="9"/>
  <c r="T29" i="9"/>
  <c r="P45" i="9"/>
  <c r="Q45" i="9" s="1"/>
  <c r="S45" i="9" s="1"/>
  <c r="P53" i="9"/>
  <c r="Q53" i="9" s="1"/>
  <c r="S53" i="9" s="1"/>
  <c r="T16" i="9"/>
  <c r="T20" i="9"/>
  <c r="T24" i="9"/>
  <c r="P22" i="9"/>
  <c r="Q22" i="9" s="1"/>
  <c r="S22" i="9" s="1"/>
  <c r="T9" i="9"/>
  <c r="T6" i="9"/>
  <c r="T33" i="9"/>
  <c r="T41" i="9"/>
  <c r="T49" i="9"/>
  <c r="T10" i="9"/>
  <c r="T55" i="9"/>
  <c r="T35" i="9"/>
  <c r="T39" i="9"/>
  <c r="T27" i="9"/>
  <c r="T43" i="9"/>
  <c r="T47" i="9"/>
  <c r="T51" i="9"/>
  <c r="T5" i="9"/>
  <c r="T13" i="9"/>
  <c r="T17" i="9"/>
  <c r="T21" i="9"/>
  <c r="T28" i="9"/>
  <c r="T32" i="9"/>
  <c r="T36" i="9"/>
  <c r="T40" i="9"/>
  <c r="T44" i="9"/>
  <c r="T48" i="9"/>
  <c r="T52" i="9"/>
  <c r="T56" i="9"/>
  <c r="T15" i="9"/>
  <c r="T19" i="9"/>
  <c r="T23" i="9"/>
  <c r="T26" i="9"/>
  <c r="T34" i="9"/>
  <c r="T38" i="9"/>
  <c r="T42" i="9"/>
  <c r="T46" i="9"/>
  <c r="T50" i="9"/>
  <c r="T54" i="9"/>
  <c r="H4" i="4" l="1"/>
  <c r="I4" i="4" s="1"/>
  <c r="H5" i="4"/>
  <c r="I5" i="4" s="1"/>
  <c r="H6" i="4"/>
  <c r="I6" i="4" s="1"/>
  <c r="H7" i="4"/>
  <c r="I7" i="4" s="1"/>
  <c r="H8" i="4"/>
  <c r="I8" i="4" s="1"/>
  <c r="H9" i="4"/>
  <c r="I9" i="4" s="1"/>
  <c r="H10" i="4"/>
  <c r="I10" i="4" s="1"/>
  <c r="H11" i="4"/>
  <c r="I11" i="4" s="1"/>
  <c r="H12" i="4"/>
  <c r="I12" i="4" s="1"/>
  <c r="H13" i="4"/>
  <c r="I13" i="4" s="1"/>
  <c r="H14" i="4"/>
  <c r="H15" i="4"/>
  <c r="I15" i="4" s="1"/>
  <c r="H16" i="4"/>
  <c r="I16" i="4" s="1"/>
  <c r="H17" i="4"/>
  <c r="I17" i="4" s="1"/>
  <c r="H18" i="4"/>
  <c r="I18" i="4" s="1"/>
  <c r="H19" i="4"/>
  <c r="I19" i="4" s="1"/>
  <c r="H20" i="4"/>
  <c r="I20" i="4" s="1"/>
  <c r="H21" i="4"/>
  <c r="I21" i="4" s="1"/>
  <c r="H22" i="4"/>
  <c r="I22" i="4" s="1"/>
  <c r="H23" i="4"/>
  <c r="I23" i="4" s="1"/>
  <c r="H24" i="4"/>
  <c r="I24" i="4" s="1"/>
  <c r="H25" i="4"/>
  <c r="H26" i="4"/>
  <c r="I26" i="4" s="1"/>
  <c r="H27" i="4"/>
  <c r="I27" i="4" s="1"/>
  <c r="H28" i="4"/>
  <c r="I28" i="4" s="1"/>
  <c r="H29" i="4"/>
  <c r="I29" i="4" s="1"/>
  <c r="H30" i="4"/>
  <c r="I30" i="4" s="1"/>
  <c r="H31" i="4"/>
  <c r="I31" i="4" s="1"/>
  <c r="H32" i="4"/>
  <c r="I32" i="4" s="1"/>
  <c r="H33" i="4"/>
  <c r="I33" i="4" s="1"/>
  <c r="H34" i="4"/>
  <c r="I34" i="4" s="1"/>
  <c r="H35" i="4"/>
  <c r="I35" i="4" s="1"/>
  <c r="H36" i="4"/>
  <c r="I36" i="4" s="1"/>
  <c r="H37" i="4"/>
  <c r="I37" i="4" s="1"/>
  <c r="H38" i="4"/>
  <c r="I38" i="4" s="1"/>
  <c r="H39" i="4"/>
  <c r="I39" i="4" s="1"/>
  <c r="H40" i="4"/>
  <c r="I40" i="4" s="1"/>
  <c r="H41" i="4"/>
  <c r="I41" i="4" s="1"/>
  <c r="H42" i="4"/>
  <c r="I42" i="4" s="1"/>
  <c r="H43" i="4"/>
  <c r="I43" i="4" s="1"/>
  <c r="H44" i="4"/>
  <c r="I44" i="4" s="1"/>
  <c r="H45" i="4"/>
  <c r="I45" i="4" s="1"/>
  <c r="H46" i="4"/>
  <c r="I46" i="4" s="1"/>
  <c r="H47" i="4"/>
  <c r="I47" i="4" s="1"/>
  <c r="H48" i="4"/>
  <c r="I48" i="4" s="1"/>
  <c r="H49" i="4"/>
  <c r="I49" i="4" s="1"/>
  <c r="H50" i="4"/>
  <c r="I50" i="4" s="1"/>
  <c r="H51" i="4"/>
  <c r="I51" i="4" s="1"/>
  <c r="H52" i="4"/>
  <c r="I52" i="4" s="1"/>
  <c r="H53" i="4"/>
  <c r="I53" i="4" s="1"/>
  <c r="H54" i="4"/>
  <c r="I54" i="4" s="1"/>
  <c r="H55" i="4"/>
  <c r="I55" i="4" s="1"/>
  <c r="H56" i="4"/>
  <c r="I56" i="4" s="1"/>
  <c r="H3" i="4"/>
  <c r="I3" i="4" s="1"/>
  <c r="N21" i="8"/>
  <c r="N6" i="8"/>
  <c r="I30" i="8"/>
  <c r="I38" i="8"/>
  <c r="I46" i="8"/>
  <c r="I6" i="8"/>
  <c r="I7" i="8"/>
  <c r="I11" i="8"/>
  <c r="H4" i="8"/>
  <c r="N4" i="8" s="1"/>
  <c r="H5" i="8"/>
  <c r="N5" i="8" s="1"/>
  <c r="H6" i="8"/>
  <c r="H7" i="8"/>
  <c r="N7" i="8" s="1"/>
  <c r="H8" i="8"/>
  <c r="N8" i="8" s="1"/>
  <c r="H9" i="8"/>
  <c r="N9" i="8" s="1"/>
  <c r="H10" i="8"/>
  <c r="N10" i="8" s="1"/>
  <c r="H11" i="8"/>
  <c r="N11" i="8" s="1"/>
  <c r="H12" i="8"/>
  <c r="N12" i="8" s="1"/>
  <c r="H13" i="8"/>
  <c r="N13" i="8" s="1"/>
  <c r="H14" i="8"/>
  <c r="H15" i="8"/>
  <c r="N15" i="8" s="1"/>
  <c r="H16" i="8"/>
  <c r="I16" i="8" s="1"/>
  <c r="H17" i="8"/>
  <c r="I17" i="8" s="1"/>
  <c r="H18" i="8"/>
  <c r="N18" i="8" s="1"/>
  <c r="H19" i="8"/>
  <c r="N19" i="8" s="1"/>
  <c r="H20" i="8"/>
  <c r="N20" i="8" s="1"/>
  <c r="H21" i="8"/>
  <c r="I21" i="8" s="1"/>
  <c r="H22" i="8"/>
  <c r="N22" i="8" s="1"/>
  <c r="H23" i="8"/>
  <c r="N23" i="8" s="1"/>
  <c r="H24" i="8"/>
  <c r="I24" i="8" s="1"/>
  <c r="H25" i="8"/>
  <c r="H26" i="8"/>
  <c r="N26" i="8" s="1"/>
  <c r="H27" i="8"/>
  <c r="N27" i="8" s="1"/>
  <c r="H28" i="8"/>
  <c r="N28" i="8" s="1"/>
  <c r="H29" i="8"/>
  <c r="N29" i="8" s="1"/>
  <c r="H30" i="8"/>
  <c r="N30" i="8" s="1"/>
  <c r="H31" i="8"/>
  <c r="N31" i="8" s="1"/>
  <c r="H32" i="8"/>
  <c r="N32" i="8" s="1"/>
  <c r="H33" i="8"/>
  <c r="N33" i="8" s="1"/>
  <c r="H34" i="8"/>
  <c r="N34" i="8" s="1"/>
  <c r="H35" i="8"/>
  <c r="N35" i="8" s="1"/>
  <c r="H36" i="8"/>
  <c r="N36" i="8" s="1"/>
  <c r="H37" i="8"/>
  <c r="N37" i="8" s="1"/>
  <c r="H38" i="8"/>
  <c r="N38" i="8" s="1"/>
  <c r="H39" i="8"/>
  <c r="N39" i="8" s="1"/>
  <c r="H40" i="8"/>
  <c r="N40" i="8" s="1"/>
  <c r="H41" i="8"/>
  <c r="N41" i="8" s="1"/>
  <c r="H42" i="8"/>
  <c r="N42" i="8" s="1"/>
  <c r="H43" i="8"/>
  <c r="N43" i="8" s="1"/>
  <c r="H44" i="8"/>
  <c r="N44" i="8" s="1"/>
  <c r="H45" i="8"/>
  <c r="N45" i="8" s="1"/>
  <c r="H46" i="8"/>
  <c r="N46" i="8" s="1"/>
  <c r="H47" i="8"/>
  <c r="N47" i="8" s="1"/>
  <c r="H48" i="8"/>
  <c r="N48" i="8" s="1"/>
  <c r="H49" i="8"/>
  <c r="N49" i="8" s="1"/>
  <c r="H50" i="8"/>
  <c r="N50" i="8" s="1"/>
  <c r="H51" i="8"/>
  <c r="N51" i="8" s="1"/>
  <c r="H52" i="8"/>
  <c r="N52" i="8" s="1"/>
  <c r="H53" i="8"/>
  <c r="N53" i="8" s="1"/>
  <c r="H54" i="8"/>
  <c r="N54" i="8" s="1"/>
  <c r="H55" i="8"/>
  <c r="N55" i="8" s="1"/>
  <c r="H56" i="8"/>
  <c r="N56" i="8" s="1"/>
  <c r="H3" i="8"/>
  <c r="I3" i="8" s="1"/>
  <c r="I42" i="8" l="1"/>
  <c r="N17" i="8"/>
  <c r="I15" i="8"/>
  <c r="I34" i="8"/>
  <c r="I50" i="8"/>
  <c r="I10" i="8"/>
  <c r="N3" i="8"/>
  <c r="I54" i="8"/>
  <c r="N12" i="4"/>
  <c r="N8" i="4"/>
  <c r="N4" i="4"/>
  <c r="I55" i="8"/>
  <c r="I51" i="8"/>
  <c r="I47" i="8"/>
  <c r="I43" i="8"/>
  <c r="I39" i="8"/>
  <c r="I35" i="8"/>
  <c r="I31" i="8"/>
  <c r="I27" i="8"/>
  <c r="I20" i="8"/>
  <c r="N24" i="8"/>
  <c r="N16" i="8"/>
  <c r="I13" i="8"/>
  <c r="I9" i="8"/>
  <c r="I5" i="8"/>
  <c r="I23" i="8"/>
  <c r="I19" i="8"/>
  <c r="I26" i="8"/>
  <c r="I53" i="8"/>
  <c r="I49" i="8"/>
  <c r="I45" i="8"/>
  <c r="I41" i="8"/>
  <c r="I37" i="8"/>
  <c r="I33" i="8"/>
  <c r="I29" i="8"/>
  <c r="I12" i="8"/>
  <c r="I8" i="8"/>
  <c r="I4" i="8"/>
  <c r="I22" i="8"/>
  <c r="I18" i="8"/>
  <c r="I56" i="8"/>
  <c r="I52" i="8"/>
  <c r="I48" i="8"/>
  <c r="I44" i="8"/>
  <c r="I40" i="8"/>
  <c r="I36" i="8"/>
  <c r="I32" i="8"/>
  <c r="I28" i="8"/>
  <c r="N13" i="4"/>
  <c r="N9" i="4"/>
  <c r="N5" i="4"/>
  <c r="N23" i="4"/>
  <c r="N19" i="4"/>
  <c r="N26" i="4"/>
  <c r="N53" i="4"/>
  <c r="N49" i="4"/>
  <c r="N45" i="4"/>
  <c r="N41" i="4"/>
  <c r="N37" i="4"/>
  <c r="N33" i="4"/>
  <c r="N29" i="4"/>
  <c r="N22" i="4"/>
  <c r="N18" i="4"/>
  <c r="N56" i="4"/>
  <c r="N52" i="4"/>
  <c r="N48" i="4"/>
  <c r="N44" i="4"/>
  <c r="N40" i="4"/>
  <c r="N36" i="4"/>
  <c r="N32" i="4"/>
  <c r="N28" i="4"/>
  <c r="N11" i="4"/>
  <c r="N7" i="4"/>
  <c r="N15" i="4"/>
  <c r="N21" i="4"/>
  <c r="N17" i="4"/>
  <c r="N55" i="4"/>
  <c r="N51" i="4"/>
  <c r="N47" i="4"/>
  <c r="N43" i="4"/>
  <c r="N39" i="4"/>
  <c r="N35" i="4"/>
  <c r="N31" i="4"/>
  <c r="N27" i="4"/>
  <c r="N3" i="4"/>
  <c r="N10" i="4"/>
  <c r="N6" i="4"/>
  <c r="N24" i="4"/>
  <c r="N20" i="4"/>
  <c r="N16" i="4"/>
  <c r="N54" i="4"/>
  <c r="N50" i="4"/>
  <c r="N46" i="4"/>
  <c r="N42" i="4"/>
  <c r="N38" i="4"/>
  <c r="N34" i="4"/>
  <c r="N30" i="4"/>
  <c r="N56" i="5"/>
  <c r="P56" i="5" s="1"/>
  <c r="Q56" i="5" s="1"/>
  <c r="J56" i="5"/>
  <c r="H56" i="5"/>
  <c r="I56" i="5" s="1"/>
  <c r="N55" i="5"/>
  <c r="P55" i="5" s="1"/>
  <c r="Q55" i="5" s="1"/>
  <c r="J55" i="5"/>
  <c r="H55" i="5"/>
  <c r="I55" i="5" s="1"/>
  <c r="N54" i="5"/>
  <c r="P54" i="5" s="1"/>
  <c r="Q54" i="5" s="1"/>
  <c r="J54" i="5"/>
  <c r="H54" i="5"/>
  <c r="I54" i="5" s="1"/>
  <c r="N53" i="5"/>
  <c r="P53" i="5" s="1"/>
  <c r="Q53" i="5" s="1"/>
  <c r="J53" i="5"/>
  <c r="H53" i="5"/>
  <c r="I53" i="5" s="1"/>
  <c r="N52" i="5"/>
  <c r="P52" i="5" s="1"/>
  <c r="Q52" i="5" s="1"/>
  <c r="J52" i="5"/>
  <c r="H52" i="5"/>
  <c r="I52" i="5" s="1"/>
  <c r="N51" i="5"/>
  <c r="P51" i="5" s="1"/>
  <c r="Q51" i="5" s="1"/>
  <c r="J51" i="5"/>
  <c r="H51" i="5"/>
  <c r="I51" i="5" s="1"/>
  <c r="N50" i="5"/>
  <c r="P50" i="5" s="1"/>
  <c r="Q50" i="5" s="1"/>
  <c r="J50" i="5"/>
  <c r="H50" i="5"/>
  <c r="I50" i="5" s="1"/>
  <c r="N49" i="5"/>
  <c r="P49" i="5" s="1"/>
  <c r="Q49" i="5" s="1"/>
  <c r="J49" i="5"/>
  <c r="H49" i="5"/>
  <c r="I49" i="5" s="1"/>
  <c r="N48" i="5"/>
  <c r="P48" i="5" s="1"/>
  <c r="Q48" i="5" s="1"/>
  <c r="J48" i="5"/>
  <c r="H48" i="5"/>
  <c r="I48" i="5" s="1"/>
  <c r="N47" i="5"/>
  <c r="P47" i="5" s="1"/>
  <c r="Q47" i="5" s="1"/>
  <c r="J47" i="5"/>
  <c r="H47" i="5"/>
  <c r="I47" i="5" s="1"/>
  <c r="N46" i="5"/>
  <c r="P46" i="5" s="1"/>
  <c r="Q46" i="5" s="1"/>
  <c r="J46" i="5"/>
  <c r="H46" i="5"/>
  <c r="I46" i="5" s="1"/>
  <c r="N45" i="5"/>
  <c r="P45" i="5" s="1"/>
  <c r="Q45" i="5" s="1"/>
  <c r="J45" i="5"/>
  <c r="H45" i="5"/>
  <c r="I45" i="5" s="1"/>
  <c r="N44" i="5"/>
  <c r="P44" i="5" s="1"/>
  <c r="Q44" i="5" s="1"/>
  <c r="J44" i="5"/>
  <c r="H44" i="5"/>
  <c r="I44" i="5" s="1"/>
  <c r="N43" i="5"/>
  <c r="P43" i="5" s="1"/>
  <c r="Q43" i="5" s="1"/>
  <c r="J43" i="5"/>
  <c r="H43" i="5"/>
  <c r="I43" i="5" s="1"/>
  <c r="N42" i="5"/>
  <c r="P42" i="5" s="1"/>
  <c r="Q42" i="5" s="1"/>
  <c r="J42" i="5"/>
  <c r="H42" i="5"/>
  <c r="I42" i="5" s="1"/>
  <c r="N41" i="5"/>
  <c r="P41" i="5" s="1"/>
  <c r="Q41" i="5" s="1"/>
  <c r="J41" i="5"/>
  <c r="H41" i="5"/>
  <c r="I41" i="5" s="1"/>
  <c r="N40" i="5"/>
  <c r="P40" i="5" s="1"/>
  <c r="Q40" i="5" s="1"/>
  <c r="J40" i="5"/>
  <c r="H40" i="5"/>
  <c r="I40" i="5" s="1"/>
  <c r="N39" i="5"/>
  <c r="P39" i="5" s="1"/>
  <c r="Q39" i="5" s="1"/>
  <c r="J39" i="5"/>
  <c r="H39" i="5"/>
  <c r="I39" i="5" s="1"/>
  <c r="N38" i="5"/>
  <c r="P38" i="5" s="1"/>
  <c r="Q38" i="5" s="1"/>
  <c r="J38" i="5"/>
  <c r="H38" i="5"/>
  <c r="I38" i="5" s="1"/>
  <c r="N37" i="5"/>
  <c r="P37" i="5" s="1"/>
  <c r="Q37" i="5" s="1"/>
  <c r="J37" i="5"/>
  <c r="H37" i="5"/>
  <c r="I37" i="5" s="1"/>
  <c r="N36" i="5"/>
  <c r="P36" i="5" s="1"/>
  <c r="Q36" i="5" s="1"/>
  <c r="J36" i="5"/>
  <c r="H36" i="5"/>
  <c r="I36" i="5" s="1"/>
  <c r="N35" i="5"/>
  <c r="P35" i="5" s="1"/>
  <c r="Q35" i="5" s="1"/>
  <c r="J35" i="5"/>
  <c r="H35" i="5"/>
  <c r="I35" i="5" s="1"/>
  <c r="N34" i="5"/>
  <c r="P34" i="5" s="1"/>
  <c r="Q34" i="5" s="1"/>
  <c r="J34" i="5"/>
  <c r="H34" i="5"/>
  <c r="I34" i="5" s="1"/>
  <c r="N33" i="5"/>
  <c r="P33" i="5" s="1"/>
  <c r="Q33" i="5" s="1"/>
  <c r="J33" i="5"/>
  <c r="H33" i="5"/>
  <c r="I33" i="5" s="1"/>
  <c r="N32" i="5"/>
  <c r="P32" i="5" s="1"/>
  <c r="Q32" i="5" s="1"/>
  <c r="J32" i="5"/>
  <c r="H32" i="5"/>
  <c r="I32" i="5" s="1"/>
  <c r="N31" i="5"/>
  <c r="P31" i="5" s="1"/>
  <c r="Q31" i="5" s="1"/>
  <c r="J31" i="5"/>
  <c r="H31" i="5"/>
  <c r="I31" i="5" s="1"/>
  <c r="N30" i="5"/>
  <c r="P30" i="5" s="1"/>
  <c r="Q30" i="5" s="1"/>
  <c r="J30" i="5"/>
  <c r="H30" i="5"/>
  <c r="I30" i="5" s="1"/>
  <c r="N29" i="5"/>
  <c r="P29" i="5" s="1"/>
  <c r="Q29" i="5" s="1"/>
  <c r="J29" i="5"/>
  <c r="H29" i="5"/>
  <c r="I29" i="5" s="1"/>
  <c r="N28" i="5"/>
  <c r="P28" i="5" s="1"/>
  <c r="Q28" i="5" s="1"/>
  <c r="J28" i="5"/>
  <c r="H28" i="5"/>
  <c r="I28" i="5" s="1"/>
  <c r="N27" i="5"/>
  <c r="P27" i="5" s="1"/>
  <c r="Q27" i="5" s="1"/>
  <c r="J27" i="5"/>
  <c r="H27" i="5"/>
  <c r="I27" i="5" s="1"/>
  <c r="N26" i="5"/>
  <c r="P26" i="5" s="1"/>
  <c r="Q26" i="5" s="1"/>
  <c r="H26" i="5"/>
  <c r="I26" i="5" s="1"/>
  <c r="H25" i="5"/>
  <c r="N24" i="5"/>
  <c r="P24" i="5" s="1"/>
  <c r="Q24" i="5" s="1"/>
  <c r="H24" i="5"/>
  <c r="R24" i="5" s="1"/>
  <c r="N23" i="5"/>
  <c r="P23" i="5" s="1"/>
  <c r="Q23" i="5" s="1"/>
  <c r="H23" i="5"/>
  <c r="R23" i="5" s="1"/>
  <c r="N22" i="5"/>
  <c r="P22" i="5" s="1"/>
  <c r="Q22" i="5" s="1"/>
  <c r="H22" i="5"/>
  <c r="N21" i="5"/>
  <c r="P21" i="5" s="1"/>
  <c r="Q21" i="5" s="1"/>
  <c r="J21" i="5"/>
  <c r="H21" i="5"/>
  <c r="N20" i="5"/>
  <c r="P20" i="5" s="1"/>
  <c r="Q20" i="5" s="1"/>
  <c r="H20" i="5"/>
  <c r="R20" i="5" s="1"/>
  <c r="N19" i="5"/>
  <c r="P19" i="5" s="1"/>
  <c r="Q19" i="5" s="1"/>
  <c r="H19" i="5"/>
  <c r="R19" i="5" s="1"/>
  <c r="N18" i="5"/>
  <c r="P18" i="5" s="1"/>
  <c r="Q18" i="5" s="1"/>
  <c r="H18" i="5"/>
  <c r="R18" i="5" s="1"/>
  <c r="N17" i="5"/>
  <c r="P17" i="5" s="1"/>
  <c r="Q17" i="5" s="1"/>
  <c r="J17" i="5"/>
  <c r="I17" i="5"/>
  <c r="H17" i="5"/>
  <c r="N16" i="5"/>
  <c r="P16" i="5" s="1"/>
  <c r="Q16" i="5" s="1"/>
  <c r="H16" i="5"/>
  <c r="R16" i="5" s="1"/>
  <c r="N15" i="5"/>
  <c r="P15" i="5" s="1"/>
  <c r="Q15" i="5" s="1"/>
  <c r="H15" i="5"/>
  <c r="R15" i="5" s="1"/>
  <c r="H14" i="5"/>
  <c r="N13" i="5"/>
  <c r="P13" i="5" s="1"/>
  <c r="Q13" i="5" s="1"/>
  <c r="H13" i="5"/>
  <c r="I13" i="5" s="1"/>
  <c r="N12" i="5"/>
  <c r="P12" i="5" s="1"/>
  <c r="Q12" i="5" s="1"/>
  <c r="H12" i="5"/>
  <c r="I12" i="5" s="1"/>
  <c r="N11" i="5"/>
  <c r="P11" i="5" s="1"/>
  <c r="Q11" i="5" s="1"/>
  <c r="H11" i="5"/>
  <c r="I11" i="5" s="1"/>
  <c r="N10" i="5"/>
  <c r="P10" i="5" s="1"/>
  <c r="Q10" i="5" s="1"/>
  <c r="H10" i="5"/>
  <c r="I10" i="5" s="1"/>
  <c r="R9" i="5"/>
  <c r="N9" i="5"/>
  <c r="P9" i="5" s="1"/>
  <c r="Q9" i="5" s="1"/>
  <c r="H9" i="5"/>
  <c r="J9" i="5" s="1"/>
  <c r="N8" i="5"/>
  <c r="P8" i="5" s="1"/>
  <c r="Q8" i="5" s="1"/>
  <c r="H8" i="5"/>
  <c r="I8" i="5" s="1"/>
  <c r="N7" i="5"/>
  <c r="P7" i="5" s="1"/>
  <c r="Q7" i="5" s="1"/>
  <c r="J7" i="5"/>
  <c r="H7" i="5"/>
  <c r="I7" i="5" s="1"/>
  <c r="R6" i="5"/>
  <c r="N6" i="5"/>
  <c r="P6" i="5" s="1"/>
  <c r="Q6" i="5" s="1"/>
  <c r="J6" i="5"/>
  <c r="I6" i="5"/>
  <c r="H6" i="5"/>
  <c r="N5" i="5"/>
  <c r="P5" i="5" s="1"/>
  <c r="Q5" i="5" s="1"/>
  <c r="H5" i="5"/>
  <c r="R5" i="5" s="1"/>
  <c r="N4" i="5"/>
  <c r="P4" i="5" s="1"/>
  <c r="Q4" i="5" s="1"/>
  <c r="J4" i="5"/>
  <c r="H4" i="5"/>
  <c r="I4" i="5" s="1"/>
  <c r="N3" i="5"/>
  <c r="P3" i="5" s="1"/>
  <c r="Q3" i="5" s="1"/>
  <c r="H3" i="5"/>
  <c r="I3" i="5" s="1"/>
  <c r="I19" i="5" l="1"/>
  <c r="J10" i="5"/>
  <c r="R17" i="5"/>
  <c r="J19" i="5"/>
  <c r="R22" i="5"/>
  <c r="I9" i="5"/>
  <c r="I15" i="5"/>
  <c r="I23" i="5"/>
  <c r="J15" i="5"/>
  <c r="R21" i="5"/>
  <c r="J23" i="5"/>
  <c r="J12" i="5"/>
  <c r="I21" i="5"/>
  <c r="R8" i="5"/>
  <c r="J3" i="5"/>
  <c r="R4" i="5"/>
  <c r="J5" i="5"/>
  <c r="R7" i="5"/>
  <c r="J8" i="5"/>
  <c r="J11" i="5"/>
  <c r="R12" i="5"/>
  <c r="J13" i="5"/>
  <c r="I16" i="5"/>
  <c r="I18" i="5"/>
  <c r="I20" i="5"/>
  <c r="I22" i="5"/>
  <c r="I24" i="5"/>
  <c r="J26" i="5"/>
  <c r="R27" i="5"/>
  <c r="R29" i="5"/>
  <c r="R31" i="5"/>
  <c r="R33" i="5"/>
  <c r="R35" i="5"/>
  <c r="R37" i="5"/>
  <c r="R39" i="5"/>
  <c r="R41" i="5"/>
  <c r="R43" i="5"/>
  <c r="R45" i="5"/>
  <c r="R47" i="5"/>
  <c r="R49" i="5"/>
  <c r="R51" i="5"/>
  <c r="R53" i="5"/>
  <c r="R55" i="5"/>
  <c r="R11" i="5"/>
  <c r="R13" i="5"/>
  <c r="I5" i="5"/>
  <c r="J16" i="5"/>
  <c r="J18" i="5"/>
  <c r="J20" i="5"/>
  <c r="J22" i="5"/>
  <c r="J24" i="5"/>
  <c r="R3" i="5"/>
  <c r="R26" i="5"/>
  <c r="R28" i="5"/>
  <c r="R30" i="5"/>
  <c r="R32" i="5"/>
  <c r="R34" i="5"/>
  <c r="R36" i="5"/>
  <c r="R38" i="5"/>
  <c r="R40" i="5"/>
  <c r="R42" i="5"/>
  <c r="R44" i="5"/>
  <c r="R46" i="5"/>
  <c r="R48" i="5"/>
  <c r="R50" i="5"/>
  <c r="R52" i="5"/>
  <c r="R54" i="5"/>
  <c r="R56" i="5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H4" i="6" l="1"/>
  <c r="H5" i="6"/>
  <c r="H6" i="6"/>
  <c r="H7" i="6"/>
  <c r="H8" i="6"/>
  <c r="H9" i="6"/>
  <c r="H10" i="6"/>
  <c r="H11" i="6"/>
  <c r="H12" i="6"/>
  <c r="H13" i="6"/>
  <c r="H14" i="6"/>
  <c r="H15" i="6"/>
  <c r="O15" i="6" s="1"/>
  <c r="H16" i="6"/>
  <c r="O16" i="6" s="1"/>
  <c r="H17" i="6"/>
  <c r="O17" i="6" s="1"/>
  <c r="H18" i="6"/>
  <c r="O18" i="6" s="1"/>
  <c r="H19" i="6"/>
  <c r="O19" i="6" s="1"/>
  <c r="H20" i="6"/>
  <c r="O20" i="6" s="1"/>
  <c r="H21" i="6"/>
  <c r="O21" i="6" s="1"/>
  <c r="H22" i="6"/>
  <c r="O22" i="6" s="1"/>
  <c r="H23" i="6"/>
  <c r="O23" i="6" s="1"/>
  <c r="H24" i="6"/>
  <c r="O24" i="6" s="1"/>
  <c r="H25" i="6"/>
  <c r="H26" i="6"/>
  <c r="O26" i="6" s="1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3" i="6"/>
  <c r="I35" i="6" l="1"/>
  <c r="O35" i="6"/>
  <c r="I34" i="6"/>
  <c r="O34" i="6"/>
  <c r="J10" i="6"/>
  <c r="O10" i="6"/>
  <c r="I40" i="6"/>
  <c r="O40" i="6"/>
  <c r="J8" i="6"/>
  <c r="O8" i="6"/>
  <c r="I51" i="6"/>
  <c r="O51" i="6"/>
  <c r="I49" i="6"/>
  <c r="O49" i="6"/>
  <c r="J9" i="6"/>
  <c r="O9" i="6"/>
  <c r="I48" i="6"/>
  <c r="O48" i="6"/>
  <c r="I31" i="6"/>
  <c r="O31" i="6"/>
  <c r="J7" i="6"/>
  <c r="O7" i="6"/>
  <c r="I43" i="6"/>
  <c r="O43" i="6"/>
  <c r="I50" i="6"/>
  <c r="O50" i="6"/>
  <c r="I46" i="6"/>
  <c r="O46" i="6"/>
  <c r="I30" i="6"/>
  <c r="O30" i="6"/>
  <c r="J6" i="6"/>
  <c r="O6" i="6"/>
  <c r="I27" i="6"/>
  <c r="O27" i="6"/>
  <c r="J3" i="6"/>
  <c r="O3" i="6"/>
  <c r="I41" i="6"/>
  <c r="O41" i="6"/>
  <c r="I56" i="6"/>
  <c r="O56" i="6"/>
  <c r="I32" i="6"/>
  <c r="O32" i="6"/>
  <c r="I47" i="6"/>
  <c r="O47" i="6"/>
  <c r="I54" i="6"/>
  <c r="O54" i="6"/>
  <c r="I53" i="6"/>
  <c r="O53" i="6"/>
  <c r="I29" i="6"/>
  <c r="O29" i="6"/>
  <c r="J13" i="6"/>
  <c r="O13" i="6"/>
  <c r="J5" i="6"/>
  <c r="O5" i="6"/>
  <c r="J11" i="6"/>
  <c r="O11" i="6"/>
  <c r="I42" i="6"/>
  <c r="O42" i="6"/>
  <c r="I33" i="6"/>
  <c r="O33" i="6"/>
  <c r="I55" i="6"/>
  <c r="O55" i="6"/>
  <c r="I39" i="6"/>
  <c r="O39" i="6"/>
  <c r="I38" i="6"/>
  <c r="O38" i="6"/>
  <c r="I45" i="6"/>
  <c r="O45" i="6"/>
  <c r="I37" i="6"/>
  <c r="O37" i="6"/>
  <c r="I52" i="6"/>
  <c r="O52" i="6"/>
  <c r="I44" i="6"/>
  <c r="O44" i="6"/>
  <c r="I36" i="6"/>
  <c r="O36" i="6"/>
  <c r="I28" i="6"/>
  <c r="O28" i="6"/>
  <c r="J12" i="6"/>
  <c r="O12" i="6"/>
  <c r="J4" i="6"/>
  <c r="O4" i="6"/>
  <c r="I7" i="6"/>
  <c r="I11" i="6"/>
  <c r="J24" i="6"/>
  <c r="I24" i="6"/>
  <c r="I23" i="6"/>
  <c r="J23" i="6"/>
  <c r="J19" i="6"/>
  <c r="I19" i="6"/>
  <c r="J15" i="6"/>
  <c r="I15" i="6"/>
  <c r="I3" i="6"/>
  <c r="I10" i="6"/>
  <c r="I6" i="6"/>
  <c r="J20" i="6"/>
  <c r="I20" i="6"/>
  <c r="J26" i="6"/>
  <c r="I26" i="6"/>
  <c r="J22" i="6"/>
  <c r="I22" i="6"/>
  <c r="I18" i="6"/>
  <c r="J18" i="6"/>
  <c r="I13" i="6"/>
  <c r="I9" i="6"/>
  <c r="I5" i="6"/>
  <c r="J16" i="6"/>
  <c r="I16" i="6"/>
  <c r="J21" i="6"/>
  <c r="I21" i="6"/>
  <c r="J17" i="6"/>
  <c r="I17" i="6"/>
  <c r="I12" i="6"/>
  <c r="I8" i="6"/>
  <c r="I4" i="6"/>
  <c r="T34" i="7"/>
  <c r="U23" i="7"/>
  <c r="V36" i="8"/>
  <c r="M56" i="8"/>
  <c r="O56" i="8" s="1"/>
  <c r="M55" i="8"/>
  <c r="O55" i="8" s="1"/>
  <c r="M54" i="8"/>
  <c r="O54" i="8" s="1"/>
  <c r="M53" i="8"/>
  <c r="O53" i="8" s="1"/>
  <c r="M52" i="8"/>
  <c r="O52" i="8" s="1"/>
  <c r="O51" i="8"/>
  <c r="M51" i="8"/>
  <c r="M50" i="8"/>
  <c r="O50" i="8" s="1"/>
  <c r="O49" i="8"/>
  <c r="M49" i="8"/>
  <c r="M48" i="8"/>
  <c r="O48" i="8" s="1"/>
  <c r="O47" i="8"/>
  <c r="M47" i="8"/>
  <c r="M46" i="8"/>
  <c r="O46" i="8" s="1"/>
  <c r="O45" i="8"/>
  <c r="M45" i="8"/>
  <c r="M44" i="8"/>
  <c r="O44" i="8" s="1"/>
  <c r="O43" i="8"/>
  <c r="M43" i="8"/>
  <c r="M42" i="8"/>
  <c r="O42" i="8" s="1"/>
  <c r="O41" i="8"/>
  <c r="M41" i="8"/>
  <c r="M40" i="8"/>
  <c r="O40" i="8" s="1"/>
  <c r="O39" i="8"/>
  <c r="M39" i="8"/>
  <c r="M38" i="8"/>
  <c r="O38" i="8" s="1"/>
  <c r="O37" i="8"/>
  <c r="M37" i="8"/>
  <c r="M36" i="8"/>
  <c r="O36" i="8" s="1"/>
  <c r="O35" i="8"/>
  <c r="M35" i="8"/>
  <c r="M34" i="8"/>
  <c r="O34" i="8" s="1"/>
  <c r="O33" i="8"/>
  <c r="M33" i="8"/>
  <c r="M32" i="8"/>
  <c r="O32" i="8" s="1"/>
  <c r="O31" i="8"/>
  <c r="M31" i="8"/>
  <c r="M30" i="8"/>
  <c r="O30" i="8" s="1"/>
  <c r="O29" i="8"/>
  <c r="M29" i="8"/>
  <c r="M28" i="8"/>
  <c r="O28" i="8" s="1"/>
  <c r="O27" i="8"/>
  <c r="M27" i="8"/>
  <c r="M26" i="8"/>
  <c r="O26" i="8" s="1"/>
  <c r="O24" i="8"/>
  <c r="M24" i="8"/>
  <c r="M23" i="8"/>
  <c r="O23" i="8" s="1"/>
  <c r="O22" i="8"/>
  <c r="M22" i="8"/>
  <c r="M21" i="8"/>
  <c r="O21" i="8" s="1"/>
  <c r="O20" i="8"/>
  <c r="M20" i="8"/>
  <c r="M19" i="8"/>
  <c r="O19" i="8" s="1"/>
  <c r="O18" i="8"/>
  <c r="M18" i="8"/>
  <c r="M17" i="8"/>
  <c r="O17" i="8" s="1"/>
  <c r="O16" i="8"/>
  <c r="M16" i="8"/>
  <c r="M15" i="8"/>
  <c r="O15" i="8" s="1"/>
  <c r="O13" i="8"/>
  <c r="M13" i="8"/>
  <c r="M12" i="8"/>
  <c r="O12" i="8" s="1"/>
  <c r="O11" i="8"/>
  <c r="M11" i="8"/>
  <c r="M10" i="8"/>
  <c r="M9" i="8"/>
  <c r="O9" i="8" s="1"/>
  <c r="M8" i="8"/>
  <c r="O8" i="8" s="1"/>
  <c r="M7" i="8"/>
  <c r="O7" i="8" s="1"/>
  <c r="M6" i="8"/>
  <c r="O6" i="8" s="1"/>
  <c r="M5" i="8"/>
  <c r="O5" i="8" s="1"/>
  <c r="M4" i="8"/>
  <c r="O4" i="8" s="1"/>
  <c r="M3" i="8"/>
  <c r="O3" i="8" s="1"/>
  <c r="N3" i="6" l="1"/>
  <c r="N4" i="6"/>
  <c r="N5" i="6"/>
  <c r="N6" i="6"/>
  <c r="P6" i="6" s="1"/>
  <c r="N7" i="6"/>
  <c r="N8" i="6"/>
  <c r="P8" i="6"/>
  <c r="N9" i="6"/>
  <c r="N10" i="6"/>
  <c r="N11" i="6"/>
  <c r="P11" i="6"/>
  <c r="N12" i="6"/>
  <c r="N13" i="6"/>
  <c r="P13" i="6" s="1"/>
  <c r="N15" i="6"/>
  <c r="N16" i="6"/>
  <c r="N17" i="6"/>
  <c r="N18" i="6"/>
  <c r="N19" i="6"/>
  <c r="N20" i="6"/>
  <c r="P20" i="6" s="1"/>
  <c r="N21" i="6"/>
  <c r="N22" i="6"/>
  <c r="N23" i="6"/>
  <c r="N24" i="6"/>
  <c r="P24" i="6"/>
  <c r="N26" i="6"/>
  <c r="J27" i="6"/>
  <c r="N27" i="6"/>
  <c r="P27" i="6"/>
  <c r="N28" i="6"/>
  <c r="N29" i="6"/>
  <c r="N30" i="6"/>
  <c r="N31" i="6"/>
  <c r="N32" i="6"/>
  <c r="N33" i="6"/>
  <c r="N34" i="6"/>
  <c r="N35" i="6"/>
  <c r="P35" i="6" s="1"/>
  <c r="N36" i="6"/>
  <c r="N37" i="6"/>
  <c r="P37" i="6" s="1"/>
  <c r="N38" i="6"/>
  <c r="N39" i="6"/>
  <c r="P39" i="6" s="1"/>
  <c r="N40" i="6"/>
  <c r="N41" i="6"/>
  <c r="N42" i="6"/>
  <c r="N43" i="6"/>
  <c r="P43" i="6" s="1"/>
  <c r="N44" i="6"/>
  <c r="N45" i="6"/>
  <c r="P45" i="6"/>
  <c r="N46" i="6"/>
  <c r="N47" i="6"/>
  <c r="N48" i="6"/>
  <c r="N49" i="6"/>
  <c r="N50" i="6"/>
  <c r="N51" i="6"/>
  <c r="P51" i="6" s="1"/>
  <c r="N52" i="6"/>
  <c r="N53" i="6"/>
  <c r="N54" i="6"/>
  <c r="N55" i="6"/>
  <c r="P55" i="6"/>
  <c r="N56" i="6"/>
  <c r="P53" i="6" l="1"/>
  <c r="P47" i="6"/>
  <c r="P29" i="6"/>
  <c r="P22" i="6"/>
  <c r="P16" i="6"/>
  <c r="P34" i="6"/>
  <c r="P31" i="6"/>
  <c r="P19" i="6"/>
  <c r="P5" i="6"/>
  <c r="P46" i="6"/>
  <c r="P56" i="6"/>
  <c r="P48" i="6"/>
  <c r="P40" i="6"/>
  <c r="P50" i="6"/>
  <c r="P42" i="6"/>
  <c r="P52" i="6"/>
  <c r="P49" i="6"/>
  <c r="P44" i="6"/>
  <c r="P41" i="6"/>
  <c r="P36" i="6"/>
  <c r="P33" i="6"/>
  <c r="P30" i="6"/>
  <c r="P28" i="6"/>
  <c r="P21" i="6"/>
  <c r="P18" i="6"/>
  <c r="P12" i="6"/>
  <c r="P7" i="6"/>
  <c r="P4" i="6"/>
  <c r="P38" i="6"/>
  <c r="P23" i="6"/>
  <c r="P15" i="6"/>
  <c r="P9" i="6"/>
  <c r="P54" i="6"/>
  <c r="P32" i="6"/>
  <c r="P26" i="6"/>
  <c r="P17" i="6"/>
  <c r="P3" i="6"/>
  <c r="W28" i="5"/>
  <c r="W29" i="5" s="1"/>
  <c r="M3" i="4" l="1"/>
  <c r="M4" i="4"/>
  <c r="M5" i="4"/>
  <c r="M6" i="4"/>
  <c r="M7" i="4"/>
  <c r="M8" i="4"/>
  <c r="M9" i="4"/>
  <c r="M10" i="4"/>
  <c r="M11" i="4"/>
  <c r="M12" i="4"/>
  <c r="M13" i="4"/>
  <c r="M15" i="4"/>
  <c r="M16" i="4"/>
  <c r="M17" i="4"/>
  <c r="M18" i="4"/>
  <c r="M19" i="4"/>
  <c r="M20" i="4"/>
  <c r="M21" i="4"/>
  <c r="M22" i="4"/>
  <c r="M23" i="4"/>
  <c r="M24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E33" i="1" l="1"/>
  <c r="F33" i="1"/>
  <c r="J4" i="1" l="1"/>
  <c r="J6" i="1"/>
  <c r="J8" i="1"/>
  <c r="J9" i="1"/>
  <c r="J10" i="1"/>
  <c r="J12" i="1"/>
  <c r="J14" i="1"/>
  <c r="J16" i="1"/>
  <c r="J18" i="1"/>
  <c r="J20" i="1"/>
  <c r="J22" i="1"/>
  <c r="J24" i="1"/>
  <c r="J26" i="1"/>
  <c r="J28" i="1"/>
  <c r="J30" i="1"/>
  <c r="J32" i="1"/>
  <c r="K16" i="1" l="1"/>
  <c r="L16" i="1"/>
  <c r="K28" i="1"/>
  <c r="L28" i="1"/>
  <c r="K9" i="1"/>
  <c r="L9" i="1"/>
  <c r="K30" i="1"/>
  <c r="L30" i="1"/>
  <c r="K12" i="1"/>
  <c r="L12" i="1"/>
  <c r="K10" i="1"/>
  <c r="L10" i="1"/>
  <c r="K8" i="1"/>
  <c r="L8" i="1"/>
  <c r="K20" i="1"/>
  <c r="L20" i="1"/>
  <c r="K32" i="1"/>
  <c r="L32" i="1"/>
  <c r="K14" i="1"/>
  <c r="L14" i="1"/>
  <c r="K26" i="1"/>
  <c r="L26" i="1"/>
  <c r="K24" i="1"/>
  <c r="L24" i="1"/>
  <c r="K22" i="1"/>
  <c r="L22" i="1"/>
  <c r="K6" i="1"/>
  <c r="L6" i="1"/>
  <c r="K18" i="1"/>
  <c r="L18" i="1"/>
  <c r="K4" i="1"/>
  <c r="L4" i="1"/>
  <c r="J29" i="1"/>
  <c r="J13" i="1"/>
  <c r="J5" i="1"/>
  <c r="J25" i="1"/>
  <c r="J21" i="1"/>
  <c r="J2" i="1"/>
  <c r="J17" i="1"/>
  <c r="J31" i="1"/>
  <c r="J27" i="1"/>
  <c r="J23" i="1"/>
  <c r="J19" i="1"/>
  <c r="J15" i="1"/>
  <c r="J11" i="1"/>
  <c r="J7" i="1"/>
  <c r="J3" i="1"/>
  <c r="K7" i="1" l="1"/>
  <c r="L7" i="1"/>
  <c r="K2" i="1"/>
  <c r="L2" i="1"/>
  <c r="K21" i="1"/>
  <c r="L21" i="1"/>
  <c r="K15" i="1"/>
  <c r="L15" i="1"/>
  <c r="K5" i="1"/>
  <c r="L5" i="1"/>
  <c r="K17" i="1"/>
  <c r="L17" i="1"/>
  <c r="K19" i="1"/>
  <c r="L19" i="1"/>
  <c r="K31" i="1"/>
  <c r="L31" i="1"/>
  <c r="K3" i="1"/>
  <c r="L3" i="1"/>
  <c r="K11" i="1"/>
  <c r="L11" i="1"/>
  <c r="K25" i="1"/>
  <c r="L25" i="1"/>
  <c r="K23" i="1"/>
  <c r="L23" i="1"/>
  <c r="K13" i="1"/>
  <c r="L13" i="1"/>
  <c r="K27" i="1"/>
  <c r="L27" i="1"/>
  <c r="K29" i="1"/>
  <c r="L29" i="1"/>
  <c r="J33" i="1"/>
  <c r="K33" i="1" s="1"/>
  <c r="E34" i="1" l="1"/>
  <c r="U31" i="6" l="1"/>
  <c r="U43" i="8" l="1"/>
  <c r="S15" i="4" l="1"/>
</calcChain>
</file>

<file path=xl/sharedStrings.xml><?xml version="1.0" encoding="utf-8"?>
<sst xmlns="http://schemas.openxmlformats.org/spreadsheetml/2006/main" count="4260" uniqueCount="575">
  <si>
    <t>B - F</t>
  </si>
  <si>
    <t>Transciever</t>
  </si>
  <si>
    <t>B - H</t>
  </si>
  <si>
    <t>B - HH</t>
  </si>
  <si>
    <t>B - L</t>
  </si>
  <si>
    <t>D - DO</t>
  </si>
  <si>
    <t>D - F</t>
  </si>
  <si>
    <t>D - H</t>
  </si>
  <si>
    <t>D - HH</t>
  </si>
  <si>
    <t>D - K</t>
  </si>
  <si>
    <t>D - L</t>
  </si>
  <si>
    <t>D - M</t>
  </si>
  <si>
    <t>DO - F</t>
  </si>
  <si>
    <t>DO - H</t>
  </si>
  <si>
    <t>F - H</t>
  </si>
  <si>
    <t>F - HH</t>
  </si>
  <si>
    <t>F - K</t>
  </si>
  <si>
    <t>F - L</t>
  </si>
  <si>
    <t>F - M</t>
  </si>
  <si>
    <t>F - N</t>
  </si>
  <si>
    <t>F - S</t>
  </si>
  <si>
    <t>F - U</t>
  </si>
  <si>
    <t>H - HH</t>
  </si>
  <si>
    <t>H - K</t>
  </si>
  <si>
    <t>H - L</t>
  </si>
  <si>
    <t>HH - L</t>
  </si>
  <si>
    <t>L - M</t>
  </si>
  <si>
    <t>L - N</t>
  </si>
  <si>
    <t>L - S</t>
  </si>
  <si>
    <t>L - U</t>
  </si>
  <si>
    <t>M - S</t>
  </si>
  <si>
    <t>N - S</t>
  </si>
  <si>
    <t>IP links</t>
  </si>
  <si>
    <t>Total Capacity (G)</t>
  </si>
  <si>
    <t>Reach (km)</t>
  </si>
  <si>
    <t>Optical path</t>
  </si>
  <si>
    <t xml:space="preserve">Absolute sum </t>
  </si>
  <si>
    <t>Total Traffic carried (G)</t>
  </si>
  <si>
    <t>`</t>
  </si>
  <si>
    <t>IP Topology</t>
  </si>
  <si>
    <t>Optical Topology</t>
  </si>
  <si>
    <t>Capacity per LP (G)</t>
  </si>
  <si>
    <t>Free capacity (G)</t>
  </si>
  <si>
    <t># of LP required</t>
  </si>
  <si>
    <t>B -- HH</t>
  </si>
  <si>
    <t>B -- L</t>
  </si>
  <si>
    <t>D -- DO</t>
  </si>
  <si>
    <t>D -- K -- F</t>
  </si>
  <si>
    <t>D -- DO -- H</t>
  </si>
  <si>
    <t>D -- K</t>
  </si>
  <si>
    <t>D -- K -- F -- L</t>
  </si>
  <si>
    <t>D -- K -- F -- M</t>
  </si>
  <si>
    <t>DO -- D -- K -- F</t>
  </si>
  <si>
    <t>DO -- H</t>
  </si>
  <si>
    <t>F -- H</t>
  </si>
  <si>
    <t>F -- H -- HH</t>
  </si>
  <si>
    <t>F -- K</t>
  </si>
  <si>
    <t>F -- L</t>
  </si>
  <si>
    <t>F -- M</t>
  </si>
  <si>
    <t>F -- N</t>
  </si>
  <si>
    <t>F -- S</t>
  </si>
  <si>
    <t>F -- S -- U</t>
  </si>
  <si>
    <t>H -- HH</t>
  </si>
  <si>
    <t>H -- DO -- D -- K</t>
  </si>
  <si>
    <t>H -- L</t>
  </si>
  <si>
    <t>HH -- B -- L</t>
  </si>
  <si>
    <t>L -- N -- M</t>
  </si>
  <si>
    <t>L -- N</t>
  </si>
  <si>
    <t>L -- N -- S</t>
  </si>
  <si>
    <t>L -- N -- M -- U</t>
  </si>
  <si>
    <t>M -- U -- S</t>
  </si>
  <si>
    <t>N -- S</t>
  </si>
  <si>
    <t>B -- L -- F</t>
  </si>
  <si>
    <t>B -- H</t>
  </si>
  <si>
    <t>D -- DO -- H -- HH</t>
  </si>
  <si>
    <t>8QAM</t>
  </si>
  <si>
    <t>16QAM</t>
  </si>
  <si>
    <t>32QAM</t>
  </si>
  <si>
    <t>64QAM</t>
  </si>
  <si>
    <t>Link Utilization(%)</t>
  </si>
  <si>
    <t>Network Utilization %</t>
  </si>
  <si>
    <t xml:space="preserve">MPLS Paths </t>
  </si>
  <si>
    <t>to</t>
  </si>
  <si>
    <t>Traffic2016 [Mbit/s]</t>
  </si>
  <si>
    <t>B</t>
  </si>
  <si>
    <t>D</t>
  </si>
  <si>
    <t>DO</t>
  </si>
  <si>
    <t>F</t>
  </si>
  <si>
    <t>H</t>
  </si>
  <si>
    <t>HH</t>
  </si>
  <si>
    <t>K</t>
  </si>
  <si>
    <t>L</t>
  </si>
  <si>
    <t>M</t>
  </si>
  <si>
    <t>N</t>
  </si>
  <si>
    <t>S</t>
  </si>
  <si>
    <t>ULM</t>
  </si>
  <si>
    <t>from</t>
  </si>
  <si>
    <t>Berlin</t>
  </si>
  <si>
    <t>1st Path</t>
  </si>
  <si>
    <t>B -&gt; F -&gt; D</t>
  </si>
  <si>
    <t>B -&gt; F -&gt; DO</t>
  </si>
  <si>
    <t>B -&gt; F</t>
  </si>
  <si>
    <t>B -&gt; H</t>
  </si>
  <si>
    <t>B -&gt; HH</t>
  </si>
  <si>
    <t>B -&gt; F -&gt; K</t>
  </si>
  <si>
    <t>B -&gt; L</t>
  </si>
  <si>
    <t>B -&gt; F -&gt; M</t>
  </si>
  <si>
    <t>B -&gt; F -&gt; N</t>
  </si>
  <si>
    <t>B -&gt; F -&gt; S</t>
  </si>
  <si>
    <t>B -&gt; F -&gt; U</t>
  </si>
  <si>
    <t>2nd Path</t>
  </si>
  <si>
    <t>B -&gt; H -&gt; D</t>
  </si>
  <si>
    <t>B - &gt; H -&gt; DO</t>
  </si>
  <si>
    <t>B -&gt; H -&gt; K</t>
  </si>
  <si>
    <t>B -&gt; L -&gt; M</t>
  </si>
  <si>
    <t>B -&gt; L -&gt; N</t>
  </si>
  <si>
    <t>B -&gt; L -&gt; S</t>
  </si>
  <si>
    <t>B -&gt; L -&gt; U</t>
  </si>
  <si>
    <t>3rd Path</t>
  </si>
  <si>
    <t>B -&gt; HH -&gt; D</t>
  </si>
  <si>
    <t>4th Path</t>
  </si>
  <si>
    <t>B -&gt; L -&gt; D</t>
  </si>
  <si>
    <t>Düsseldorf</t>
  </si>
  <si>
    <t>D -&gt; F -&gt; B</t>
  </si>
  <si>
    <t>D -&gt; DO</t>
  </si>
  <si>
    <t>D -&gt; F</t>
  </si>
  <si>
    <t>D -&gt; H</t>
  </si>
  <si>
    <t>D -&gt; HH</t>
  </si>
  <si>
    <t>D -&gt; K</t>
  </si>
  <si>
    <t>D -&gt; L</t>
  </si>
  <si>
    <t>D -&gt; M</t>
  </si>
  <si>
    <t>D -&gt; F -&gt; N</t>
  </si>
  <si>
    <t>D -&gt; F -&gt; S</t>
  </si>
  <si>
    <t>D -&gt; F -&gt; U</t>
  </si>
  <si>
    <t>D -&gt; H -&gt; B</t>
  </si>
  <si>
    <t>D -&gt; L -&gt; N</t>
  </si>
  <si>
    <t>D -&gt; L -&gt; S</t>
  </si>
  <si>
    <t>D -&gt; L -&gt; U</t>
  </si>
  <si>
    <t>D -&gt; HH -&gt; B</t>
  </si>
  <si>
    <t>D -&gt; M -&gt; S</t>
  </si>
  <si>
    <t>D -&gt; L -&gt; B</t>
  </si>
  <si>
    <t>Dortmund</t>
  </si>
  <si>
    <t>DO -&gt; F -&gt; B</t>
  </si>
  <si>
    <t>DO -&gt; D</t>
  </si>
  <si>
    <t>DO -&gt; F</t>
  </si>
  <si>
    <t>DO -&gt; H</t>
  </si>
  <si>
    <t>DO -&gt; D -&gt; HH</t>
  </si>
  <si>
    <t xml:space="preserve">DO -&gt; D -&gt; K </t>
  </si>
  <si>
    <t>DO -&gt; D -&gt; L</t>
  </si>
  <si>
    <t>DO -&gt; D -&gt; M</t>
  </si>
  <si>
    <t>DO -&gt; F -&gt; N</t>
  </si>
  <si>
    <t>DO -&gt; F -&gt; S</t>
  </si>
  <si>
    <t>DO -&gt; F -&gt; U</t>
  </si>
  <si>
    <t>DO -&gt; H -&gt; B</t>
  </si>
  <si>
    <t>DO -&gt; F -&gt; HH</t>
  </si>
  <si>
    <t>DO -&gt; F -&gt; K</t>
  </si>
  <si>
    <t>DO -&gt; F -&gt; L</t>
  </si>
  <si>
    <t>DO -&gt; F -&gt; M</t>
  </si>
  <si>
    <t>DO -&gt; H -&gt; HH</t>
  </si>
  <si>
    <t>DO -&gt; H -&gt; K</t>
  </si>
  <si>
    <t>DO -&gt; H -&gt; L</t>
  </si>
  <si>
    <t>Frankfurt</t>
  </si>
  <si>
    <t>F -&gt; B</t>
  </si>
  <si>
    <t>F -&gt; D</t>
  </si>
  <si>
    <t>F -&gt; DO</t>
  </si>
  <si>
    <t>F -&gt; H</t>
  </si>
  <si>
    <t>F -&gt; HH</t>
  </si>
  <si>
    <t>F -&gt; K</t>
  </si>
  <si>
    <t>F -&gt; L</t>
  </si>
  <si>
    <t>F -&gt; M</t>
  </si>
  <si>
    <t>F -&gt; N</t>
  </si>
  <si>
    <t>F -&gt; S</t>
  </si>
  <si>
    <t>F -&gt; U</t>
  </si>
  <si>
    <t>Hannover</t>
  </si>
  <si>
    <t>H -&gt; B</t>
  </si>
  <si>
    <t>H -&gt; D</t>
  </si>
  <si>
    <t>H -&gt; DO</t>
  </si>
  <si>
    <t>H -&gt; F</t>
  </si>
  <si>
    <t>H -&gt; HH</t>
  </si>
  <si>
    <t>H -&gt; K</t>
  </si>
  <si>
    <t>H -&gt; L</t>
  </si>
  <si>
    <t xml:space="preserve">H -&gt; D -&gt; M </t>
  </si>
  <si>
    <t>H -&gt; F -&gt; N</t>
  </si>
  <si>
    <t>H -&gt; F -&gt; S</t>
  </si>
  <si>
    <t>H -&gt; F -&gt; U</t>
  </si>
  <si>
    <t>H -&gt; F -&gt; M</t>
  </si>
  <si>
    <t>H -&gt; L -&gt; N</t>
  </si>
  <si>
    <t>H -&gt; L -&gt; S</t>
  </si>
  <si>
    <t>H -&gt; L -&gt; U</t>
  </si>
  <si>
    <t>H -&gt; L -&gt; M</t>
  </si>
  <si>
    <t>Hamburg</t>
  </si>
  <si>
    <t>HH -&gt; B</t>
  </si>
  <si>
    <t>HH -&gt; D</t>
  </si>
  <si>
    <t>HH -&gt; D -&gt; DO</t>
  </si>
  <si>
    <t>HH -&gt; F</t>
  </si>
  <si>
    <t>HH -&gt; H</t>
  </si>
  <si>
    <t>HH -&gt; D -&gt; K</t>
  </si>
  <si>
    <t>HH -&gt; L</t>
  </si>
  <si>
    <t>HH -&gt; D -&gt; M</t>
  </si>
  <si>
    <t>HH -&gt; F -&gt; N</t>
  </si>
  <si>
    <t>HH -&gt; F -&gt; S</t>
  </si>
  <si>
    <t>HH -&gt; F -&gt; U</t>
  </si>
  <si>
    <t>HH -&gt; F -&gt; DO</t>
  </si>
  <si>
    <t>HH -&gt; F -&gt; K</t>
  </si>
  <si>
    <t>HH -&gt; F -&gt; M</t>
  </si>
  <si>
    <t>HH -&gt; L -&gt; N</t>
  </si>
  <si>
    <t>HH -&gt; L -&gt; S</t>
  </si>
  <si>
    <t>HH -&gt; L -&gt; U</t>
  </si>
  <si>
    <t>HH -&gt; H -&gt; DO</t>
  </si>
  <si>
    <t>HH -&gt; H -&gt; K</t>
  </si>
  <si>
    <t>HH -&gt; L -&gt; M</t>
  </si>
  <si>
    <t>Köln</t>
  </si>
  <si>
    <t>K -&gt; F -&gt; B</t>
  </si>
  <si>
    <t>K -&gt; D</t>
  </si>
  <si>
    <t>K -&gt; D -&gt; DO</t>
  </si>
  <si>
    <t>K -&gt; F</t>
  </si>
  <si>
    <t>K -&gt; H</t>
  </si>
  <si>
    <t>K -&gt; D -&gt; HH</t>
  </si>
  <si>
    <t>K -&gt; D -&gt; L</t>
  </si>
  <si>
    <t>K -&gt; D -&gt; M</t>
  </si>
  <si>
    <t>K -&gt; F -&gt; N</t>
  </si>
  <si>
    <t>K -&gt; F -&gt; S</t>
  </si>
  <si>
    <t>K -&gt; F -&gt; U</t>
  </si>
  <si>
    <t>K -&gt; H -&gt; B</t>
  </si>
  <si>
    <t>K -&gt; F -&gt; DO</t>
  </si>
  <si>
    <t>K -&gt; F -&gt; HH</t>
  </si>
  <si>
    <t>K -&gt; F -&gt; L</t>
  </si>
  <si>
    <t>K -&gt; F -&gt; M</t>
  </si>
  <si>
    <t>K -&gt; H -&gt; DO</t>
  </si>
  <si>
    <t>K -&gt; H -&gt; HH</t>
  </si>
  <si>
    <t>K -&gt; H -&gt; L</t>
  </si>
  <si>
    <t>Leipzig</t>
  </si>
  <si>
    <t>L -&gt; B</t>
  </si>
  <si>
    <t>L -&gt; D</t>
  </si>
  <si>
    <t>L -&gt; D -&gt; DO</t>
  </si>
  <si>
    <t>L -&gt; F</t>
  </si>
  <si>
    <t>L -&gt; H</t>
  </si>
  <si>
    <t>L -&gt; HH</t>
  </si>
  <si>
    <t>L -&gt; D -&gt; K</t>
  </si>
  <si>
    <t>L -&gt; M</t>
  </si>
  <si>
    <t>L -&gt; N</t>
  </si>
  <si>
    <t>L -&gt; S</t>
  </si>
  <si>
    <t>L -&gt; U</t>
  </si>
  <si>
    <t>L -&gt; F -&gt; DO</t>
  </si>
  <si>
    <t xml:space="preserve">L -&gt; F -&gt; K </t>
  </si>
  <si>
    <t>L -&gt; H -&gt; DO</t>
  </si>
  <si>
    <t>L -&gt; H -&gt; K</t>
  </si>
  <si>
    <t>München</t>
  </si>
  <si>
    <t>M -&gt; F -&gt; B</t>
  </si>
  <si>
    <t>M -&gt; D</t>
  </si>
  <si>
    <t>M -&gt; D -&gt; DO</t>
  </si>
  <si>
    <t>M -&gt; F</t>
  </si>
  <si>
    <t>M -&gt; D -&gt; H</t>
  </si>
  <si>
    <t>M -&gt; D -&gt; HH</t>
  </si>
  <si>
    <t>M -&gt; D -&gt; K</t>
  </si>
  <si>
    <t>M -&gt; L</t>
  </si>
  <si>
    <t>M -&gt; F -&gt; N</t>
  </si>
  <si>
    <t>M -&gt; S</t>
  </si>
  <si>
    <t>M -&gt; F -&gt; U</t>
  </si>
  <si>
    <t>M -&gt; L -&gt; B</t>
  </si>
  <si>
    <t>M -&gt; F -&gt; DO</t>
  </si>
  <si>
    <t>M -&gt; F -&gt; H</t>
  </si>
  <si>
    <t>M -&gt; F -&gt; HH</t>
  </si>
  <si>
    <t>M -&gt; F -&gt; K</t>
  </si>
  <si>
    <t>M -&gt; L -&gt; N</t>
  </si>
  <si>
    <t>M -&gt; L -&gt; U</t>
  </si>
  <si>
    <t>M -&gt; L -&gt; H</t>
  </si>
  <si>
    <t>M -&gt; L -&gt; HH</t>
  </si>
  <si>
    <t>M -&gt; S -&gt; N</t>
  </si>
  <si>
    <t>Nürnberg</t>
  </si>
  <si>
    <t>N -&gt; F -&gt; B</t>
  </si>
  <si>
    <t>N -&gt; F -&gt; D</t>
  </si>
  <si>
    <t>N -&gt; F -&gt; DO</t>
  </si>
  <si>
    <t>N -&gt; F</t>
  </si>
  <si>
    <t>N -&gt; F -&gt; H</t>
  </si>
  <si>
    <t>N -&gt; F -&gt; HH</t>
  </si>
  <si>
    <t>N -&gt; F -&gt; K</t>
  </si>
  <si>
    <t>N -&gt; L</t>
  </si>
  <si>
    <t>N -&gt; F -&gt; M</t>
  </si>
  <si>
    <t>N -&gt; S</t>
  </si>
  <si>
    <t>N -&gt; F -&gt; U</t>
  </si>
  <si>
    <t>N -&gt; L -&gt; B</t>
  </si>
  <si>
    <t>N -&gt; L -&gt; D</t>
  </si>
  <si>
    <t>N -&gt; L -&gt; H</t>
  </si>
  <si>
    <t>N -&gt; L -&gt; HH</t>
  </si>
  <si>
    <t>N -&gt; L -&gt; M</t>
  </si>
  <si>
    <t>N -&gt; L -&gt; U</t>
  </si>
  <si>
    <t>N -&gt; S -&gt; M</t>
  </si>
  <si>
    <t>Stuttgart</t>
  </si>
  <si>
    <t>S -&gt; F -&gt; B</t>
  </si>
  <si>
    <t>S -&gt; F -&gt; D</t>
  </si>
  <si>
    <t>S -&gt; F -&gt; DO</t>
  </si>
  <si>
    <t>S -&gt; F</t>
  </si>
  <si>
    <t>S -&gt; F -&gt; H</t>
  </si>
  <si>
    <t>S -&gt; F -&gt; HH</t>
  </si>
  <si>
    <t>S -&gt; F -&gt; K</t>
  </si>
  <si>
    <t>S -&gt; L</t>
  </si>
  <si>
    <t>S -&gt; M</t>
  </si>
  <si>
    <t>S -&gt; N</t>
  </si>
  <si>
    <t>S -&gt; F -&gt;  U</t>
  </si>
  <si>
    <t>S -&gt; L -&gt; B</t>
  </si>
  <si>
    <t>S -&gt; L -&gt; D</t>
  </si>
  <si>
    <t>S -&gt; L -&gt; H</t>
  </si>
  <si>
    <t>S -&gt; L -&gt; HH</t>
  </si>
  <si>
    <t>S -&gt; L -&gt; U</t>
  </si>
  <si>
    <t>S -&gt; M -&gt; D</t>
  </si>
  <si>
    <t>Ulm</t>
  </si>
  <si>
    <t>U -&gt; F -&gt; B</t>
  </si>
  <si>
    <t>U -&gt; F -&gt; D</t>
  </si>
  <si>
    <t>U -&gt; F -&gt; DO</t>
  </si>
  <si>
    <t>U -&gt; F</t>
  </si>
  <si>
    <t>U -&gt; F -&gt; H</t>
  </si>
  <si>
    <t>U -&gt; F -&gt; HH</t>
  </si>
  <si>
    <t>U -&gt; F -&gt; K</t>
  </si>
  <si>
    <t>U -&gt; L</t>
  </si>
  <si>
    <t>U -&gt; F -&gt; M</t>
  </si>
  <si>
    <t>U -&gt; F -&gt; N</t>
  </si>
  <si>
    <t>U -&gt; F -&gt; S</t>
  </si>
  <si>
    <t>U -&gt; L -&gt; B</t>
  </si>
  <si>
    <t>U -&gt; L -&gt; D</t>
  </si>
  <si>
    <t>U -&gt; L -&gt; H</t>
  </si>
  <si>
    <t>U -&gt; L -&gt; HH</t>
  </si>
  <si>
    <t>U -&gt; L -&gt; M</t>
  </si>
  <si>
    <t>U -&gt; L -&gt; N</t>
  </si>
  <si>
    <t>U -&gt; L -&gt; S</t>
  </si>
  <si>
    <t xml:space="preserve">M -- N -- S </t>
  </si>
  <si>
    <t xml:space="preserve">M -- U -- S </t>
  </si>
  <si>
    <t xml:space="preserve">F - L </t>
  </si>
  <si>
    <t xml:space="preserve">F -- M -- U </t>
  </si>
  <si>
    <t xml:space="preserve">F - U </t>
  </si>
  <si>
    <t xml:space="preserve">S -- U </t>
  </si>
  <si>
    <t>N -- F -- S</t>
  </si>
  <si>
    <t xml:space="preserve">N -- S </t>
  </si>
  <si>
    <t xml:space="preserve"> N - S</t>
  </si>
  <si>
    <t xml:space="preserve">L -- F -- S </t>
  </si>
  <si>
    <t xml:space="preserve">L -- N -- S </t>
  </si>
  <si>
    <t xml:space="preserve">S -- N </t>
  </si>
  <si>
    <t xml:space="preserve">L -- N -- S -- U </t>
  </si>
  <si>
    <t xml:space="preserve">L -- N -- M -- U </t>
  </si>
  <si>
    <t xml:space="preserve"> L - U </t>
  </si>
  <si>
    <t xml:space="preserve">U -- M </t>
  </si>
  <si>
    <t xml:space="preserve">L -- N -- S -- U -- M </t>
  </si>
  <si>
    <t xml:space="preserve">L -- N -- M </t>
  </si>
  <si>
    <t xml:space="preserve">L - M </t>
  </si>
  <si>
    <t xml:space="preserve">N -- M </t>
  </si>
  <si>
    <t xml:space="preserve">L -- F -- S -- U </t>
  </si>
  <si>
    <t>L -- F -- S</t>
  </si>
  <si>
    <t xml:space="preserve"> L - S</t>
  </si>
  <si>
    <t xml:space="preserve">L -- F -- N </t>
  </si>
  <si>
    <t xml:space="preserve">L -- N </t>
  </si>
  <si>
    <t xml:space="preserve"> L - N </t>
  </si>
  <si>
    <t>None</t>
  </si>
  <si>
    <t xml:space="preserve">L -- F -- M </t>
  </si>
  <si>
    <t xml:space="preserve"> L - M </t>
  </si>
  <si>
    <t xml:space="preserve">H -- B -- L </t>
  </si>
  <si>
    <t xml:space="preserve">H -- L </t>
  </si>
  <si>
    <t xml:space="preserve"> H - L </t>
  </si>
  <si>
    <t>H -- B -- HH</t>
  </si>
  <si>
    <t xml:space="preserve"> H - HH</t>
  </si>
  <si>
    <t>F -- K -- D -- HH</t>
  </si>
  <si>
    <t xml:space="preserve"> F - HH</t>
  </si>
  <si>
    <t xml:space="preserve">D -- HH </t>
  </si>
  <si>
    <t xml:space="preserve"> D - HH</t>
  </si>
  <si>
    <t xml:space="preserve">H -- HH </t>
  </si>
  <si>
    <t xml:space="preserve"> F - U</t>
  </si>
  <si>
    <t>%</t>
  </si>
  <si>
    <t xml:space="preserve">F -- N -- S </t>
  </si>
  <si>
    <t xml:space="preserve">F -- S </t>
  </si>
  <si>
    <t xml:space="preserve"> F - S</t>
  </si>
  <si>
    <t xml:space="preserve">Total </t>
  </si>
  <si>
    <t xml:space="preserve">F - N </t>
  </si>
  <si>
    <t xml:space="preserve">F -- S -- N </t>
  </si>
  <si>
    <t xml:space="preserve">F -- N </t>
  </si>
  <si>
    <t xml:space="preserve"> F - N </t>
  </si>
  <si>
    <t xml:space="preserve">F -- N -- M </t>
  </si>
  <si>
    <t xml:space="preserve">F -- M </t>
  </si>
  <si>
    <t xml:space="preserve"> F - M </t>
  </si>
  <si>
    <t xml:space="preserve">D -- K -- F -- N -- M </t>
  </si>
  <si>
    <t xml:space="preserve">D -- K -- F -- M </t>
  </si>
  <si>
    <t xml:space="preserve"> D - M </t>
  </si>
  <si>
    <t xml:space="preserve">DO - F </t>
  </si>
  <si>
    <t xml:space="preserve">F -- N -- L </t>
  </si>
  <si>
    <t xml:space="preserve">F -- L </t>
  </si>
  <si>
    <t xml:space="preserve"> F - L </t>
  </si>
  <si>
    <t xml:space="preserve">F - H </t>
  </si>
  <si>
    <t xml:space="preserve">D -- DO -- H -- L </t>
  </si>
  <si>
    <t xml:space="preserve">D --- K -- F -- L </t>
  </si>
  <si>
    <t xml:space="preserve"> D - L </t>
  </si>
  <si>
    <t>Extra Capacity Needed %</t>
  </si>
  <si>
    <t>Extra Capacity Needed(G)</t>
  </si>
  <si>
    <t>IP Links</t>
  </si>
  <si>
    <t xml:space="preserve">B -- H -- F </t>
  </si>
  <si>
    <t>B --  L --  F</t>
  </si>
  <si>
    <t xml:space="preserve">B - F </t>
  </si>
  <si>
    <t xml:space="preserve">L - N </t>
  </si>
  <si>
    <t xml:space="preserve">F -- H -- DO -- D -- K </t>
  </si>
  <si>
    <t xml:space="preserve">F - K </t>
  </si>
  <si>
    <t xml:space="preserve">H - K </t>
  </si>
  <si>
    <t>DO -- H -- F</t>
  </si>
  <si>
    <t xml:space="preserve"> DO - F </t>
  </si>
  <si>
    <t xml:space="preserve">D -- DO -- H -- F -- M </t>
  </si>
  <si>
    <t xml:space="preserve"> D - M</t>
  </si>
  <si>
    <t xml:space="preserve">D - L </t>
  </si>
  <si>
    <t>D -- DO -- H -- F</t>
  </si>
  <si>
    <t>K -- F</t>
  </si>
  <si>
    <t>F -- K -- D -- DO -- H -- HH</t>
  </si>
  <si>
    <t xml:space="preserve">F -- K -- D -- DO -- H </t>
  </si>
  <si>
    <t xml:space="preserve">F -- H </t>
  </si>
  <si>
    <t xml:space="preserve">H -- F </t>
  </si>
  <si>
    <t xml:space="preserve">None </t>
  </si>
  <si>
    <t xml:space="preserve">DO -- K </t>
  </si>
  <si>
    <t xml:space="preserve">H -- F -- K </t>
  </si>
  <si>
    <t xml:space="preserve">H -- DO -- D -- K </t>
  </si>
  <si>
    <t xml:space="preserve">DO -- D -- K -- F -- H </t>
  </si>
  <si>
    <t xml:space="preserve">DO -- H </t>
  </si>
  <si>
    <t xml:space="preserve"> DO - H </t>
  </si>
  <si>
    <t xml:space="preserve">D - HH </t>
  </si>
  <si>
    <t>D -- K -- F -- H</t>
  </si>
  <si>
    <t>Total</t>
  </si>
  <si>
    <t xml:space="preserve">H -- DO -- K </t>
  </si>
  <si>
    <t xml:space="preserve"> H - K </t>
  </si>
  <si>
    <t>DO -- K -- F</t>
  </si>
  <si>
    <t xml:space="preserve">D --DO -- K -- F -- M </t>
  </si>
  <si>
    <t>D --DO -- K</t>
  </si>
  <si>
    <t xml:space="preserve">D -- K </t>
  </si>
  <si>
    <t>D -- DO -- K -- F</t>
  </si>
  <si>
    <t xml:space="preserve"> D - F</t>
  </si>
  <si>
    <t>D -- HH</t>
  </si>
  <si>
    <t>D -- K -- DO -- H</t>
  </si>
  <si>
    <t>D -- K -- DO</t>
  </si>
  <si>
    <t>HH -- H -- L</t>
  </si>
  <si>
    <t>B -- H -- L</t>
  </si>
  <si>
    <t>B -- H -- F</t>
  </si>
  <si>
    <t xml:space="preserve"> B - F</t>
  </si>
  <si>
    <t xml:space="preserve">B -- L </t>
  </si>
  <si>
    <t>B -- H -- HH</t>
  </si>
  <si>
    <t>B -- HH -- H</t>
  </si>
  <si>
    <t xml:space="preserve">B -- H </t>
  </si>
  <si>
    <t xml:space="preserve"> B - H</t>
  </si>
  <si>
    <t>B  -- H</t>
  </si>
  <si>
    <t>Extra Capacity Required (G)</t>
  </si>
  <si>
    <t>Links Requiring Extra Capacity</t>
  </si>
  <si>
    <t>alpha</t>
  </si>
  <si>
    <t>Extra capacity required (G)</t>
  </si>
  <si>
    <t>Links requiring Extra capacity</t>
  </si>
  <si>
    <t>Free Capacity (G)</t>
  </si>
  <si>
    <t xml:space="preserve">Traffic carried (G) </t>
  </si>
  <si>
    <t xml:space="preserve">Optical Path taken by IP link </t>
  </si>
  <si>
    <t>Traffic carried (G)</t>
  </si>
  <si>
    <t>Optical Path taken by IP link</t>
  </si>
  <si>
    <t>IP links carried</t>
  </si>
  <si>
    <t>Optical Fibre</t>
  </si>
  <si>
    <t>Faiure Mode</t>
  </si>
  <si>
    <t xml:space="preserve">Normal Mode </t>
  </si>
  <si>
    <t>Conclusion</t>
  </si>
  <si>
    <t>No</t>
  </si>
  <si>
    <t>Amount of Extra Capacity Required (G)</t>
  </si>
  <si>
    <t>Reroute required?</t>
  </si>
  <si>
    <t>Link Utilization (%)</t>
  </si>
  <si>
    <t xml:space="preserve">Reroute Direct Link </t>
  </si>
  <si>
    <t>Scale</t>
  </si>
  <si>
    <t>Traffic After Scale (G)</t>
  </si>
  <si>
    <t>F - L , L - N</t>
  </si>
  <si>
    <t>116.26, 28.09</t>
  </si>
  <si>
    <t>Red Cap (G)</t>
  </si>
  <si>
    <t>Extra # Transponders required</t>
  </si>
  <si>
    <t>0.67 alpha chosen</t>
  </si>
  <si>
    <t>Extra Transponders Required (G)</t>
  </si>
  <si>
    <t>Extra Capacity install directly at failed Link</t>
  </si>
  <si>
    <t>U</t>
  </si>
  <si>
    <t>Node</t>
  </si>
  <si>
    <t>100G</t>
  </si>
  <si>
    <t>150G</t>
  </si>
  <si>
    <t>200G</t>
  </si>
  <si>
    <t>250G</t>
  </si>
  <si>
    <t>400G</t>
  </si>
  <si>
    <t>Transponder Type</t>
  </si>
  <si>
    <t>Bit Rate (Gbps)</t>
  </si>
  <si>
    <t>Cost (cu)</t>
  </si>
  <si>
    <t># of Trans.</t>
  </si>
  <si>
    <t>1 (ignored)</t>
  </si>
  <si>
    <t>Simulation-Throughput on Link (G)</t>
  </si>
  <si>
    <t xml:space="preserve">Traffic After Scale (G) </t>
  </si>
  <si>
    <t>Simulation-Throughut on Link(G)</t>
  </si>
  <si>
    <t>Throughput Loss(%)</t>
  </si>
  <si>
    <t>Cost (scu)</t>
  </si>
  <si>
    <t>Selective 0&lt;alpha&lt;1</t>
  </si>
  <si>
    <t>DO -F</t>
  </si>
  <si>
    <t>D-L</t>
  </si>
  <si>
    <t>F-H</t>
  </si>
  <si>
    <t>L-M</t>
  </si>
  <si>
    <t>F-L, L-N</t>
  </si>
  <si>
    <t>117, 70</t>
  </si>
  <si>
    <t>F-L, F-N</t>
  </si>
  <si>
    <t>180, 25</t>
  </si>
  <si>
    <t>L-S, M-S</t>
  </si>
  <si>
    <t>57, 15</t>
  </si>
  <si>
    <t>Approaches</t>
  </si>
  <si>
    <t>NoRerouting</t>
  </si>
  <si>
    <t>ES-EP</t>
  </si>
  <si>
    <t>US-EP</t>
  </si>
  <si>
    <t>US-UP</t>
  </si>
  <si>
    <t>US</t>
  </si>
  <si>
    <t>Multiple-path Reroute</t>
  </si>
  <si>
    <t>Multiple-path Reroute (Extra Capacity)</t>
  </si>
  <si>
    <t>F-K</t>
  </si>
  <si>
    <t>F-L</t>
  </si>
  <si>
    <t>L-N</t>
  </si>
  <si>
    <t>F-N</t>
  </si>
  <si>
    <t>L-S</t>
  </si>
  <si>
    <t>M-S</t>
  </si>
  <si>
    <t>CAPEX (SCU)</t>
  </si>
  <si>
    <t>C_Failure (Gbps)</t>
  </si>
  <si>
    <t>Shut-off lambda</t>
  </si>
  <si>
    <t>BDF</t>
  </si>
  <si>
    <t>SDF</t>
  </si>
  <si>
    <t>Single-hop Reroute</t>
  </si>
  <si>
    <t>C_failure-free</t>
  </si>
  <si>
    <t>CAPEX</t>
  </si>
  <si>
    <t>C_failure</t>
  </si>
  <si>
    <t>Multiple-path demand (Reroutes every multiple-path)</t>
  </si>
  <si>
    <t xml:space="preserve">Selective 0&lt;alpha&lt;1 </t>
  </si>
  <si>
    <t>Selective 0&lt;alpha&lt;1 (Reroutes 1-alpha of every multiple-path demand)</t>
  </si>
  <si>
    <t>Working capacity of IP link e [Gbit/s]:</t>
  </si>
  <si>
    <t>Nominal capacity of IP link e in failure free mode [Gbit/s]:</t>
  </si>
  <si>
    <t>Spare capacity of IP link e [Gbit/s]:</t>
  </si>
  <si>
    <t>Flow Thinning with Modular Capacities</t>
  </si>
  <si>
    <t>300G</t>
  </si>
  <si>
    <t>Bit Rate (gbps)</t>
  </si>
  <si>
    <t>Affine Flow Thinning</t>
  </si>
  <si>
    <t>Flow Thinning</t>
  </si>
  <si>
    <t>Affine Flow Thinning with modular capacities</t>
  </si>
  <si>
    <t>Flow Thinning with modular capacities</t>
  </si>
  <si>
    <t>Shut-off lambda - Working Capacity</t>
  </si>
  <si>
    <t>Shut-off lambda - Total Capacity</t>
  </si>
  <si>
    <t>Shutt off lambda - Spare Capacity</t>
  </si>
  <si>
    <t>Multiple-path Reroute - Working Capacity</t>
  </si>
  <si>
    <t>Multiple-path Reroute - Total Capacity</t>
  </si>
  <si>
    <t>Multiple-path Reroute - Spare Capacity</t>
  </si>
  <si>
    <t>Selective 0&lt;alpha&lt;1 - Spare Capacity</t>
  </si>
  <si>
    <t>Selective 0&lt;alpha&lt;1 - Working Capacity</t>
  </si>
  <si>
    <t>Selective 0&lt;alpha&lt;1 - Total Capacity</t>
  </si>
  <si>
    <t>BDF - Working Capacity</t>
  </si>
  <si>
    <t>BDF - Total Capacity</t>
  </si>
  <si>
    <t>BDF - Spare Capacity</t>
  </si>
  <si>
    <t>SDF - Spare Capacity</t>
  </si>
  <si>
    <t>SDF - Total Capacity</t>
  </si>
  <si>
    <t>SDF - Working Capacity</t>
  </si>
  <si>
    <t>Single-hop Reroute - Spare Capacity</t>
  </si>
  <si>
    <t>Single-hop Reroute - Working Capacity</t>
  </si>
  <si>
    <t>Single-hop Reroute - Total Capacity</t>
  </si>
  <si>
    <t>No-Rerouting - Spare Capacity</t>
  </si>
  <si>
    <t>No-Rerouting - Total Capacity</t>
  </si>
  <si>
    <t>No-Rerouting - Working Capacity</t>
  </si>
  <si>
    <t>ES-EP - Spare Capacity</t>
  </si>
  <si>
    <t>ES-EP - Total Capacity</t>
  </si>
  <si>
    <t>ES-EP - Working Capacity</t>
  </si>
  <si>
    <t>US-EP - Spare Capacity</t>
  </si>
  <si>
    <t>US-EP - Total Capacity</t>
  </si>
  <si>
    <t>US-EP - Working Capacity</t>
  </si>
  <si>
    <t>US-UP - Total Capacity</t>
  </si>
  <si>
    <t>US-UP - Working Capacity</t>
  </si>
  <si>
    <t>US - Total Capacity</t>
  </si>
  <si>
    <t>US - Working Capacity</t>
  </si>
  <si>
    <t>US - Spare Capacity</t>
  </si>
  <si>
    <t>US-UP  (2-shortest) - Spare Capacity</t>
  </si>
  <si>
    <t xml:space="preserve">Flow Thinning </t>
  </si>
  <si>
    <t>Total:</t>
  </si>
  <si>
    <t xml:space="preserve">Affine Flow Thinning </t>
  </si>
  <si>
    <t>Working Capacity (Gbps)</t>
  </si>
  <si>
    <t>Spare Capacity (Gbps)</t>
  </si>
  <si>
    <t>Total Capacity (Gbps)</t>
  </si>
  <si>
    <t>ES-ES</t>
  </si>
  <si>
    <t>Flow Thinning with Modular Capacities - Total Capacity</t>
  </si>
  <si>
    <t>Affine Flow Thinning with modular capacities - Total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</si>
</sst>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3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1"/>
      <color theme="1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ele-GroteskNor"/>
    </font>
    <font>
      <sz val="10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theme="9" tint="-0.249977111117893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C00000"/>
      <name val="Arial"/>
      <family val="2"/>
    </font>
    <font>
      <b/>
      <sz val="8"/>
      <name val="Arial"/>
      <family val="2"/>
    </font>
    <font>
      <sz val="11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</fills>
  <borders count="9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 style="medium">
        <color indexed="64"/>
      </left>
      <right/>
      <top style="thin">
        <color theme="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thin">
        <color theme="4"/>
      </right>
      <top/>
      <bottom/>
      <diagonal/>
    </border>
  </borders>
  <cellStyleXfs count="7">
    <xf numFmtId="0" fontId="0" fillId="0" borderId="0"/>
    <xf numFmtId="0" fontId="8" fillId="0" borderId="0"/>
    <xf numFmtId="43" fontId="21" fillId="0" borderId="0" applyFont="0" applyFill="0" applyBorder="0" applyAlignment="0" applyProtection="0"/>
    <xf numFmtId="0" fontId="22" fillId="12" borderId="0" applyNumberFormat="0" applyBorder="0" applyAlignment="0" applyProtection="0"/>
    <xf numFmtId="0" fontId="23" fillId="13" borderId="0" applyNumberFormat="0" applyBorder="0" applyAlignment="0" applyProtection="0"/>
    <xf numFmtId="0" fontId="24" fillId="14" borderId="0" applyNumberFormat="0" applyBorder="0" applyAlignment="0" applyProtection="0"/>
    <xf numFmtId="0" fontId="21" fillId="15" borderId="0" applyNumberFormat="0" applyBorder="0" applyAlignment="0" applyProtection="0"/>
  </cellStyleXfs>
  <cellXfs count="590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right" vertical="center" readingOrder="2"/>
    </xf>
    <xf numFmtId="0" fontId="1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5" fillId="0" borderId="7" xfId="0" applyFont="1" applyBorder="1"/>
    <xf numFmtId="0" fontId="5" fillId="0" borderId="0" xfId="0" applyFont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8" fillId="0" borderId="0" xfId="1"/>
    <xf numFmtId="0" fontId="9" fillId="0" borderId="0" xfId="1" applyFont="1"/>
    <xf numFmtId="0" fontId="11" fillId="0" borderId="0" xfId="1" applyFont="1"/>
    <xf numFmtId="0" fontId="11" fillId="0" borderId="0" xfId="1" applyFont="1" applyFill="1" applyBorder="1" applyAlignment="1">
      <alignment horizontal="center" wrapText="1"/>
    </xf>
    <xf numFmtId="0" fontId="15" fillId="0" borderId="0" xfId="1" applyFont="1" applyBorder="1" applyAlignment="1">
      <alignment horizontal="center" wrapText="1"/>
    </xf>
    <xf numFmtId="0" fontId="15" fillId="0" borderId="5" xfId="1" applyFont="1" applyBorder="1" applyAlignment="1">
      <alignment horizontal="center" wrapText="1"/>
    </xf>
    <xf numFmtId="0" fontId="11" fillId="0" borderId="0" xfId="1" applyFont="1" applyBorder="1" applyAlignment="1">
      <alignment horizontal="center" wrapText="1"/>
    </xf>
    <xf numFmtId="0" fontId="15" fillId="0" borderId="4" xfId="1" applyFont="1" applyBorder="1" applyAlignment="1">
      <alignment horizontal="center" wrapText="1"/>
    </xf>
    <xf numFmtId="0" fontId="11" fillId="0" borderId="5" xfId="1" applyFont="1" applyBorder="1" applyAlignment="1">
      <alignment horizontal="center" wrapText="1"/>
    </xf>
    <xf numFmtId="0" fontId="14" fillId="0" borderId="4" xfId="1" applyFont="1" applyBorder="1" applyAlignment="1">
      <alignment horizontal="center" wrapText="1"/>
    </xf>
    <xf numFmtId="0" fontId="11" fillId="0" borderId="4" xfId="1" applyFont="1" applyBorder="1" applyAlignment="1">
      <alignment horizontal="center" wrapText="1"/>
    </xf>
    <xf numFmtId="0" fontId="12" fillId="0" borderId="0" xfId="1" applyFont="1"/>
    <xf numFmtId="0" fontId="11" fillId="0" borderId="0" xfId="1" applyFont="1" applyBorder="1"/>
    <xf numFmtId="0" fontId="9" fillId="0" borderId="0" xfId="1" applyFont="1" applyBorder="1"/>
    <xf numFmtId="0" fontId="11" fillId="0" borderId="0" xfId="1" applyFont="1" applyBorder="1" applyAlignment="1">
      <alignment wrapText="1"/>
    </xf>
    <xf numFmtId="0" fontId="15" fillId="0" borderId="0" xfId="1" applyFont="1" applyFill="1" applyBorder="1" applyAlignment="1">
      <alignment horizontal="center" wrapText="1"/>
    </xf>
    <xf numFmtId="0" fontId="15" fillId="0" borderId="5" xfId="1" applyFont="1" applyFill="1" applyBorder="1" applyAlignment="1">
      <alignment horizontal="center" wrapText="1"/>
    </xf>
    <xf numFmtId="0" fontId="13" fillId="0" borderId="0" xfId="1" applyFont="1" applyFill="1" applyBorder="1" applyAlignment="1">
      <alignment horizontal="center" wrapText="1"/>
    </xf>
    <xf numFmtId="0" fontId="11" fillId="2" borderId="1" xfId="1" applyFont="1" applyFill="1" applyBorder="1" applyAlignment="1">
      <alignment horizontal="center" wrapText="1"/>
    </xf>
    <xf numFmtId="0" fontId="11" fillId="2" borderId="2" xfId="1" applyFont="1" applyFill="1" applyBorder="1" applyAlignment="1">
      <alignment horizontal="center" wrapText="1"/>
    </xf>
    <xf numFmtId="0" fontId="11" fillId="2" borderId="3" xfId="1" applyFont="1" applyFill="1" applyBorder="1" applyAlignment="1">
      <alignment horizontal="center" wrapText="1"/>
    </xf>
    <xf numFmtId="1" fontId="11" fillId="0" borderId="0" xfId="1" applyNumberFormat="1" applyFont="1" applyBorder="1"/>
    <xf numFmtId="0" fontId="11" fillId="0" borderId="4" xfId="1" applyFont="1" applyFill="1" applyBorder="1" applyAlignment="1">
      <alignment horizontal="center" wrapText="1"/>
    </xf>
    <xf numFmtId="0" fontId="11" fillId="0" borderId="5" xfId="1" applyFont="1" applyFill="1" applyBorder="1" applyAlignment="1">
      <alignment horizontal="center" wrapText="1"/>
    </xf>
    <xf numFmtId="0" fontId="11" fillId="2" borderId="4" xfId="1" applyFont="1" applyFill="1" applyBorder="1" applyAlignment="1">
      <alignment horizontal="center" wrapText="1"/>
    </xf>
    <xf numFmtId="0" fontId="11" fillId="2" borderId="0" xfId="1" applyFont="1" applyFill="1" applyBorder="1" applyAlignment="1">
      <alignment horizontal="center" wrapText="1"/>
    </xf>
    <xf numFmtId="0" fontId="11" fillId="2" borderId="5" xfId="1" applyFont="1" applyFill="1" applyBorder="1" applyAlignment="1">
      <alignment horizontal="center" wrapText="1"/>
    </xf>
    <xf numFmtId="0" fontId="11" fillId="0" borderId="6" xfId="1" applyFont="1" applyBorder="1" applyAlignment="1">
      <alignment horizontal="center" wrapText="1"/>
    </xf>
    <xf numFmtId="0" fontId="11" fillId="0" borderId="7" xfId="1" applyFont="1" applyBorder="1" applyAlignment="1">
      <alignment horizontal="center" wrapText="1"/>
    </xf>
    <xf numFmtId="0" fontId="11" fillId="0" borderId="8" xfId="1" applyFont="1" applyBorder="1" applyAlignment="1">
      <alignment horizontal="center" wrapText="1"/>
    </xf>
    <xf numFmtId="0" fontId="16" fillId="0" borderId="0" xfId="1" applyFont="1" applyAlignment="1"/>
    <xf numFmtId="0" fontId="9" fillId="0" borderId="0" xfId="1" applyFont="1" applyFill="1"/>
    <xf numFmtId="0" fontId="10" fillId="0" borderId="0" xfId="1" applyFont="1" applyFill="1" applyBorder="1" applyAlignment="1">
      <alignment horizontal="right"/>
    </xf>
    <xf numFmtId="0" fontId="17" fillId="0" borderId="0" xfId="1" applyFont="1" applyFill="1" applyBorder="1" applyAlignment="1">
      <alignment horizontal="right"/>
    </xf>
    <xf numFmtId="0" fontId="10" fillId="0" borderId="0" xfId="1" applyFont="1" applyFill="1" applyAlignment="1">
      <alignment horizontal="right"/>
    </xf>
    <xf numFmtId="0" fontId="10" fillId="0" borderId="0" xfId="1" applyFont="1" applyAlignment="1">
      <alignment horizontal="right"/>
    </xf>
    <xf numFmtId="0" fontId="5" fillId="0" borderId="0" xfId="0" applyFont="1" applyAlignment="1"/>
    <xf numFmtId="0" fontId="5" fillId="0" borderId="4" xfId="0" applyFont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10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/>
    </xf>
    <xf numFmtId="0" fontId="5" fillId="4" borderId="17" xfId="0" applyFont="1" applyFill="1" applyBorder="1" applyAlignment="1">
      <alignment horizontal="center"/>
    </xf>
    <xf numFmtId="0" fontId="5" fillId="5" borderId="17" xfId="0" applyFont="1" applyFill="1" applyBorder="1" applyAlignment="1">
      <alignment horizontal="center"/>
    </xf>
    <xf numFmtId="0" fontId="5" fillId="5" borderId="16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/>
    </xf>
    <xf numFmtId="0" fontId="5" fillId="0" borderId="20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/>
    </xf>
    <xf numFmtId="0" fontId="15" fillId="4" borderId="23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5" fillId="4" borderId="25" xfId="0" applyFont="1" applyFill="1" applyBorder="1" applyAlignment="1">
      <alignment horizontal="center"/>
    </xf>
    <xf numFmtId="0" fontId="5" fillId="5" borderId="2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/>
    </xf>
    <xf numFmtId="0" fontId="5" fillId="5" borderId="24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7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5" borderId="29" xfId="0" applyFont="1" applyFill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1" xfId="0" applyFont="1" applyFill="1" applyBorder="1" applyAlignment="1">
      <alignment horizontal="center"/>
    </xf>
    <xf numFmtId="0" fontId="5" fillId="0" borderId="30" xfId="0" applyFont="1" applyFill="1" applyBorder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5" fillId="4" borderId="23" xfId="0" applyFont="1" applyFill="1" applyBorder="1" applyAlignment="1">
      <alignment horizontal="center"/>
    </xf>
    <xf numFmtId="0" fontId="5" fillId="0" borderId="33" xfId="0" applyFont="1" applyFill="1" applyBorder="1" applyAlignment="1">
      <alignment horizontal="center"/>
    </xf>
    <xf numFmtId="0" fontId="5" fillId="0" borderId="34" xfId="0" applyFont="1" applyFill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6" borderId="19" xfId="0" applyFont="1" applyFill="1" applyBorder="1" applyAlignment="1">
      <alignment horizontal="center"/>
    </xf>
    <xf numFmtId="0" fontId="5" fillId="4" borderId="29" xfId="0" applyFont="1" applyFill="1" applyBorder="1" applyAlignment="1">
      <alignment horizontal="center"/>
    </xf>
    <xf numFmtId="0" fontId="5" fillId="4" borderId="36" xfId="0" applyFont="1" applyFill="1" applyBorder="1" applyAlignment="1">
      <alignment horizontal="center"/>
    </xf>
    <xf numFmtId="0" fontId="5" fillId="5" borderId="29" xfId="0" applyFont="1" applyFill="1" applyBorder="1" applyAlignment="1">
      <alignment horizontal="center"/>
    </xf>
    <xf numFmtId="0" fontId="5" fillId="5" borderId="36" xfId="0" applyFont="1" applyFill="1" applyBorder="1" applyAlignment="1">
      <alignment horizontal="center"/>
    </xf>
    <xf numFmtId="0" fontId="5" fillId="0" borderId="38" xfId="0" applyFont="1" applyFill="1" applyBorder="1" applyAlignment="1">
      <alignment horizontal="center"/>
    </xf>
    <xf numFmtId="0" fontId="5" fillId="0" borderId="39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6" borderId="5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/>
    </xf>
    <xf numFmtId="0" fontId="5" fillId="4" borderId="18" xfId="0" applyFont="1" applyFill="1" applyBorder="1" applyAlignment="1">
      <alignment horizontal="center"/>
    </xf>
    <xf numFmtId="0" fontId="7" fillId="7" borderId="19" xfId="0" applyFont="1" applyFill="1" applyBorder="1" applyAlignment="1">
      <alignment horizontal="center"/>
    </xf>
    <xf numFmtId="0" fontId="7" fillId="7" borderId="20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 vertical="center"/>
    </xf>
    <xf numFmtId="0" fontId="5" fillId="3" borderId="37" xfId="0" applyFont="1" applyFill="1" applyBorder="1" applyAlignment="1">
      <alignment horizontal="center"/>
    </xf>
    <xf numFmtId="0" fontId="7" fillId="4" borderId="23" xfId="0" applyFont="1" applyFill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7" borderId="38" xfId="0" applyFont="1" applyFill="1" applyBorder="1" applyAlignment="1">
      <alignment horizontal="center"/>
    </xf>
    <xf numFmtId="0" fontId="7" fillId="7" borderId="39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 vertical="center"/>
    </xf>
    <xf numFmtId="0" fontId="5" fillId="3" borderId="41" xfId="0" applyFont="1" applyFill="1" applyBorder="1" applyAlignment="1">
      <alignment horizontal="center"/>
    </xf>
    <xf numFmtId="0" fontId="5" fillId="3" borderId="28" xfId="0" applyFont="1" applyFill="1" applyBorder="1" applyAlignment="1">
      <alignment horizontal="center"/>
    </xf>
    <xf numFmtId="0" fontId="5" fillId="8" borderId="0" xfId="0" applyFont="1" applyFill="1" applyBorder="1" applyAlignment="1">
      <alignment horizontal="center"/>
    </xf>
    <xf numFmtId="0" fontId="5" fillId="8" borderId="28" xfId="0" applyFont="1" applyFill="1" applyBorder="1" applyAlignment="1">
      <alignment horizontal="center"/>
    </xf>
    <xf numFmtId="0" fontId="5" fillId="6" borderId="31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5" fillId="0" borderId="26" xfId="0" applyFont="1" applyFill="1" applyBorder="1" applyAlignment="1">
      <alignment horizontal="center" vertical="center"/>
    </xf>
    <xf numFmtId="0" fontId="5" fillId="7" borderId="27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0" fontId="15" fillId="4" borderId="0" xfId="0" applyFont="1" applyFill="1" applyBorder="1" applyAlignment="1">
      <alignment horizontal="center"/>
    </xf>
    <xf numFmtId="0" fontId="5" fillId="7" borderId="31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30" xfId="0" applyFont="1" applyFill="1" applyBorder="1" applyAlignment="1">
      <alignment horizontal="center" vertical="center"/>
    </xf>
    <xf numFmtId="0" fontId="5" fillId="3" borderId="31" xfId="0" applyFont="1" applyFill="1" applyBorder="1" applyAlignment="1">
      <alignment horizontal="center"/>
    </xf>
    <xf numFmtId="0" fontId="7" fillId="7" borderId="27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5" fillId="3" borderId="43" xfId="0" applyFont="1" applyFill="1" applyBorder="1" applyAlignment="1">
      <alignment horizontal="center"/>
    </xf>
    <xf numFmtId="0" fontId="5" fillId="3" borderId="42" xfId="0" applyFont="1" applyFill="1" applyBorder="1" applyAlignment="1">
      <alignment horizontal="center"/>
    </xf>
    <xf numFmtId="0" fontId="5" fillId="7" borderId="35" xfId="0" applyFont="1" applyFill="1" applyBorder="1" applyAlignment="1">
      <alignment horizontal="center"/>
    </xf>
    <xf numFmtId="0" fontId="5" fillId="7" borderId="15" xfId="0" applyFont="1" applyFill="1" applyBorder="1" applyAlignment="1">
      <alignment horizontal="center"/>
    </xf>
    <xf numFmtId="0" fontId="5" fillId="3" borderId="44" xfId="0" applyFont="1" applyFill="1" applyBorder="1" applyAlignment="1">
      <alignment horizontal="center"/>
    </xf>
    <xf numFmtId="0" fontId="5" fillId="3" borderId="45" xfId="0" applyFont="1" applyFill="1" applyBorder="1" applyAlignment="1">
      <alignment horizontal="center"/>
    </xf>
    <xf numFmtId="0" fontId="5" fillId="4" borderId="46" xfId="0" applyFont="1" applyFill="1" applyBorder="1" applyAlignment="1">
      <alignment horizontal="center"/>
    </xf>
    <xf numFmtId="0" fontId="5" fillId="5" borderId="46" xfId="0" applyFont="1" applyFill="1" applyBorder="1" applyAlignment="1">
      <alignment horizontal="center"/>
    </xf>
    <xf numFmtId="0" fontId="7" fillId="7" borderId="37" xfId="0" applyFont="1" applyFill="1" applyBorder="1" applyAlignment="1">
      <alignment horizontal="center"/>
    </xf>
    <xf numFmtId="0" fontId="7" fillId="7" borderId="23" xfId="0" applyFont="1" applyFill="1" applyBorder="1" applyAlignment="1">
      <alignment horizontal="center"/>
    </xf>
    <xf numFmtId="0" fontId="5" fillId="0" borderId="47" xfId="0" applyFont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40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5" fillId="9" borderId="0" xfId="0" applyFont="1" applyFill="1" applyBorder="1" applyAlignment="1">
      <alignment horizontal="center"/>
    </xf>
    <xf numFmtId="0" fontId="5" fillId="9" borderId="28" xfId="0" applyFont="1" applyFill="1" applyBorder="1" applyAlignment="1">
      <alignment horizontal="center"/>
    </xf>
    <xf numFmtId="0" fontId="5" fillId="3" borderId="30" xfId="0" applyFont="1" applyFill="1" applyBorder="1" applyAlignment="1">
      <alignment horizontal="center"/>
    </xf>
    <xf numFmtId="0" fontId="5" fillId="3" borderId="26" xfId="0" applyFont="1" applyFill="1" applyBorder="1" applyAlignment="1">
      <alignment horizontal="center"/>
    </xf>
    <xf numFmtId="0" fontId="5" fillId="0" borderId="48" xfId="0" applyFont="1" applyFill="1" applyBorder="1" applyAlignment="1">
      <alignment horizontal="center" vertical="center"/>
    </xf>
    <xf numFmtId="0" fontId="5" fillId="7" borderId="26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4" borderId="50" xfId="0" applyFont="1" applyFill="1" applyBorder="1" applyAlignment="1">
      <alignment horizontal="center"/>
    </xf>
    <xf numFmtId="0" fontId="5" fillId="4" borderId="51" xfId="0" applyFont="1" applyFill="1" applyBorder="1" applyAlignment="1">
      <alignment horizontal="center"/>
    </xf>
    <xf numFmtId="0" fontId="5" fillId="5" borderId="51" xfId="0" applyFont="1" applyFill="1" applyBorder="1" applyAlignment="1">
      <alignment horizontal="center"/>
    </xf>
    <xf numFmtId="0" fontId="5" fillId="5" borderId="50" xfId="0" applyFont="1" applyFill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5" fillId="4" borderId="48" xfId="0" applyFont="1" applyFill="1" applyBorder="1" applyAlignment="1">
      <alignment horizontal="center"/>
    </xf>
    <xf numFmtId="0" fontId="5" fillId="4" borderId="55" xfId="0" applyFont="1" applyFill="1" applyBorder="1" applyAlignment="1">
      <alignment horizontal="center"/>
    </xf>
    <xf numFmtId="0" fontId="5" fillId="4" borderId="56" xfId="0" applyFont="1" applyFill="1" applyBorder="1" applyAlignment="1">
      <alignment horizontal="center"/>
    </xf>
    <xf numFmtId="0" fontId="5" fillId="5" borderId="55" xfId="0" applyFont="1" applyFill="1" applyBorder="1" applyAlignment="1">
      <alignment horizontal="center"/>
    </xf>
    <xf numFmtId="0" fontId="5" fillId="5" borderId="56" xfId="0" applyFont="1" applyFill="1" applyBorder="1" applyAlignment="1">
      <alignment horizontal="center"/>
    </xf>
    <xf numFmtId="0" fontId="5" fillId="5" borderId="55" xfId="0" applyFont="1" applyFill="1" applyBorder="1" applyAlignment="1">
      <alignment horizontal="center" vertical="center"/>
    </xf>
    <xf numFmtId="0" fontId="5" fillId="0" borderId="55" xfId="0" applyFont="1" applyBorder="1" applyAlignment="1">
      <alignment horizontal="center" vertical="center"/>
    </xf>
    <xf numFmtId="0" fontId="4" fillId="7" borderId="57" xfId="0" applyFont="1" applyFill="1" applyBorder="1" applyAlignment="1">
      <alignment horizontal="center"/>
    </xf>
    <xf numFmtId="0" fontId="4" fillId="7" borderId="58" xfId="0" applyFont="1" applyFill="1" applyBorder="1" applyAlignment="1">
      <alignment horizontal="center"/>
    </xf>
    <xf numFmtId="0" fontId="4" fillId="7" borderId="59" xfId="0" applyFont="1" applyFill="1" applyBorder="1" applyAlignment="1">
      <alignment horizontal="center"/>
    </xf>
    <xf numFmtId="0" fontId="4" fillId="3" borderId="60" xfId="0" applyFont="1" applyFill="1" applyBorder="1" applyAlignment="1">
      <alignment horizontal="center"/>
    </xf>
    <xf numFmtId="0" fontId="4" fillId="3" borderId="61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4" borderId="62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5" borderId="62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4" fillId="0" borderId="62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59" xfId="0" applyFont="1" applyBorder="1" applyAlignment="1">
      <alignment horizontal="center" vertical="center"/>
    </xf>
    <xf numFmtId="0" fontId="5" fillId="6" borderId="10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0" fontId="15" fillId="4" borderId="24" xfId="0" applyFont="1" applyFill="1" applyBorder="1" applyAlignment="1">
      <alignment horizontal="center"/>
    </xf>
    <xf numFmtId="0" fontId="5" fillId="6" borderId="26" xfId="0" applyFont="1" applyFill="1" applyBorder="1" applyAlignment="1">
      <alignment horizontal="center"/>
    </xf>
    <xf numFmtId="0" fontId="5" fillId="4" borderId="20" xfId="0" applyFont="1" applyFill="1" applyBorder="1" applyAlignment="1">
      <alignment horizontal="center"/>
    </xf>
    <xf numFmtId="0" fontId="5" fillId="0" borderId="18" xfId="0" applyFont="1" applyFill="1" applyBorder="1" applyAlignment="1">
      <alignment horizontal="center"/>
    </xf>
    <xf numFmtId="0" fontId="15" fillId="4" borderId="25" xfId="0" applyFont="1" applyFill="1" applyBorder="1" applyAlignment="1">
      <alignment horizontal="center"/>
    </xf>
    <xf numFmtId="0" fontId="5" fillId="0" borderId="24" xfId="0" applyFont="1" applyFill="1" applyBorder="1" applyAlignment="1">
      <alignment horizontal="center"/>
    </xf>
    <xf numFmtId="0" fontId="5" fillId="6" borderId="33" xfId="0" applyFont="1" applyFill="1" applyBorder="1" applyAlignment="1">
      <alignment horizontal="center"/>
    </xf>
    <xf numFmtId="0" fontId="5" fillId="6" borderId="63" xfId="0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6" borderId="29" xfId="0" applyFont="1" applyFill="1" applyBorder="1" applyAlignment="1">
      <alignment horizontal="center"/>
    </xf>
    <xf numFmtId="0" fontId="5" fillId="6" borderId="24" xfId="0" applyFont="1" applyFill="1" applyBorder="1" applyAlignment="1">
      <alignment horizontal="center"/>
    </xf>
    <xf numFmtId="0" fontId="5" fillId="6" borderId="38" xfId="0" applyFont="1" applyFill="1" applyBorder="1" applyAlignment="1">
      <alignment horizontal="center"/>
    </xf>
    <xf numFmtId="0" fontId="5" fillId="6" borderId="55" xfId="0" applyFont="1" applyFill="1" applyBorder="1" applyAlignment="1">
      <alignment horizontal="center"/>
    </xf>
    <xf numFmtId="0" fontId="5" fillId="10" borderId="10" xfId="0" applyFont="1" applyFill="1" applyBorder="1" applyAlignment="1">
      <alignment horizontal="center"/>
    </xf>
    <xf numFmtId="0" fontId="5" fillId="10" borderId="11" xfId="0" applyFont="1" applyFill="1" applyBorder="1" applyAlignment="1">
      <alignment horizontal="center"/>
    </xf>
    <xf numFmtId="0" fontId="5" fillId="10" borderId="19" xfId="0" applyFont="1" applyFill="1" applyBorder="1" applyAlignment="1">
      <alignment horizontal="center"/>
    </xf>
    <xf numFmtId="0" fontId="5" fillId="10" borderId="20" xfId="0" applyFont="1" applyFill="1" applyBorder="1" applyAlignment="1">
      <alignment horizontal="center"/>
    </xf>
    <xf numFmtId="0" fontId="7" fillId="4" borderId="24" xfId="0" applyFont="1" applyFill="1" applyBorder="1" applyAlignment="1">
      <alignment horizontal="center"/>
    </xf>
    <xf numFmtId="0" fontId="5" fillId="3" borderId="38" xfId="0" applyFont="1" applyFill="1" applyBorder="1" applyAlignment="1">
      <alignment horizontal="center"/>
    </xf>
    <xf numFmtId="0" fontId="5" fillId="3" borderId="55" xfId="0" applyFont="1" applyFill="1" applyBorder="1" applyAlignment="1">
      <alignment horizontal="center"/>
    </xf>
    <xf numFmtId="0" fontId="7" fillId="4" borderId="25" xfId="0" applyFont="1" applyFill="1" applyBorder="1" applyAlignment="1">
      <alignment horizontal="center"/>
    </xf>
    <xf numFmtId="0" fontId="7" fillId="0" borderId="38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5" fillId="8" borderId="15" xfId="0" applyFont="1" applyFill="1" applyBorder="1" applyAlignment="1">
      <alignment horizontal="center"/>
    </xf>
    <xf numFmtId="0" fontId="5" fillId="8" borderId="14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5" fillId="0" borderId="64" xfId="0" applyFont="1" applyBorder="1" applyAlignment="1">
      <alignment horizontal="center"/>
    </xf>
    <xf numFmtId="0" fontId="5" fillId="11" borderId="27" xfId="0" applyFont="1" applyFill="1" applyBorder="1" applyAlignment="1">
      <alignment horizontal="center"/>
    </xf>
    <xf numFmtId="0" fontId="5" fillId="11" borderId="30" xfId="0" applyFont="1" applyFill="1" applyBorder="1" applyAlignment="1">
      <alignment horizontal="center"/>
    </xf>
    <xf numFmtId="0" fontId="5" fillId="11" borderId="31" xfId="0" applyFont="1" applyFill="1" applyBorder="1" applyAlignment="1">
      <alignment horizontal="center"/>
    </xf>
    <xf numFmtId="0" fontId="5" fillId="11" borderId="28" xfId="0" applyFont="1" applyFill="1" applyBorder="1" applyAlignment="1">
      <alignment horizontal="center"/>
    </xf>
    <xf numFmtId="0" fontId="7" fillId="4" borderId="29" xfId="0" applyFont="1" applyFill="1" applyBorder="1" applyAlignment="1">
      <alignment horizontal="center"/>
    </xf>
    <xf numFmtId="0" fontId="5" fillId="11" borderId="14" xfId="0" applyFont="1" applyFill="1" applyBorder="1" applyAlignment="1">
      <alignment horizontal="center"/>
    </xf>
    <xf numFmtId="0" fontId="15" fillId="4" borderId="65" xfId="0" applyFont="1" applyFill="1" applyBorder="1" applyAlignment="1">
      <alignment horizontal="center"/>
    </xf>
    <xf numFmtId="0" fontId="5" fillId="11" borderId="22" xfId="0" applyFont="1" applyFill="1" applyBorder="1" applyAlignment="1">
      <alignment horizontal="center"/>
    </xf>
    <xf numFmtId="0" fontId="5" fillId="0" borderId="23" xfId="0" applyFont="1" applyFill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49" xfId="0" applyFont="1" applyFill="1" applyBorder="1" applyAlignment="1">
      <alignment horizontal="center"/>
    </xf>
    <xf numFmtId="0" fontId="5" fillId="4" borderId="66" xfId="0" applyFont="1" applyFill="1" applyBorder="1" applyAlignment="1">
      <alignment horizontal="center"/>
    </xf>
    <xf numFmtId="0" fontId="15" fillId="4" borderId="66" xfId="0" applyFont="1" applyFill="1" applyBorder="1" applyAlignment="1">
      <alignment horizontal="center"/>
    </xf>
    <xf numFmtId="0" fontId="5" fillId="10" borderId="27" xfId="0" applyFont="1" applyFill="1" applyBorder="1" applyAlignment="1">
      <alignment horizontal="center"/>
    </xf>
    <xf numFmtId="0" fontId="5" fillId="10" borderId="9" xfId="0" applyFont="1" applyFill="1" applyBorder="1" applyAlignment="1">
      <alignment horizontal="center"/>
    </xf>
    <xf numFmtId="0" fontId="5" fillId="10" borderId="29" xfId="0" applyFont="1" applyFill="1" applyBorder="1" applyAlignment="1">
      <alignment horizontal="center"/>
    </xf>
    <xf numFmtId="0" fontId="7" fillId="4" borderId="66" xfId="0" applyFont="1" applyFill="1" applyBorder="1" applyAlignment="1">
      <alignment horizontal="center"/>
    </xf>
    <xf numFmtId="0" fontId="5" fillId="10" borderId="2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5" fillId="4" borderId="39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5" fillId="0" borderId="0" xfId="0" applyFont="1" applyBorder="1" applyAlignment="1"/>
    <xf numFmtId="0" fontId="15" fillId="4" borderId="67" xfId="0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59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15" fillId="4" borderId="55" xfId="0" applyFont="1" applyFill="1" applyBorder="1" applyAlignment="1">
      <alignment horizontal="center"/>
    </xf>
    <xf numFmtId="0" fontId="5" fillId="10" borderId="5" xfId="0" applyFont="1" applyFill="1" applyBorder="1" applyAlignment="1">
      <alignment horizontal="center"/>
    </xf>
    <xf numFmtId="0" fontId="5" fillId="10" borderId="34" xfId="0" applyFont="1" applyFill="1" applyBorder="1" applyAlignment="1">
      <alignment horizontal="center"/>
    </xf>
    <xf numFmtId="0" fontId="7" fillId="4" borderId="56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5" fillId="9" borderId="15" xfId="0" applyFont="1" applyFill="1" applyBorder="1" applyAlignment="1">
      <alignment horizontal="center"/>
    </xf>
    <xf numFmtId="0" fontId="5" fillId="9" borderId="14" xfId="0" applyFont="1" applyFill="1" applyBorder="1" applyAlignment="1">
      <alignment horizontal="center"/>
    </xf>
    <xf numFmtId="0" fontId="0" fillId="0" borderId="0" xfId="0" applyFill="1" applyBorder="1"/>
    <xf numFmtId="0" fontId="5" fillId="0" borderId="38" xfId="0" applyFont="1" applyFill="1" applyBorder="1" applyAlignment="1">
      <alignment horizontal="center"/>
    </xf>
    <xf numFmtId="0" fontId="5" fillId="0" borderId="26" xfId="0" applyFont="1" applyBorder="1" applyAlignment="1">
      <alignment horizontal="center" vertical="center"/>
    </xf>
    <xf numFmtId="0" fontId="5" fillId="11" borderId="37" xfId="0" applyFont="1" applyFill="1" applyBorder="1" applyAlignment="1">
      <alignment horizontal="center"/>
    </xf>
    <xf numFmtId="0" fontId="5" fillId="11" borderId="3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2" xfId="0" applyFont="1" applyFill="1" applyBorder="1" applyAlignment="1">
      <alignment horizontal="center"/>
    </xf>
    <xf numFmtId="0" fontId="5" fillId="0" borderId="28" xfId="0" applyFont="1" applyFill="1" applyBorder="1" applyAlignment="1">
      <alignment horizontal="center"/>
    </xf>
    <xf numFmtId="0" fontId="5" fillId="0" borderId="0" xfId="0" applyFont="1"/>
    <xf numFmtId="0" fontId="7" fillId="0" borderId="10" xfId="0" applyFont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0" borderId="26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7" fillId="4" borderId="20" xfId="0" applyFont="1" applyFill="1" applyBorder="1" applyAlignment="1">
      <alignment horizontal="center"/>
    </xf>
    <xf numFmtId="0" fontId="5" fillId="4" borderId="58" xfId="0" applyFont="1" applyFill="1" applyBorder="1" applyAlignment="1"/>
    <xf numFmtId="0" fontId="5" fillId="4" borderId="57" xfId="0" applyFont="1" applyFill="1" applyBorder="1" applyAlignment="1"/>
    <xf numFmtId="0" fontId="5" fillId="5" borderId="60" xfId="0" applyFont="1" applyFill="1" applyBorder="1" applyAlignment="1"/>
    <xf numFmtId="0" fontId="5" fillId="5" borderId="58" xfId="0" applyFont="1" applyFill="1" applyBorder="1" applyAlignment="1"/>
    <xf numFmtId="0" fontId="0" fillId="0" borderId="0" xfId="0" applyBorder="1"/>
    <xf numFmtId="0" fontId="5" fillId="0" borderId="0" xfId="0" applyFont="1" applyBorder="1"/>
    <xf numFmtId="0" fontId="5" fillId="0" borderId="26" xfId="0" applyFont="1" applyBorder="1" applyAlignment="1">
      <alignment horizontal="center" vertical="center"/>
    </xf>
    <xf numFmtId="0" fontId="5" fillId="5" borderId="7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4" borderId="41" xfId="0" applyFont="1" applyFill="1" applyBorder="1" applyAlignment="1">
      <alignment horizontal="center"/>
    </xf>
    <xf numFmtId="0" fontId="5" fillId="4" borderId="21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5" fillId="4" borderId="68" xfId="0" applyFont="1" applyFill="1" applyBorder="1" applyAlignment="1">
      <alignment horizontal="center"/>
    </xf>
    <xf numFmtId="0" fontId="5" fillId="5" borderId="18" xfId="0" applyFont="1" applyFill="1" applyBorder="1" applyAlignment="1">
      <alignment horizontal="center"/>
    </xf>
    <xf numFmtId="0" fontId="5" fillId="4" borderId="69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5" fillId="4" borderId="32" xfId="0" applyFont="1" applyFill="1" applyBorder="1" applyAlignment="1">
      <alignment horizontal="center"/>
    </xf>
    <xf numFmtId="0" fontId="5" fillId="4" borderId="15" xfId="0" applyFont="1" applyFill="1" applyBorder="1" applyAlignment="1">
      <alignment horizontal="center"/>
    </xf>
    <xf numFmtId="0" fontId="5" fillId="4" borderId="70" xfId="0" applyFont="1" applyFill="1" applyBorder="1" applyAlignment="1">
      <alignment horizontal="center"/>
    </xf>
    <xf numFmtId="0" fontId="5" fillId="4" borderId="38" xfId="0" applyFont="1" applyFill="1" applyBorder="1" applyAlignment="1">
      <alignment horizontal="center"/>
    </xf>
    <xf numFmtId="0" fontId="5" fillId="4" borderId="19" xfId="0" applyFont="1" applyFill="1" applyBorder="1" applyAlignment="1">
      <alignment horizontal="center"/>
    </xf>
    <xf numFmtId="0" fontId="5" fillId="4" borderId="27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7" fillId="4" borderId="18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4" borderId="55" xfId="0" applyFont="1" applyFill="1" applyBorder="1" applyAlignment="1">
      <alignment horizontal="center"/>
    </xf>
    <xf numFmtId="0" fontId="5" fillId="8" borderId="22" xfId="0" applyFont="1" applyFill="1" applyBorder="1" applyAlignment="1">
      <alignment horizontal="center"/>
    </xf>
    <xf numFmtId="0" fontId="5" fillId="8" borderId="24" xfId="0" applyFont="1" applyFill="1" applyBorder="1" applyAlignment="1">
      <alignment horizontal="center"/>
    </xf>
    <xf numFmtId="0" fontId="5" fillId="8" borderId="9" xfId="0" applyFont="1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/>
    <xf numFmtId="0" fontId="18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5" fillId="0" borderId="71" xfId="0" applyFont="1" applyFill="1" applyBorder="1" applyAlignment="1">
      <alignment horizontal="center"/>
    </xf>
    <xf numFmtId="0" fontId="5" fillId="0" borderId="0" xfId="0" quotePrefix="1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5" fillId="0" borderId="0" xfId="0" quotePrefix="1" applyFont="1" applyFill="1" applyBorder="1" applyAlignment="1">
      <alignment horizontal="center"/>
    </xf>
    <xf numFmtId="0" fontId="8" fillId="0" borderId="0" xfId="1" applyFont="1" applyFill="1" applyBorder="1" applyAlignment="1">
      <alignment horizontal="center"/>
    </xf>
    <xf numFmtId="0" fontId="4" fillId="0" borderId="60" xfId="0" applyFont="1" applyBorder="1" applyAlignment="1">
      <alignment horizontal="center"/>
    </xf>
    <xf numFmtId="0" fontId="19" fillId="0" borderId="59" xfId="0" applyFont="1" applyFill="1" applyBorder="1" applyAlignment="1">
      <alignment horizontal="center"/>
    </xf>
    <xf numFmtId="0" fontId="4" fillId="0" borderId="58" xfId="0" applyFont="1" applyFill="1" applyBorder="1" applyAlignment="1"/>
    <xf numFmtId="0" fontId="4" fillId="0" borderId="58" xfId="0" applyFont="1" applyFill="1" applyBorder="1" applyAlignment="1">
      <alignment horizontal="center"/>
    </xf>
    <xf numFmtId="0" fontId="4" fillId="0" borderId="57" xfId="0" applyFont="1" applyFill="1" applyBorder="1" applyAlignment="1">
      <alignment horizontal="center"/>
    </xf>
    <xf numFmtId="0" fontId="4" fillId="0" borderId="59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62" xfId="0" applyFont="1" applyFill="1" applyBorder="1" applyAlignment="1">
      <alignment horizontal="center"/>
    </xf>
    <xf numFmtId="0" fontId="4" fillId="0" borderId="59" xfId="0" applyFont="1" applyBorder="1" applyAlignment="1">
      <alignment horizontal="center"/>
    </xf>
    <xf numFmtId="0" fontId="5" fillId="0" borderId="4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58" xfId="0" applyFont="1" applyFill="1" applyBorder="1" applyAlignment="1">
      <alignment horizontal="center" vertical="center"/>
    </xf>
    <xf numFmtId="0" fontId="4" fillId="0" borderId="59" xfId="0" applyFont="1" applyFill="1" applyBorder="1" applyAlignment="1">
      <alignment horizontal="center" vertical="center"/>
    </xf>
    <xf numFmtId="0" fontId="5" fillId="0" borderId="58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26" xfId="0" applyFont="1" applyBorder="1" applyAlignment="1">
      <alignment horizontal="center" vertical="center"/>
    </xf>
    <xf numFmtId="0" fontId="5" fillId="5" borderId="6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5" fillId="5" borderId="20" xfId="0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5" fillId="5" borderId="39" xfId="0" applyFont="1" applyFill="1" applyBorder="1" applyAlignment="1">
      <alignment horizontal="center"/>
    </xf>
    <xf numFmtId="0" fontId="4" fillId="5" borderId="72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5" fillId="4" borderId="9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4" fillId="0" borderId="6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38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5" fillId="0" borderId="2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/>
    </xf>
    <xf numFmtId="0" fontId="1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0" fillId="0" borderId="5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1" fillId="15" borderId="74" xfId="6" applyBorder="1" applyAlignment="1">
      <alignment horizontal="center"/>
    </xf>
    <xf numFmtId="0" fontId="18" fillId="0" borderId="22" xfId="0" applyFont="1" applyBorder="1" applyAlignment="1">
      <alignment horizontal="center"/>
    </xf>
    <xf numFmtId="0" fontId="0" fillId="0" borderId="19" xfId="0" applyBorder="1"/>
    <xf numFmtId="2" fontId="0" fillId="0" borderId="0" xfId="0" applyNumberFormat="1" applyAlignment="1">
      <alignment horizontal="center"/>
    </xf>
    <xf numFmtId="2" fontId="0" fillId="0" borderId="0" xfId="2" applyNumberFormat="1" applyFont="1" applyAlignment="1">
      <alignment horizontal="center"/>
    </xf>
    <xf numFmtId="0" fontId="0" fillId="0" borderId="10" xfId="0" applyBorder="1"/>
    <xf numFmtId="0" fontId="0" fillId="15" borderId="74" xfId="6" applyFont="1" applyBorder="1" applyAlignment="1">
      <alignment horizontal="center"/>
    </xf>
    <xf numFmtId="0" fontId="4" fillId="0" borderId="6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1" fontId="5" fillId="0" borderId="9" xfId="0" applyNumberFormat="1" applyFont="1" applyBorder="1" applyAlignment="1">
      <alignment horizontal="center"/>
    </xf>
    <xf numFmtId="1" fontId="5" fillId="0" borderId="9" xfId="0" applyNumberFormat="1" applyFont="1" applyFill="1" applyBorder="1" applyAlignment="1">
      <alignment horizontal="center"/>
    </xf>
    <xf numFmtId="1" fontId="5" fillId="0" borderId="71" xfId="0" applyNumberFormat="1" applyFont="1" applyFill="1" applyBorder="1" applyAlignment="1">
      <alignment horizontal="center"/>
    </xf>
    <xf numFmtId="1" fontId="5" fillId="0" borderId="58" xfId="0" applyNumberFormat="1" applyFont="1" applyFill="1" applyBorder="1" applyAlignment="1">
      <alignment horizontal="center"/>
    </xf>
    <xf numFmtId="1" fontId="20" fillId="0" borderId="59" xfId="0" applyNumberFormat="1" applyFont="1" applyFill="1" applyBorder="1" applyAlignment="1">
      <alignment horizontal="center"/>
    </xf>
    <xf numFmtId="0" fontId="4" fillId="0" borderId="0" xfId="0" applyFont="1" applyBorder="1" applyAlignment="1">
      <alignment vertical="center"/>
    </xf>
    <xf numFmtId="0" fontId="5" fillId="0" borderId="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" fontId="4" fillId="0" borderId="59" xfId="0" applyNumberFormat="1" applyFont="1" applyFill="1" applyBorder="1" applyAlignment="1">
      <alignment horizontal="center"/>
    </xf>
    <xf numFmtId="0" fontId="4" fillId="0" borderId="0" xfId="0" applyFont="1" applyBorder="1" applyAlignment="1"/>
    <xf numFmtId="43" fontId="26" fillId="14" borderId="75" xfId="5" applyNumberFormat="1" applyFont="1" applyBorder="1" applyAlignment="1">
      <alignment horizontal="center" wrapText="1"/>
    </xf>
    <xf numFmtId="43" fontId="26" fillId="14" borderId="58" xfId="5" applyNumberFormat="1" applyFont="1" applyBorder="1" applyAlignment="1">
      <alignment horizontal="center" wrapText="1"/>
    </xf>
    <xf numFmtId="0" fontId="26" fillId="14" borderId="75" xfId="5" applyFont="1" applyBorder="1" applyAlignment="1">
      <alignment horizontal="center" wrapText="1"/>
    </xf>
    <xf numFmtId="43" fontId="22" fillId="12" borderId="59" xfId="3" applyNumberFormat="1" applyBorder="1"/>
    <xf numFmtId="1" fontId="27" fillId="0" borderId="59" xfId="2" applyNumberFormat="1" applyFont="1" applyFill="1" applyBorder="1" applyAlignment="1">
      <alignment horizontal="center"/>
    </xf>
    <xf numFmtId="1" fontId="0" fillId="0" borderId="59" xfId="0" applyNumberFormat="1" applyBorder="1" applyAlignment="1">
      <alignment horizontal="center"/>
    </xf>
    <xf numFmtId="43" fontId="22" fillId="12" borderId="62" xfId="3" applyNumberFormat="1" applyBorder="1"/>
    <xf numFmtId="1" fontId="27" fillId="0" borderId="62" xfId="2" applyNumberFormat="1" applyFont="1" applyFill="1" applyBorder="1" applyAlignment="1">
      <alignment horizontal="center"/>
    </xf>
    <xf numFmtId="1" fontId="0" fillId="0" borderId="62" xfId="0" applyNumberFormat="1" applyBorder="1" applyAlignment="1">
      <alignment horizontal="center"/>
    </xf>
    <xf numFmtId="0" fontId="1" fillId="0" borderId="40" xfId="0" applyFont="1" applyBorder="1"/>
    <xf numFmtId="1" fontId="28" fillId="0" borderId="48" xfId="2" applyNumberFormat="1" applyFont="1" applyFill="1" applyBorder="1" applyAlignment="1">
      <alignment horizontal="center"/>
    </xf>
    <xf numFmtId="1" fontId="1" fillId="0" borderId="38" xfId="0" applyNumberFormat="1" applyFont="1" applyBorder="1" applyAlignment="1">
      <alignment horizontal="center"/>
    </xf>
    <xf numFmtId="0" fontId="0" fillId="0" borderId="59" xfId="0" applyBorder="1" applyAlignment="1">
      <alignment horizontal="center"/>
    </xf>
    <xf numFmtId="0" fontId="26" fillId="14" borderId="76" xfId="5" applyFont="1" applyBorder="1" applyAlignment="1">
      <alignment horizontal="center" wrapText="1"/>
    </xf>
    <xf numFmtId="0" fontId="22" fillId="12" borderId="71" xfId="3" applyBorder="1" applyAlignment="1">
      <alignment horizontal="center"/>
    </xf>
    <xf numFmtId="0" fontId="22" fillId="12" borderId="59" xfId="3" applyBorder="1" applyAlignment="1">
      <alignment horizontal="center"/>
    </xf>
    <xf numFmtId="0" fontId="0" fillId="0" borderId="59" xfId="0" applyFont="1" applyBorder="1" applyAlignment="1">
      <alignment horizontal="center"/>
    </xf>
    <xf numFmtId="0" fontId="22" fillId="12" borderId="62" xfId="3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2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1" fontId="4" fillId="0" borderId="48" xfId="0" applyNumberFormat="1" applyFont="1" applyBorder="1" applyAlignment="1">
      <alignment horizontal="center"/>
    </xf>
    <xf numFmtId="1" fontId="4" fillId="0" borderId="38" xfId="0" applyNumberFormat="1" applyFont="1" applyBorder="1" applyAlignment="1">
      <alignment horizontal="center"/>
    </xf>
    <xf numFmtId="0" fontId="26" fillId="14" borderId="78" xfId="5" applyFont="1" applyBorder="1" applyAlignment="1">
      <alignment horizontal="center" wrapText="1"/>
    </xf>
    <xf numFmtId="0" fontId="26" fillId="14" borderId="78" xfId="5" applyFont="1" applyFill="1" applyBorder="1" applyAlignment="1">
      <alignment horizontal="center" wrapText="1"/>
    </xf>
    <xf numFmtId="0" fontId="26" fillId="14" borderId="79" xfId="5" applyFont="1" applyBorder="1" applyAlignment="1">
      <alignment horizontal="center" wrapText="1"/>
    </xf>
    <xf numFmtId="1" fontId="4" fillId="0" borderId="15" xfId="0" applyNumberFormat="1" applyFont="1" applyBorder="1" applyAlignment="1">
      <alignment horizontal="center"/>
    </xf>
    <xf numFmtId="1" fontId="4" fillId="0" borderId="10" xfId="0" applyNumberFormat="1" applyFont="1" applyBorder="1" applyAlignment="1">
      <alignment horizontal="center"/>
    </xf>
    <xf numFmtId="0" fontId="26" fillId="14" borderId="76" xfId="5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/>
    </xf>
    <xf numFmtId="0" fontId="26" fillId="14" borderId="78" xfId="5" applyFont="1" applyBorder="1" applyAlignment="1">
      <alignment horizontal="center" vertical="center" wrapText="1"/>
    </xf>
    <xf numFmtId="0" fontId="26" fillId="14" borderId="78" xfId="5" applyFont="1" applyFill="1" applyBorder="1" applyAlignment="1">
      <alignment horizontal="center" vertical="center" wrapText="1"/>
    </xf>
    <xf numFmtId="0" fontId="26" fillId="14" borderId="79" xfId="5" applyFont="1" applyBorder="1" applyAlignment="1">
      <alignment horizontal="center" vertical="center" wrapText="1"/>
    </xf>
    <xf numFmtId="1" fontId="21" fillId="0" borderId="59" xfId="0" applyNumberFormat="1" applyFont="1" applyBorder="1" applyAlignment="1">
      <alignment horizontal="center" vertical="center"/>
    </xf>
    <xf numFmtId="1" fontId="29" fillId="0" borderId="59" xfId="1" applyNumberFormat="1" applyFont="1" applyBorder="1" applyAlignment="1">
      <alignment horizontal="center" vertical="center"/>
    </xf>
    <xf numFmtId="0" fontId="4" fillId="0" borderId="28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19" fillId="0" borderId="61" xfId="0" applyFont="1" applyFill="1" applyBorder="1" applyAlignment="1">
      <alignment horizontal="center" vertical="center"/>
    </xf>
    <xf numFmtId="0" fontId="4" fillId="0" borderId="83" xfId="0" applyFont="1" applyFill="1" applyBorder="1" applyAlignment="1">
      <alignment horizontal="center"/>
    </xf>
    <xf numFmtId="0" fontId="5" fillId="0" borderId="30" xfId="0" applyFont="1" applyFill="1" applyBorder="1" applyAlignment="1">
      <alignment horizontal="center"/>
    </xf>
    <xf numFmtId="0" fontId="5" fillId="0" borderId="84" xfId="0" applyFont="1" applyFill="1" applyBorder="1" applyAlignment="1">
      <alignment horizontal="center"/>
    </xf>
    <xf numFmtId="0" fontId="5" fillId="0" borderId="85" xfId="0" applyFont="1" applyFill="1" applyBorder="1" applyAlignment="1">
      <alignment horizontal="center"/>
    </xf>
    <xf numFmtId="0" fontId="5" fillId="0" borderId="86" xfId="0" applyFont="1" applyFill="1" applyBorder="1" applyAlignment="1">
      <alignment horizontal="center"/>
    </xf>
    <xf numFmtId="0" fontId="4" fillId="0" borderId="61" xfId="0" applyFont="1" applyFill="1" applyBorder="1" applyAlignment="1">
      <alignment horizontal="center"/>
    </xf>
    <xf numFmtId="0" fontId="4" fillId="0" borderId="83" xfId="0" applyFont="1" applyFill="1" applyBorder="1" applyAlignment="1">
      <alignment horizontal="center" vertical="center"/>
    </xf>
    <xf numFmtId="1" fontId="4" fillId="0" borderId="83" xfId="0" applyNumberFormat="1" applyFont="1" applyFill="1" applyBorder="1" applyAlignment="1">
      <alignment horizontal="center"/>
    </xf>
    <xf numFmtId="0" fontId="4" fillId="0" borderId="77" xfId="0" applyFont="1" applyFill="1" applyBorder="1" applyAlignment="1">
      <alignment horizontal="center"/>
    </xf>
    <xf numFmtId="0" fontId="5" fillId="0" borderId="72" xfId="0" applyFont="1" applyFill="1" applyBorder="1" applyAlignment="1">
      <alignment horizontal="center"/>
    </xf>
    <xf numFmtId="0" fontId="4" fillId="0" borderId="87" xfId="0" applyFont="1" applyFill="1" applyBorder="1" applyAlignment="1">
      <alignment horizontal="center"/>
    </xf>
    <xf numFmtId="1" fontId="5" fillId="0" borderId="0" xfId="0" applyNumberFormat="1" applyFont="1" applyBorder="1" applyAlignment="1">
      <alignment horizontal="center"/>
    </xf>
    <xf numFmtId="1" fontId="5" fillId="0" borderId="0" xfId="0" applyNumberFormat="1" applyFont="1" applyFill="1" applyBorder="1" applyAlignment="1">
      <alignment horizontal="center"/>
    </xf>
    <xf numFmtId="0" fontId="5" fillId="0" borderId="59" xfId="0" applyFont="1" applyBorder="1" applyAlignment="1">
      <alignment horizontal="center" vertical="center"/>
    </xf>
    <xf numFmtId="1" fontId="5" fillId="0" borderId="59" xfId="0" applyNumberFormat="1" applyFont="1" applyBorder="1" applyAlignment="1">
      <alignment horizontal="center"/>
    </xf>
    <xf numFmtId="0" fontId="5" fillId="0" borderId="59" xfId="0" applyFont="1" applyFill="1" applyBorder="1" applyAlignment="1">
      <alignment horizontal="center" vertical="center"/>
    </xf>
    <xf numFmtId="1" fontId="5" fillId="0" borderId="59" xfId="0" applyNumberFormat="1" applyFont="1" applyFill="1" applyBorder="1" applyAlignment="1">
      <alignment horizontal="center"/>
    </xf>
    <xf numFmtId="0" fontId="8" fillId="0" borderId="0" xfId="1" applyBorder="1"/>
    <xf numFmtId="2" fontId="0" fillId="0" borderId="0" xfId="0" applyNumberFormat="1" applyFont="1" applyBorder="1" applyAlignment="1">
      <alignment horizontal="center"/>
    </xf>
    <xf numFmtId="0" fontId="4" fillId="0" borderId="88" xfId="0" applyFont="1" applyBorder="1" applyAlignment="1">
      <alignment horizontal="center" vertical="center"/>
    </xf>
    <xf numFmtId="0" fontId="4" fillId="0" borderId="70" xfId="0" applyFont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1" fontId="21" fillId="15" borderId="73" xfId="6" applyNumberFormat="1" applyBorder="1" applyAlignment="1">
      <alignment horizontal="center"/>
    </xf>
    <xf numFmtId="1" fontId="18" fillId="0" borderId="23" xfId="0" applyNumberFormat="1" applyFont="1" applyBorder="1" applyAlignment="1">
      <alignment horizontal="center"/>
    </xf>
    <xf numFmtId="1" fontId="0" fillId="0" borderId="19" xfId="0" applyNumberFormat="1" applyBorder="1"/>
    <xf numFmtId="1" fontId="21" fillId="0" borderId="89" xfId="6" applyNumberFormat="1" applyFill="1" applyBorder="1" applyAlignment="1">
      <alignment horizontal="center"/>
    </xf>
    <xf numFmtId="1" fontId="0" fillId="0" borderId="27" xfId="0" applyNumberFormat="1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2" fontId="18" fillId="0" borderId="15" xfId="0" applyNumberFormat="1" applyFont="1" applyBorder="1" applyAlignment="1">
      <alignment horizontal="center"/>
    </xf>
    <xf numFmtId="1" fontId="21" fillId="15" borderId="73" xfId="6" applyNumberFormat="1" applyFont="1" applyBorder="1" applyAlignment="1">
      <alignment horizontal="center"/>
    </xf>
    <xf numFmtId="1" fontId="21" fillId="0" borderId="27" xfId="0" applyNumberFormat="1" applyFont="1" applyBorder="1" applyAlignment="1">
      <alignment horizontal="center"/>
    </xf>
    <xf numFmtId="1" fontId="23" fillId="13" borderId="15" xfId="4" applyNumberFormat="1" applyFont="1" applyBorder="1" applyAlignment="1">
      <alignment horizontal="center"/>
    </xf>
    <xf numFmtId="1" fontId="27" fillId="0" borderId="59" xfId="1" applyNumberFormat="1" applyFont="1" applyBorder="1" applyAlignment="1">
      <alignment horizontal="center"/>
    </xf>
    <xf numFmtId="0" fontId="4" fillId="0" borderId="60" xfId="0" applyFont="1" applyBorder="1" applyAlignment="1">
      <alignment horizontal="center"/>
    </xf>
    <xf numFmtId="0" fontId="4" fillId="0" borderId="58" xfId="0" applyFont="1" applyBorder="1" applyAlignment="1">
      <alignment horizontal="center"/>
    </xf>
    <xf numFmtId="0" fontId="4" fillId="0" borderId="57" xfId="0" applyFont="1" applyBorder="1" applyAlignment="1">
      <alignment horizontal="center"/>
    </xf>
    <xf numFmtId="0" fontId="5" fillId="0" borderId="26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3" borderId="40" xfId="0" applyFont="1" applyFill="1" applyBorder="1" applyAlignment="1">
      <alignment horizontal="center" vertical="center"/>
    </xf>
    <xf numFmtId="0" fontId="5" fillId="3" borderId="38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0" fontId="5" fillId="3" borderId="30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37" xfId="0" applyFont="1" applyFill="1" applyBorder="1" applyAlignment="1">
      <alignment horizontal="center" vertical="center"/>
    </xf>
    <xf numFmtId="0" fontId="5" fillId="3" borderId="31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28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6" borderId="1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0" borderId="28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4" borderId="60" xfId="0" applyFont="1" applyFill="1" applyBorder="1" applyAlignment="1">
      <alignment horizontal="center"/>
    </xf>
    <xf numFmtId="0" fontId="5" fillId="4" borderId="58" xfId="0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5" fillId="6" borderId="22" xfId="0" applyFont="1" applyFill="1" applyBorder="1" applyAlignment="1">
      <alignment horizontal="center" vertical="center"/>
    </xf>
    <xf numFmtId="0" fontId="5" fillId="6" borderId="28" xfId="0" applyFont="1" applyFill="1" applyBorder="1" applyAlignment="1">
      <alignment horizontal="center" vertical="center"/>
    </xf>
    <xf numFmtId="0" fontId="5" fillId="6" borderId="27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4" fillId="10" borderId="22" xfId="0" applyFont="1" applyFill="1" applyBorder="1" applyAlignment="1">
      <alignment horizontal="center"/>
    </xf>
    <xf numFmtId="0" fontId="4" fillId="10" borderId="19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5" fillId="7" borderId="25" xfId="0" applyFont="1" applyFill="1" applyBorder="1" applyAlignment="1">
      <alignment horizontal="center" vertical="center"/>
    </xf>
    <xf numFmtId="0" fontId="5" fillId="7" borderId="19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7" borderId="27" xfId="0" applyFont="1" applyFill="1" applyBorder="1" applyAlignment="1">
      <alignment horizontal="center" vertical="center"/>
    </xf>
    <xf numFmtId="0" fontId="5" fillId="7" borderId="17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5" fillId="7" borderId="23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5" fillId="7" borderId="15" xfId="0" applyFont="1" applyFill="1" applyBorder="1" applyAlignment="1">
      <alignment horizontal="center" vertical="center"/>
    </xf>
    <xf numFmtId="0" fontId="5" fillId="7" borderId="54" xfId="0" applyFont="1" applyFill="1" applyBorder="1" applyAlignment="1">
      <alignment horizontal="center"/>
    </xf>
    <xf numFmtId="0" fontId="5" fillId="7" borderId="53" xfId="0" applyFont="1" applyFill="1" applyBorder="1" applyAlignment="1">
      <alignment horizontal="center"/>
    </xf>
    <xf numFmtId="0" fontId="5" fillId="7" borderId="23" xfId="0" applyFont="1" applyFill="1" applyBorder="1" applyAlignment="1">
      <alignment horizontal="center"/>
    </xf>
    <xf numFmtId="0" fontId="5" fillId="7" borderId="19" xfId="0" applyFont="1" applyFill="1" applyBorder="1" applyAlignment="1">
      <alignment horizontal="center"/>
    </xf>
    <xf numFmtId="0" fontId="4" fillId="7" borderId="28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5" fillId="0" borderId="48" xfId="0" applyFont="1" applyFill="1" applyBorder="1" applyAlignment="1">
      <alignment horizontal="center"/>
    </xf>
    <xf numFmtId="0" fontId="5" fillId="0" borderId="38" xfId="0" applyFont="1" applyFill="1" applyBorder="1" applyAlignment="1">
      <alignment horizontal="center"/>
    </xf>
    <xf numFmtId="0" fontId="5" fillId="4" borderId="57" xfId="0" applyFont="1" applyFill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11" borderId="37" xfId="0" applyFont="1" applyFill="1" applyBorder="1" applyAlignment="1">
      <alignment horizontal="center"/>
    </xf>
    <xf numFmtId="0" fontId="5" fillId="11" borderId="35" xfId="0" applyFont="1" applyFill="1" applyBorder="1" applyAlignment="1">
      <alignment horizontal="center"/>
    </xf>
    <xf numFmtId="0" fontId="5" fillId="11" borderId="26" xfId="0" applyFont="1" applyFill="1" applyBorder="1" applyAlignment="1">
      <alignment horizontal="center" vertical="center"/>
    </xf>
    <xf numFmtId="0" fontId="5" fillId="11" borderId="12" xfId="0" applyFont="1" applyFill="1" applyBorder="1" applyAlignment="1">
      <alignment horizontal="center" vertical="center"/>
    </xf>
    <xf numFmtId="0" fontId="5" fillId="11" borderId="30" xfId="0" applyFont="1" applyFill="1" applyBorder="1" applyAlignment="1">
      <alignment horizontal="center" vertical="center"/>
    </xf>
    <xf numFmtId="0" fontId="5" fillId="11" borderId="37" xfId="0" applyFont="1" applyFill="1" applyBorder="1" applyAlignment="1">
      <alignment horizontal="center" vertical="center"/>
    </xf>
    <xf numFmtId="0" fontId="5" fillId="11" borderId="31" xfId="0" applyFont="1" applyFill="1" applyBorder="1" applyAlignment="1">
      <alignment horizontal="center" vertical="center"/>
    </xf>
    <xf numFmtId="0" fontId="5" fillId="11" borderId="35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5" fillId="0" borderId="22" xfId="0" applyFont="1" applyBorder="1" applyAlignment="1">
      <alignment horizontal="center" vertical="center"/>
    </xf>
    <xf numFmtId="0" fontId="25" fillId="0" borderId="23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5" fillId="0" borderId="28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27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4" fillId="0" borderId="80" xfId="0" applyFont="1" applyBorder="1" applyAlignment="1">
      <alignment horizontal="center" vertical="center"/>
    </xf>
    <xf numFmtId="0" fontId="4" fillId="0" borderId="81" xfId="0" applyFont="1" applyBorder="1" applyAlignment="1">
      <alignment horizontal="center" vertical="center"/>
    </xf>
    <xf numFmtId="0" fontId="4" fillId="0" borderId="82" xfId="0" applyFont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88" xfId="0" applyFont="1" applyBorder="1" applyAlignment="1">
      <alignment horizontal="center" vertical="center"/>
    </xf>
    <xf numFmtId="0" fontId="4" fillId="0" borderId="70" xfId="0" applyFont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</cellXfs>
  <cellStyles count="7">
    <cellStyle name="40% - Accent1" xfId="6" builtinId="31"/>
    <cellStyle name="Bad" xfId="4" builtinId="27"/>
    <cellStyle name="Comma" xfId="2" builtinId="3"/>
    <cellStyle name="Good" xfId="3" builtinId="26"/>
    <cellStyle name="Neutral" xfId="5" builtinId="28"/>
    <cellStyle name="Normal" xfId="0" builtinId="0"/>
    <cellStyle name="Normal 2" xfId="1"/>
  </cellStyles>
  <dxfs count="8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outline="0"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</font>
      <alignment horizontal="center" vertical="bottom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Free Capacities Before and After Failure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Free Capacity Before Failure</c:v>
          </c:tx>
          <c:invertIfNegative val="0"/>
          <c:cat>
            <c:multiLvlStrRef>
              <c:f>'Shut-off lambda'!$A$3:$B$56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'Shut-off lambda'!$I$3:$I$56</c:f>
              <c:numCache>
                <c:formatCode>General</c:formatCode>
                <c:ptCount val="54"/>
                <c:pt idx="0">
                  <c:v>134.023</c:v>
                </c:pt>
                <c:pt idx="1">
                  <c:v>160.12074999999999</c:v>
                </c:pt>
                <c:pt idx="2">
                  <c:v>99.23814999999999</c:v>
                </c:pt>
                <c:pt idx="3">
                  <c:v>153.30500000000001</c:v>
                </c:pt>
                <c:pt idx="4">
                  <c:v>167.23000000000002</c:v>
                </c:pt>
                <c:pt idx="5">
                  <c:v>99.23814999999999</c:v>
                </c:pt>
                <c:pt idx="6">
                  <c:v>134.98140000000001</c:v>
                </c:pt>
                <c:pt idx="7">
                  <c:v>99.944999999999993</c:v>
                </c:pt>
                <c:pt idx="8">
                  <c:v>91.926099999999991</c:v>
                </c:pt>
                <c:pt idx="9">
                  <c:v>39.610000000000014</c:v>
                </c:pt>
                <c:pt idx="10">
                  <c:v>188.82499999999999</c:v>
                </c:pt>
                <c:pt idx="12">
                  <c:v>192.74625</c:v>
                </c:pt>
                <c:pt idx="13">
                  <c:v>175.4699</c:v>
                </c:pt>
                <c:pt idx="14">
                  <c:v>57.282899999999998</c:v>
                </c:pt>
                <c:pt idx="15">
                  <c:v>43.075850000000003</c:v>
                </c:pt>
                <c:pt idx="16">
                  <c:v>39.60915</c:v>
                </c:pt>
                <c:pt idx="17">
                  <c:v>188.82499999999999</c:v>
                </c:pt>
                <c:pt idx="18">
                  <c:v>99.943899999999999</c:v>
                </c:pt>
                <c:pt idx="19">
                  <c:v>91.926099999999991</c:v>
                </c:pt>
                <c:pt idx="20">
                  <c:v>187.9485</c:v>
                </c:pt>
                <c:pt idx="21">
                  <c:v>188.82499999999999</c:v>
                </c:pt>
                <c:pt idx="23">
                  <c:v>67.74290000000002</c:v>
                </c:pt>
                <c:pt idx="24">
                  <c:v>87.665850000000006</c:v>
                </c:pt>
                <c:pt idx="25">
                  <c:v>192.74625</c:v>
                </c:pt>
                <c:pt idx="26">
                  <c:v>57.282899999999998</c:v>
                </c:pt>
                <c:pt idx="27">
                  <c:v>43.075850000000003</c:v>
                </c:pt>
                <c:pt idx="28">
                  <c:v>39.60915</c:v>
                </c:pt>
                <c:pt idx="29">
                  <c:v>111.21289999999999</c:v>
                </c:pt>
                <c:pt idx="30">
                  <c:v>153.30500000000001</c:v>
                </c:pt>
                <c:pt idx="31">
                  <c:v>57.282899999999998</c:v>
                </c:pt>
                <c:pt idx="32">
                  <c:v>54.262149999999991</c:v>
                </c:pt>
                <c:pt idx="33">
                  <c:v>43.075850000000003</c:v>
                </c:pt>
                <c:pt idx="34">
                  <c:v>224.33600000000001</c:v>
                </c:pt>
                <c:pt idx="35">
                  <c:v>110.23835000000003</c:v>
                </c:pt>
                <c:pt idx="36">
                  <c:v>306.92275000000001</c:v>
                </c:pt>
                <c:pt idx="37">
                  <c:v>83.096500000000006</c:v>
                </c:pt>
                <c:pt idx="38">
                  <c:v>91.926099999999991</c:v>
                </c:pt>
                <c:pt idx="39">
                  <c:v>87.665850000000006</c:v>
                </c:pt>
                <c:pt idx="40">
                  <c:v>209.83166499999999</c:v>
                </c:pt>
                <c:pt idx="41">
                  <c:v>166.379085</c:v>
                </c:pt>
                <c:pt idx="42">
                  <c:v>62.040400000000005</c:v>
                </c:pt>
                <c:pt idx="43">
                  <c:v>142.44284999999999</c:v>
                </c:pt>
                <c:pt idx="44">
                  <c:v>106.21575</c:v>
                </c:pt>
                <c:pt idx="45">
                  <c:v>126.91800000000001</c:v>
                </c:pt>
                <c:pt idx="46">
                  <c:v>62.040400000000005</c:v>
                </c:pt>
                <c:pt idx="47">
                  <c:v>126.91800000000001</c:v>
                </c:pt>
                <c:pt idx="48">
                  <c:v>126.91800000000001</c:v>
                </c:pt>
                <c:pt idx="49">
                  <c:v>131.56234999999998</c:v>
                </c:pt>
                <c:pt idx="50">
                  <c:v>106.21575</c:v>
                </c:pt>
                <c:pt idx="51">
                  <c:v>183.35083499999999</c:v>
                </c:pt>
                <c:pt idx="52">
                  <c:v>83.096500000000006</c:v>
                </c:pt>
                <c:pt idx="53">
                  <c:v>131.56234999999998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95-467D-9049-C71E7F8CDED9}"/>
            </c:ext>
          </c:extLst>
        </c:ser>
        <c:ser>
          <c:idx val="1"/>
          <c:order val="1"/>
          <c:tx>
            <c:v>Free Capacity After Failure</c:v>
          </c:tx>
          <c:invertIfNegative val="0"/>
          <c:cat>
            <c:multiLvlStrRef>
              <c:f>'Shut-off lambda'!$A$3:$B$56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'Shut-off lambda'!$N$3:$N$56</c:f>
              <c:numCache>
                <c:formatCode>General</c:formatCode>
                <c:ptCount val="54"/>
                <c:pt idx="0">
                  <c:v>84.022999999999996</c:v>
                </c:pt>
                <c:pt idx="1">
                  <c:v>110.12075</c:v>
                </c:pt>
                <c:pt idx="2">
                  <c:v>99.23814999999999</c:v>
                </c:pt>
                <c:pt idx="3">
                  <c:v>153.30500000000001</c:v>
                </c:pt>
                <c:pt idx="4">
                  <c:v>67.23</c:v>
                </c:pt>
                <c:pt idx="5">
                  <c:v>99.23814999999999</c:v>
                </c:pt>
                <c:pt idx="6">
                  <c:v>84.981400000000008</c:v>
                </c:pt>
                <c:pt idx="7">
                  <c:v>49.944999999999993</c:v>
                </c:pt>
                <c:pt idx="8">
                  <c:v>91.926099999999991</c:v>
                </c:pt>
                <c:pt idx="9">
                  <c:v>39.610000000000014</c:v>
                </c:pt>
                <c:pt idx="10">
                  <c:v>138.82499999999999</c:v>
                </c:pt>
                <c:pt idx="12">
                  <c:v>392.74625000000003</c:v>
                </c:pt>
                <c:pt idx="13">
                  <c:v>125.4699</c:v>
                </c:pt>
                <c:pt idx="14">
                  <c:v>57.282899999999998</c:v>
                </c:pt>
                <c:pt idx="15">
                  <c:v>43.075850000000003</c:v>
                </c:pt>
                <c:pt idx="16">
                  <c:v>39.60915</c:v>
                </c:pt>
                <c:pt idx="17">
                  <c:v>138.82499999999999</c:v>
                </c:pt>
                <c:pt idx="18">
                  <c:v>49.943899999999999</c:v>
                </c:pt>
                <c:pt idx="19">
                  <c:v>91.926099999999991</c:v>
                </c:pt>
                <c:pt idx="20">
                  <c:v>137.9485</c:v>
                </c:pt>
                <c:pt idx="21">
                  <c:v>138.82499999999999</c:v>
                </c:pt>
                <c:pt idx="23">
                  <c:v>-32.25709999999998</c:v>
                </c:pt>
                <c:pt idx="24">
                  <c:v>87.665850000000006</c:v>
                </c:pt>
                <c:pt idx="25">
                  <c:v>192.74625</c:v>
                </c:pt>
                <c:pt idx="26">
                  <c:v>57.282899999999998</c:v>
                </c:pt>
                <c:pt idx="27">
                  <c:v>-6.9241499999999974</c:v>
                </c:pt>
                <c:pt idx="28">
                  <c:v>-10.39085</c:v>
                </c:pt>
                <c:pt idx="29">
                  <c:v>111.21289999999999</c:v>
                </c:pt>
                <c:pt idx="30">
                  <c:v>153.30500000000001</c:v>
                </c:pt>
                <c:pt idx="31">
                  <c:v>57.282899999999998</c:v>
                </c:pt>
                <c:pt idx="32">
                  <c:v>54.262149999999991</c:v>
                </c:pt>
                <c:pt idx="33">
                  <c:v>43.075850000000003</c:v>
                </c:pt>
                <c:pt idx="34">
                  <c:v>224.33600000000001</c:v>
                </c:pt>
                <c:pt idx="35">
                  <c:v>-89.761649999999975</c:v>
                </c:pt>
                <c:pt idx="36">
                  <c:v>6.9227500000000077</c:v>
                </c:pt>
                <c:pt idx="37">
                  <c:v>33.096500000000006</c:v>
                </c:pt>
                <c:pt idx="38">
                  <c:v>91.926099999999991</c:v>
                </c:pt>
                <c:pt idx="39">
                  <c:v>87.665850000000006</c:v>
                </c:pt>
                <c:pt idx="40">
                  <c:v>109.831665</c:v>
                </c:pt>
                <c:pt idx="41">
                  <c:v>116.379085</c:v>
                </c:pt>
                <c:pt idx="42">
                  <c:v>62.040400000000005</c:v>
                </c:pt>
                <c:pt idx="43">
                  <c:v>92.442849999999993</c:v>
                </c:pt>
                <c:pt idx="44">
                  <c:v>106.21575</c:v>
                </c:pt>
                <c:pt idx="45">
                  <c:v>126.91800000000001</c:v>
                </c:pt>
                <c:pt idx="46">
                  <c:v>62.040400000000005</c:v>
                </c:pt>
                <c:pt idx="47">
                  <c:v>126.91800000000001</c:v>
                </c:pt>
                <c:pt idx="48">
                  <c:v>126.91800000000001</c:v>
                </c:pt>
                <c:pt idx="49">
                  <c:v>131.56234999999998</c:v>
                </c:pt>
                <c:pt idx="50">
                  <c:v>106.21575</c:v>
                </c:pt>
                <c:pt idx="51">
                  <c:v>183.35083499999999</c:v>
                </c:pt>
                <c:pt idx="52">
                  <c:v>83.096500000000006</c:v>
                </c:pt>
                <c:pt idx="53">
                  <c:v>131.56234999999998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95-467D-9049-C71E7F8CD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745344"/>
        <c:axId val="178746880"/>
      </c:barChart>
      <c:catAx>
        <c:axId val="178745344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78746880"/>
        <c:crosses val="autoZero"/>
        <c:auto val="1"/>
        <c:lblAlgn val="ctr"/>
        <c:lblOffset val="100"/>
        <c:noMultiLvlLbl val="0"/>
      </c:catAx>
      <c:valAx>
        <c:axId val="178746880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Free Capacity</a:t>
                </a:r>
                <a:r>
                  <a:rPr lang="en-US" baseline="0"/>
                  <a:t> </a:t>
                </a:r>
                <a:r>
                  <a:rPr lang="en-US"/>
                  <a:t>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74534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Free Capacities Before and After Failure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Free Capacity Before Failure</c:v>
          </c:tx>
          <c:invertIfNegative val="0"/>
          <c:cat>
            <c:multiLvlStrRef>
              <c:f>BDF!$A$3:$B$56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BDF!$G$3:$G$56</c:f>
              <c:numCache>
                <c:formatCode>General</c:formatCode>
                <c:ptCount val="5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C9-424A-9FDB-21B435640C97}"/>
            </c:ext>
          </c:extLst>
        </c:ser>
        <c:ser>
          <c:idx val="1"/>
          <c:order val="1"/>
          <c:tx>
            <c:v>Free Capacity After Failure</c:v>
          </c:tx>
          <c:invertIfNegative val="0"/>
          <c:cat>
            <c:multiLvlStrRef>
              <c:f>BDF!$A$3:$B$56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BDF!$L$3:$L$56</c:f>
              <c:numCache>
                <c:formatCode>General</c:formatCode>
                <c:ptCount val="54"/>
                <c:pt idx="0">
                  <c:v>598.85</c:v>
                </c:pt>
                <c:pt idx="1">
                  <c:v>561.44000000000005</c:v>
                </c:pt>
                <c:pt idx="2">
                  <c:v>691.82</c:v>
                </c:pt>
                <c:pt idx="3">
                  <c:v>778.62</c:v>
                </c:pt>
                <c:pt idx="4">
                  <c:v>904.18</c:v>
                </c:pt>
                <c:pt idx="5">
                  <c:v>691.82</c:v>
                </c:pt>
                <c:pt idx="6">
                  <c:v>243.73500000000001</c:v>
                </c:pt>
                <c:pt idx="7">
                  <c:v>614.06500000000005</c:v>
                </c:pt>
                <c:pt idx="8">
                  <c:v>692.19500000000005</c:v>
                </c:pt>
                <c:pt idx="9">
                  <c:v>440.09</c:v>
                </c:pt>
                <c:pt idx="10">
                  <c:v>541.49</c:v>
                </c:pt>
                <c:pt idx="12">
                  <c:v>527.53499999999997</c:v>
                </c:pt>
                <c:pt idx="13">
                  <c:v>258.625</c:v>
                </c:pt>
                <c:pt idx="14">
                  <c:v>975.03499999999997</c:v>
                </c:pt>
                <c:pt idx="15">
                  <c:v>1025.3</c:v>
                </c:pt>
                <c:pt idx="16">
                  <c:v>440.09</c:v>
                </c:pt>
                <c:pt idx="17">
                  <c:v>541.49</c:v>
                </c:pt>
                <c:pt idx="18">
                  <c:v>733.18499999999995</c:v>
                </c:pt>
                <c:pt idx="19">
                  <c:v>692.19500000000005</c:v>
                </c:pt>
                <c:pt idx="20">
                  <c:v>820.63</c:v>
                </c:pt>
                <c:pt idx="21">
                  <c:v>660.63</c:v>
                </c:pt>
                <c:pt idx="23">
                  <c:v>799.22</c:v>
                </c:pt>
                <c:pt idx="24">
                  <c:v>973.76</c:v>
                </c:pt>
                <c:pt idx="25">
                  <c:v>849.47500000000002</c:v>
                </c:pt>
                <c:pt idx="26">
                  <c:v>975.03499999999997</c:v>
                </c:pt>
                <c:pt idx="27">
                  <c:v>1347.24</c:v>
                </c:pt>
                <c:pt idx="28">
                  <c:v>762.03</c:v>
                </c:pt>
                <c:pt idx="29">
                  <c:v>922.03</c:v>
                </c:pt>
                <c:pt idx="30">
                  <c:v>778.62</c:v>
                </c:pt>
                <c:pt idx="31">
                  <c:v>975.03499999999997</c:v>
                </c:pt>
                <c:pt idx="32">
                  <c:v>660.12</c:v>
                </c:pt>
                <c:pt idx="33">
                  <c:v>844.89</c:v>
                </c:pt>
                <c:pt idx="34">
                  <c:v>503.42500000000001</c:v>
                </c:pt>
                <c:pt idx="35">
                  <c:v>539.80499999999995</c:v>
                </c:pt>
                <c:pt idx="36">
                  <c:v>585.61500000000001</c:v>
                </c:pt>
                <c:pt idx="37">
                  <c:v>673.16499999999996</c:v>
                </c:pt>
                <c:pt idx="38">
                  <c:v>692.19500000000005</c:v>
                </c:pt>
                <c:pt idx="39">
                  <c:v>1033.6600000000001</c:v>
                </c:pt>
                <c:pt idx="40">
                  <c:v>811.21</c:v>
                </c:pt>
                <c:pt idx="41">
                  <c:v>607.995</c:v>
                </c:pt>
                <c:pt idx="42">
                  <c:v>1051.23</c:v>
                </c:pt>
                <c:pt idx="43">
                  <c:v>838.745</c:v>
                </c:pt>
                <c:pt idx="44">
                  <c:v>792.93499999999995</c:v>
                </c:pt>
                <c:pt idx="45">
                  <c:v>934.80499999999995</c:v>
                </c:pt>
                <c:pt idx="46">
                  <c:v>992.44500000000005</c:v>
                </c:pt>
                <c:pt idx="47">
                  <c:v>817.04499999999996</c:v>
                </c:pt>
                <c:pt idx="48">
                  <c:v>817.04499999999996</c:v>
                </c:pt>
                <c:pt idx="49">
                  <c:v>518.48</c:v>
                </c:pt>
                <c:pt idx="50">
                  <c:v>792.93499999999995</c:v>
                </c:pt>
                <c:pt idx="51">
                  <c:v>524.75</c:v>
                </c:pt>
                <c:pt idx="52">
                  <c:v>673.16499999999996</c:v>
                </c:pt>
                <c:pt idx="53">
                  <c:v>518.48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C9-424A-9FDB-21B435640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036352"/>
        <c:axId val="180037888"/>
      </c:barChart>
      <c:catAx>
        <c:axId val="180036352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80037888"/>
        <c:crosses val="autoZero"/>
        <c:auto val="1"/>
        <c:lblAlgn val="ctr"/>
        <c:lblOffset val="100"/>
        <c:noMultiLvlLbl val="0"/>
      </c:catAx>
      <c:valAx>
        <c:axId val="180037888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Free Capacity</a:t>
                </a:r>
                <a:r>
                  <a:rPr lang="en-US" baseline="0"/>
                  <a:t> </a:t>
                </a:r>
                <a:r>
                  <a:rPr lang="en-US"/>
                  <a:t>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03635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Capacities Before and After Failure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Capacity Before Failure</c:v>
          </c:tx>
          <c:invertIfNegative val="0"/>
          <c:cat>
            <c:multiLvlStrRef>
              <c:f>BDF!$A$3:$B$56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BDF!$E$3:$E$56</c:f>
              <c:numCache>
                <c:formatCode>General</c:formatCode>
                <c:ptCount val="54"/>
                <c:pt idx="0">
                  <c:v>200</c:v>
                </c:pt>
                <c:pt idx="1">
                  <c:v>200</c:v>
                </c:pt>
                <c:pt idx="2">
                  <c:v>150</c:v>
                </c:pt>
                <c:pt idx="3">
                  <c:v>450</c:v>
                </c:pt>
                <c:pt idx="4">
                  <c:v>250</c:v>
                </c:pt>
                <c:pt idx="5">
                  <c:v>150</c:v>
                </c:pt>
                <c:pt idx="6">
                  <c:v>300</c:v>
                </c:pt>
                <c:pt idx="7">
                  <c:v>200</c:v>
                </c:pt>
                <c:pt idx="8">
                  <c:v>300</c:v>
                </c:pt>
                <c:pt idx="9">
                  <c:v>200</c:v>
                </c:pt>
                <c:pt idx="10">
                  <c:v>200</c:v>
                </c:pt>
                <c:pt idx="12">
                  <c:v>400</c:v>
                </c:pt>
                <c:pt idx="13">
                  <c:v>300</c:v>
                </c:pt>
                <c:pt idx="14">
                  <c:v>150</c:v>
                </c:pt>
                <c:pt idx="15">
                  <c:v>150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300</c:v>
                </c:pt>
                <c:pt idx="20">
                  <c:v>200</c:v>
                </c:pt>
                <c:pt idx="21">
                  <c:v>200</c:v>
                </c:pt>
                <c:pt idx="23">
                  <c:v>400</c:v>
                </c:pt>
                <c:pt idx="24">
                  <c:v>300</c:v>
                </c:pt>
                <c:pt idx="25">
                  <c:v>400</c:v>
                </c:pt>
                <c:pt idx="26">
                  <c:v>150</c:v>
                </c:pt>
                <c:pt idx="27">
                  <c:v>150</c:v>
                </c:pt>
                <c:pt idx="28">
                  <c:v>200</c:v>
                </c:pt>
                <c:pt idx="29">
                  <c:v>250</c:v>
                </c:pt>
                <c:pt idx="30">
                  <c:v>450</c:v>
                </c:pt>
                <c:pt idx="31">
                  <c:v>150</c:v>
                </c:pt>
                <c:pt idx="32">
                  <c:v>300</c:v>
                </c:pt>
                <c:pt idx="33">
                  <c:v>150</c:v>
                </c:pt>
                <c:pt idx="34">
                  <c:v>800</c:v>
                </c:pt>
                <c:pt idx="35">
                  <c:v>500</c:v>
                </c:pt>
                <c:pt idx="36">
                  <c:v>750</c:v>
                </c:pt>
                <c:pt idx="37">
                  <c:v>200</c:v>
                </c:pt>
                <c:pt idx="38">
                  <c:v>300</c:v>
                </c:pt>
                <c:pt idx="39">
                  <c:v>300</c:v>
                </c:pt>
                <c:pt idx="40">
                  <c:v>250</c:v>
                </c:pt>
                <c:pt idx="41">
                  <c:v>200</c:v>
                </c:pt>
                <c:pt idx="42">
                  <c:v>150</c:v>
                </c:pt>
                <c:pt idx="43">
                  <c:v>200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200</c:v>
                </c:pt>
                <c:pt idx="50">
                  <c:v>150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BD-4EF4-989B-E75F8081CFCF}"/>
            </c:ext>
          </c:extLst>
        </c:ser>
        <c:ser>
          <c:idx val="1"/>
          <c:order val="1"/>
          <c:tx>
            <c:v>Capacity After Failure</c:v>
          </c:tx>
          <c:invertIfNegative val="0"/>
          <c:cat>
            <c:multiLvlStrRef>
              <c:f>BDF!$A$3:$B$56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BDF!$J$3:$J$56</c:f>
              <c:numCache>
                <c:formatCode>General</c:formatCode>
                <c:ptCount val="54"/>
                <c:pt idx="0">
                  <c:v>32.988500000000002</c:v>
                </c:pt>
                <c:pt idx="1">
                  <c:v>19.939624999999999</c:v>
                </c:pt>
                <c:pt idx="2">
                  <c:v>33.841233333333335</c:v>
                </c:pt>
                <c:pt idx="3">
                  <c:v>65.932222222222222</c:v>
                </c:pt>
                <c:pt idx="4">
                  <c:v>33.107999999999997</c:v>
                </c:pt>
                <c:pt idx="5">
                  <c:v>33.841233333333335</c:v>
                </c:pt>
                <c:pt idx="6">
                  <c:v>55.006199999999993</c:v>
                </c:pt>
                <c:pt idx="7">
                  <c:v>50.027500000000003</c:v>
                </c:pt>
                <c:pt idx="8">
                  <c:v>69.35796666666667</c:v>
                </c:pt>
                <c:pt idx="9">
                  <c:v>80.194999999999993</c:v>
                </c:pt>
                <c:pt idx="10">
                  <c:v>5.5875000000000004</c:v>
                </c:pt>
                <c:pt idx="12">
                  <c:v>51.813437500000006</c:v>
                </c:pt>
                <c:pt idx="13">
                  <c:v>41.510033333333332</c:v>
                </c:pt>
                <c:pt idx="14">
                  <c:v>61.811400000000006</c:v>
                </c:pt>
                <c:pt idx="15">
                  <c:v>71.28276666666666</c:v>
                </c:pt>
                <c:pt idx="16">
                  <c:v>80.195425</c:v>
                </c:pt>
                <c:pt idx="17">
                  <c:v>5.5875000000000004</c:v>
                </c:pt>
                <c:pt idx="18">
                  <c:v>50.02805</c:v>
                </c:pt>
                <c:pt idx="19">
                  <c:v>69.35796666666667</c:v>
                </c:pt>
                <c:pt idx="20">
                  <c:v>6.0257500000000004</c:v>
                </c:pt>
                <c:pt idx="21">
                  <c:v>5.5875000000000004</c:v>
                </c:pt>
                <c:pt idx="23">
                  <c:v>83.064274999999995</c:v>
                </c:pt>
                <c:pt idx="24">
                  <c:v>141.55610000000001</c:v>
                </c:pt>
                <c:pt idx="25">
                  <c:v>103.62687500000001</c:v>
                </c:pt>
                <c:pt idx="26">
                  <c:v>123.62280000000001</c:v>
                </c:pt>
                <c:pt idx="27">
                  <c:v>142.56553333333332</c:v>
                </c:pt>
                <c:pt idx="28">
                  <c:v>160.39085</c:v>
                </c:pt>
                <c:pt idx="29">
                  <c:v>111.02968</c:v>
                </c:pt>
                <c:pt idx="30">
                  <c:v>131.86444444444444</c:v>
                </c:pt>
                <c:pt idx="31">
                  <c:v>123.62280000000001</c:v>
                </c:pt>
                <c:pt idx="32">
                  <c:v>163.82523333333333</c:v>
                </c:pt>
                <c:pt idx="33">
                  <c:v>142.56553333333332</c:v>
                </c:pt>
                <c:pt idx="34">
                  <c:v>143.916</c:v>
                </c:pt>
                <c:pt idx="35">
                  <c:v>155.90465999999998</c:v>
                </c:pt>
                <c:pt idx="36">
                  <c:v>118.15393333333333</c:v>
                </c:pt>
                <c:pt idx="37">
                  <c:v>116.90350000000001</c:v>
                </c:pt>
                <c:pt idx="38">
                  <c:v>138.71593333333334</c:v>
                </c:pt>
                <c:pt idx="39">
                  <c:v>141.55610000000001</c:v>
                </c:pt>
                <c:pt idx="40">
                  <c:v>32.134667999999998</c:v>
                </c:pt>
                <c:pt idx="41">
                  <c:v>33.620914999999997</c:v>
                </c:pt>
                <c:pt idx="42">
                  <c:v>117.27946666666666</c:v>
                </c:pt>
                <c:pt idx="43">
                  <c:v>57.55715</c:v>
                </c:pt>
                <c:pt idx="44">
                  <c:v>58.379000000000005</c:v>
                </c:pt>
                <c:pt idx="45">
                  <c:v>30.776000000000003</c:v>
                </c:pt>
                <c:pt idx="46">
                  <c:v>117.27946666666666</c:v>
                </c:pt>
                <c:pt idx="47">
                  <c:v>30.776000000000003</c:v>
                </c:pt>
                <c:pt idx="48">
                  <c:v>30.776000000000003</c:v>
                </c:pt>
                <c:pt idx="49">
                  <c:v>68.437650000000005</c:v>
                </c:pt>
                <c:pt idx="50">
                  <c:v>58.379000000000005</c:v>
                </c:pt>
                <c:pt idx="51">
                  <c:v>16.649165</c:v>
                </c:pt>
                <c:pt idx="52">
                  <c:v>116.90350000000001</c:v>
                </c:pt>
                <c:pt idx="53">
                  <c:v>68.437650000000005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BD-4EF4-989B-E75F8081C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075904"/>
        <c:axId val="180085888"/>
      </c:barChart>
      <c:catAx>
        <c:axId val="180075904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80085888"/>
        <c:crosses val="autoZero"/>
        <c:auto val="1"/>
        <c:lblAlgn val="ctr"/>
        <c:lblOffset val="100"/>
        <c:noMultiLvlLbl val="0"/>
      </c:catAx>
      <c:valAx>
        <c:axId val="180085888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07590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8397485379740832"/>
          <c:y val="7.659092005596565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BDF!$W$18</c:f>
              <c:strCache>
                <c:ptCount val="1"/>
                <c:pt idx="0">
                  <c:v>Extra Capacity Needed(G)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BDF!$V$19:$V$28</c:f>
              <c:strCache>
                <c:ptCount val="10"/>
                <c:pt idx="1">
                  <c:v>DO - F</c:v>
                </c:pt>
                <c:pt idx="4">
                  <c:v>F - L </c:v>
                </c:pt>
                <c:pt idx="9">
                  <c:v>Total </c:v>
                </c:pt>
              </c:strCache>
            </c:strRef>
          </c:cat>
          <c:val>
            <c:numRef>
              <c:f>BDF!$W$19:$W$28</c:f>
              <c:numCache>
                <c:formatCode>General</c:formatCode>
                <c:ptCount val="10"/>
                <c:pt idx="1">
                  <c:v>9.15</c:v>
                </c:pt>
                <c:pt idx="4">
                  <c:v>89.132999999999996</c:v>
                </c:pt>
                <c:pt idx="9">
                  <c:v>98.283000000000001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D-4ABD-B09D-AD020145E7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0324608"/>
        <c:axId val="180330496"/>
      </c:barChart>
      <c:catAx>
        <c:axId val="180324608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80330496"/>
        <c:crosses val="autoZero"/>
        <c:auto val="1"/>
        <c:lblAlgn val="ctr"/>
        <c:lblOffset val="100"/>
        <c:noMultiLvlLbl val="0"/>
      </c:catAx>
      <c:valAx>
        <c:axId val="180330496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324608"/>
        <c:crosses val="autoZero"/>
        <c:crossBetween val="between"/>
      </c:valAx>
    </c:plotArea>
    <c:legend>
      <c:legendPos val="l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Free Capacities Before and After Failure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Free Capacity Before Failure</c:v>
          </c:tx>
          <c:invertIfNegative val="0"/>
          <c:cat>
            <c:multiLvlStrRef>
              <c:f>SDF!$A$3:$B$56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SDF!$I$3:$I$56</c:f>
              <c:numCache>
                <c:formatCode>General</c:formatCode>
                <c:ptCount val="54"/>
                <c:pt idx="0">
                  <c:v>134.023</c:v>
                </c:pt>
                <c:pt idx="1">
                  <c:v>160.12074999999999</c:v>
                </c:pt>
                <c:pt idx="2">
                  <c:v>99.23814999999999</c:v>
                </c:pt>
                <c:pt idx="3">
                  <c:v>153.30500000000001</c:v>
                </c:pt>
                <c:pt idx="4">
                  <c:v>167.23000000000002</c:v>
                </c:pt>
                <c:pt idx="5">
                  <c:v>99.23814999999999</c:v>
                </c:pt>
                <c:pt idx="6">
                  <c:v>134.98140000000001</c:v>
                </c:pt>
                <c:pt idx="7">
                  <c:v>99.944999999999993</c:v>
                </c:pt>
                <c:pt idx="8">
                  <c:v>91.926099999999991</c:v>
                </c:pt>
                <c:pt idx="9">
                  <c:v>39.610000000000014</c:v>
                </c:pt>
                <c:pt idx="10">
                  <c:v>188.82499999999999</c:v>
                </c:pt>
                <c:pt idx="12">
                  <c:v>192.74625</c:v>
                </c:pt>
                <c:pt idx="13">
                  <c:v>175.4699</c:v>
                </c:pt>
                <c:pt idx="14">
                  <c:v>57.282899999999998</c:v>
                </c:pt>
                <c:pt idx="15">
                  <c:v>43.075850000000003</c:v>
                </c:pt>
                <c:pt idx="16">
                  <c:v>39.60915</c:v>
                </c:pt>
                <c:pt idx="17">
                  <c:v>188.82499999999999</c:v>
                </c:pt>
                <c:pt idx="18">
                  <c:v>99.943899999999999</c:v>
                </c:pt>
                <c:pt idx="19">
                  <c:v>91.926099999999991</c:v>
                </c:pt>
                <c:pt idx="20">
                  <c:v>187.9485</c:v>
                </c:pt>
                <c:pt idx="21">
                  <c:v>188.82499999999999</c:v>
                </c:pt>
                <c:pt idx="23">
                  <c:v>67.74290000000002</c:v>
                </c:pt>
                <c:pt idx="24">
                  <c:v>87.665850000000006</c:v>
                </c:pt>
                <c:pt idx="25">
                  <c:v>192.74625</c:v>
                </c:pt>
                <c:pt idx="26">
                  <c:v>57.282899999999998</c:v>
                </c:pt>
                <c:pt idx="27">
                  <c:v>43.075850000000003</c:v>
                </c:pt>
                <c:pt idx="28">
                  <c:v>39.60915</c:v>
                </c:pt>
                <c:pt idx="29">
                  <c:v>111.21289999999999</c:v>
                </c:pt>
                <c:pt idx="30">
                  <c:v>153.30500000000001</c:v>
                </c:pt>
                <c:pt idx="31">
                  <c:v>57.282899999999998</c:v>
                </c:pt>
                <c:pt idx="32">
                  <c:v>54.262149999999991</c:v>
                </c:pt>
                <c:pt idx="33">
                  <c:v>43.075850000000003</c:v>
                </c:pt>
                <c:pt idx="34">
                  <c:v>224.33600000000001</c:v>
                </c:pt>
                <c:pt idx="35">
                  <c:v>110.23835000000003</c:v>
                </c:pt>
                <c:pt idx="36">
                  <c:v>306.92275000000001</c:v>
                </c:pt>
                <c:pt idx="37">
                  <c:v>83.096500000000006</c:v>
                </c:pt>
                <c:pt idx="38">
                  <c:v>91.926099999999991</c:v>
                </c:pt>
                <c:pt idx="39">
                  <c:v>87.665850000000006</c:v>
                </c:pt>
                <c:pt idx="40">
                  <c:v>209.83166499999999</c:v>
                </c:pt>
                <c:pt idx="41">
                  <c:v>166.379085</c:v>
                </c:pt>
                <c:pt idx="42">
                  <c:v>62.040400000000005</c:v>
                </c:pt>
                <c:pt idx="43">
                  <c:v>142.44284999999999</c:v>
                </c:pt>
                <c:pt idx="44">
                  <c:v>106.21575</c:v>
                </c:pt>
                <c:pt idx="45">
                  <c:v>126.91800000000001</c:v>
                </c:pt>
                <c:pt idx="46">
                  <c:v>62.040400000000005</c:v>
                </c:pt>
                <c:pt idx="47">
                  <c:v>126.91800000000001</c:v>
                </c:pt>
                <c:pt idx="48">
                  <c:v>126.91800000000001</c:v>
                </c:pt>
                <c:pt idx="49">
                  <c:v>131.56234999999998</c:v>
                </c:pt>
                <c:pt idx="50">
                  <c:v>106.21575</c:v>
                </c:pt>
                <c:pt idx="51">
                  <c:v>183.35083499999999</c:v>
                </c:pt>
                <c:pt idx="52">
                  <c:v>83.096500000000006</c:v>
                </c:pt>
                <c:pt idx="53">
                  <c:v>131.56234999999998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E-4817-BFFA-9399AC2C436C}"/>
            </c:ext>
          </c:extLst>
        </c:ser>
        <c:ser>
          <c:idx val="1"/>
          <c:order val="1"/>
          <c:tx>
            <c:v>Free Capacity After Failure</c:v>
          </c:tx>
          <c:invertIfNegative val="0"/>
          <c:cat>
            <c:multiLvlStrRef>
              <c:f>SDF!$A$3:$B$56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SDF!$O$3:$O$56</c:f>
              <c:numCache>
                <c:formatCode>General</c:formatCode>
                <c:ptCount val="54"/>
                <c:pt idx="0">
                  <c:v>84.022999999999996</c:v>
                </c:pt>
                <c:pt idx="1">
                  <c:v>110.12075</c:v>
                </c:pt>
                <c:pt idx="2">
                  <c:v>99.23814999999999</c:v>
                </c:pt>
                <c:pt idx="3">
                  <c:v>153.30500000000001</c:v>
                </c:pt>
                <c:pt idx="4">
                  <c:v>67.23</c:v>
                </c:pt>
                <c:pt idx="5">
                  <c:v>99.23814999999999</c:v>
                </c:pt>
                <c:pt idx="6">
                  <c:v>84.981400000000008</c:v>
                </c:pt>
                <c:pt idx="7">
                  <c:v>49.944999999999993</c:v>
                </c:pt>
                <c:pt idx="8">
                  <c:v>91.926099999999991</c:v>
                </c:pt>
                <c:pt idx="9">
                  <c:v>39.610000000000014</c:v>
                </c:pt>
                <c:pt idx="10">
                  <c:v>138.82499999999999</c:v>
                </c:pt>
                <c:pt idx="12">
                  <c:v>392.74625000000003</c:v>
                </c:pt>
                <c:pt idx="13">
                  <c:v>125.4699</c:v>
                </c:pt>
                <c:pt idx="14">
                  <c:v>57.282899999999998</c:v>
                </c:pt>
                <c:pt idx="15">
                  <c:v>43.075850000000003</c:v>
                </c:pt>
                <c:pt idx="16">
                  <c:v>39.60915</c:v>
                </c:pt>
                <c:pt idx="17">
                  <c:v>138.82499999999999</c:v>
                </c:pt>
                <c:pt idx="18">
                  <c:v>99.943899999999999</c:v>
                </c:pt>
                <c:pt idx="19">
                  <c:v>91.926099999999991</c:v>
                </c:pt>
                <c:pt idx="20">
                  <c:v>137.9485</c:v>
                </c:pt>
                <c:pt idx="21">
                  <c:v>138.82499999999999</c:v>
                </c:pt>
                <c:pt idx="23">
                  <c:v>-32.25709999999998</c:v>
                </c:pt>
                <c:pt idx="24">
                  <c:v>87.665850000000006</c:v>
                </c:pt>
                <c:pt idx="25">
                  <c:v>192.74625</c:v>
                </c:pt>
                <c:pt idx="26">
                  <c:v>57.282899999999998</c:v>
                </c:pt>
                <c:pt idx="27">
                  <c:v>-6.9241499999999974</c:v>
                </c:pt>
                <c:pt idx="28">
                  <c:v>-10.39085</c:v>
                </c:pt>
                <c:pt idx="29">
                  <c:v>111.21289999999999</c:v>
                </c:pt>
                <c:pt idx="30">
                  <c:v>153.30500000000001</c:v>
                </c:pt>
                <c:pt idx="31">
                  <c:v>57.282899999999998</c:v>
                </c:pt>
                <c:pt idx="32">
                  <c:v>54.262149999999991</c:v>
                </c:pt>
                <c:pt idx="33">
                  <c:v>43.075850000000003</c:v>
                </c:pt>
                <c:pt idx="34">
                  <c:v>224.33600000000001</c:v>
                </c:pt>
                <c:pt idx="35">
                  <c:v>-89.761649999999975</c:v>
                </c:pt>
                <c:pt idx="36">
                  <c:v>6.9227500000000077</c:v>
                </c:pt>
                <c:pt idx="37">
                  <c:v>33.096500000000006</c:v>
                </c:pt>
                <c:pt idx="38">
                  <c:v>91.926099999999991</c:v>
                </c:pt>
                <c:pt idx="39">
                  <c:v>87.665850000000006</c:v>
                </c:pt>
                <c:pt idx="40">
                  <c:v>109.831665</c:v>
                </c:pt>
                <c:pt idx="41">
                  <c:v>116.379085</c:v>
                </c:pt>
                <c:pt idx="42">
                  <c:v>62.040400000000005</c:v>
                </c:pt>
                <c:pt idx="43">
                  <c:v>92.442849999999993</c:v>
                </c:pt>
                <c:pt idx="44">
                  <c:v>106.21575</c:v>
                </c:pt>
                <c:pt idx="45">
                  <c:v>126.91800000000001</c:v>
                </c:pt>
                <c:pt idx="46">
                  <c:v>62.040400000000005</c:v>
                </c:pt>
                <c:pt idx="47">
                  <c:v>126.91800000000001</c:v>
                </c:pt>
                <c:pt idx="48">
                  <c:v>126.91800000000001</c:v>
                </c:pt>
                <c:pt idx="49">
                  <c:v>131.56234999999998</c:v>
                </c:pt>
                <c:pt idx="50">
                  <c:v>106.21575</c:v>
                </c:pt>
                <c:pt idx="51">
                  <c:v>183.35083499999999</c:v>
                </c:pt>
                <c:pt idx="52">
                  <c:v>83.096500000000006</c:v>
                </c:pt>
                <c:pt idx="53">
                  <c:v>131.56234999999998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0E-4817-BFFA-9399AC2C4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549120"/>
        <c:axId val="180550656"/>
      </c:barChart>
      <c:catAx>
        <c:axId val="180549120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80550656"/>
        <c:crosses val="autoZero"/>
        <c:auto val="1"/>
        <c:lblAlgn val="ctr"/>
        <c:lblOffset val="100"/>
        <c:noMultiLvlLbl val="0"/>
      </c:catAx>
      <c:valAx>
        <c:axId val="180550656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Free Capacity</a:t>
                </a:r>
                <a:r>
                  <a:rPr lang="en-US" baseline="0"/>
                  <a:t> </a:t>
                </a:r>
                <a:r>
                  <a:rPr lang="en-US"/>
                  <a:t>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54912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Capacities Before and After Failure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Capacity Before Failure</c:v>
          </c:tx>
          <c:invertIfNegative val="0"/>
          <c:cat>
            <c:multiLvlStrRef>
              <c:f>SDF!$A$3:$B$56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SDF!$E$3:$E$56</c:f>
              <c:numCache>
                <c:formatCode>General</c:formatCode>
                <c:ptCount val="54"/>
                <c:pt idx="0">
                  <c:v>200</c:v>
                </c:pt>
                <c:pt idx="1">
                  <c:v>200</c:v>
                </c:pt>
                <c:pt idx="2">
                  <c:v>150</c:v>
                </c:pt>
                <c:pt idx="3">
                  <c:v>450</c:v>
                </c:pt>
                <c:pt idx="4">
                  <c:v>250</c:v>
                </c:pt>
                <c:pt idx="5">
                  <c:v>150</c:v>
                </c:pt>
                <c:pt idx="6">
                  <c:v>300</c:v>
                </c:pt>
                <c:pt idx="7">
                  <c:v>200</c:v>
                </c:pt>
                <c:pt idx="8">
                  <c:v>300</c:v>
                </c:pt>
                <c:pt idx="9">
                  <c:v>200</c:v>
                </c:pt>
                <c:pt idx="10">
                  <c:v>200</c:v>
                </c:pt>
                <c:pt idx="12">
                  <c:v>400</c:v>
                </c:pt>
                <c:pt idx="13">
                  <c:v>300</c:v>
                </c:pt>
                <c:pt idx="14">
                  <c:v>150</c:v>
                </c:pt>
                <c:pt idx="15">
                  <c:v>150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300</c:v>
                </c:pt>
                <c:pt idx="20">
                  <c:v>200</c:v>
                </c:pt>
                <c:pt idx="21">
                  <c:v>200</c:v>
                </c:pt>
                <c:pt idx="23">
                  <c:v>400</c:v>
                </c:pt>
                <c:pt idx="24">
                  <c:v>300</c:v>
                </c:pt>
                <c:pt idx="25">
                  <c:v>400</c:v>
                </c:pt>
                <c:pt idx="26">
                  <c:v>150</c:v>
                </c:pt>
                <c:pt idx="27">
                  <c:v>150</c:v>
                </c:pt>
                <c:pt idx="28">
                  <c:v>200</c:v>
                </c:pt>
                <c:pt idx="29">
                  <c:v>250</c:v>
                </c:pt>
                <c:pt idx="30">
                  <c:v>450</c:v>
                </c:pt>
                <c:pt idx="31">
                  <c:v>150</c:v>
                </c:pt>
                <c:pt idx="32">
                  <c:v>300</c:v>
                </c:pt>
                <c:pt idx="33">
                  <c:v>150</c:v>
                </c:pt>
                <c:pt idx="34">
                  <c:v>800</c:v>
                </c:pt>
                <c:pt idx="35">
                  <c:v>500</c:v>
                </c:pt>
                <c:pt idx="36">
                  <c:v>750</c:v>
                </c:pt>
                <c:pt idx="37">
                  <c:v>200</c:v>
                </c:pt>
                <c:pt idx="38">
                  <c:v>300</c:v>
                </c:pt>
                <c:pt idx="39">
                  <c:v>300</c:v>
                </c:pt>
                <c:pt idx="40">
                  <c:v>250</c:v>
                </c:pt>
                <c:pt idx="41">
                  <c:v>200</c:v>
                </c:pt>
                <c:pt idx="42">
                  <c:v>150</c:v>
                </c:pt>
                <c:pt idx="43">
                  <c:v>200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200</c:v>
                </c:pt>
                <c:pt idx="50">
                  <c:v>150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0-4EFE-9DE2-B6FF3230E618}"/>
            </c:ext>
          </c:extLst>
        </c:ser>
        <c:ser>
          <c:idx val="1"/>
          <c:order val="1"/>
          <c:tx>
            <c:v>Capacity After Failure</c:v>
          </c:tx>
          <c:invertIfNegative val="0"/>
          <c:cat>
            <c:multiLvlStrRef>
              <c:f>SDF!$A$3:$B$56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SDF!$M$3:$M$56</c:f>
              <c:numCache>
                <c:formatCode>General</c:formatCode>
                <c:ptCount val="5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450</c:v>
                </c:pt>
                <c:pt idx="4">
                  <c:v>150</c:v>
                </c:pt>
                <c:pt idx="5">
                  <c:v>150</c:v>
                </c:pt>
                <c:pt idx="6">
                  <c:v>250</c:v>
                </c:pt>
                <c:pt idx="7">
                  <c:v>150</c:v>
                </c:pt>
                <c:pt idx="8">
                  <c:v>300</c:v>
                </c:pt>
                <c:pt idx="9">
                  <c:v>200</c:v>
                </c:pt>
                <c:pt idx="10">
                  <c:v>150</c:v>
                </c:pt>
                <c:pt idx="12">
                  <c:v>600</c:v>
                </c:pt>
                <c:pt idx="13">
                  <c:v>250</c:v>
                </c:pt>
                <c:pt idx="14">
                  <c:v>150</c:v>
                </c:pt>
                <c:pt idx="15">
                  <c:v>150</c:v>
                </c:pt>
                <c:pt idx="16">
                  <c:v>200</c:v>
                </c:pt>
                <c:pt idx="17">
                  <c:v>150</c:v>
                </c:pt>
                <c:pt idx="18">
                  <c:v>200</c:v>
                </c:pt>
                <c:pt idx="19">
                  <c:v>300</c:v>
                </c:pt>
                <c:pt idx="20">
                  <c:v>150</c:v>
                </c:pt>
                <c:pt idx="21">
                  <c:v>150</c:v>
                </c:pt>
                <c:pt idx="23">
                  <c:v>300</c:v>
                </c:pt>
                <c:pt idx="24">
                  <c:v>300</c:v>
                </c:pt>
                <c:pt idx="25">
                  <c:v>400</c:v>
                </c:pt>
                <c:pt idx="26">
                  <c:v>150</c:v>
                </c:pt>
                <c:pt idx="27">
                  <c:v>100</c:v>
                </c:pt>
                <c:pt idx="28">
                  <c:v>150</c:v>
                </c:pt>
                <c:pt idx="29">
                  <c:v>250</c:v>
                </c:pt>
                <c:pt idx="30">
                  <c:v>450</c:v>
                </c:pt>
                <c:pt idx="31">
                  <c:v>150</c:v>
                </c:pt>
                <c:pt idx="32">
                  <c:v>300</c:v>
                </c:pt>
                <c:pt idx="33">
                  <c:v>150</c:v>
                </c:pt>
                <c:pt idx="34">
                  <c:v>800</c:v>
                </c:pt>
                <c:pt idx="35">
                  <c:v>300</c:v>
                </c:pt>
                <c:pt idx="36">
                  <c:v>450</c:v>
                </c:pt>
                <c:pt idx="37">
                  <c:v>150</c:v>
                </c:pt>
                <c:pt idx="38">
                  <c:v>300</c:v>
                </c:pt>
                <c:pt idx="39">
                  <c:v>300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200</c:v>
                </c:pt>
                <c:pt idx="50">
                  <c:v>150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0-4EFE-9DE2-B6FF3230E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292352"/>
        <c:axId val="190293888"/>
      </c:barChart>
      <c:catAx>
        <c:axId val="190292352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90293888"/>
        <c:crosses val="autoZero"/>
        <c:auto val="1"/>
        <c:lblAlgn val="ctr"/>
        <c:lblOffset val="100"/>
        <c:noMultiLvlLbl val="0"/>
      </c:catAx>
      <c:valAx>
        <c:axId val="190293888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29235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SDF!$U$26</c:f>
              <c:strCache>
                <c:ptCount val="1"/>
                <c:pt idx="0">
                  <c:v>Extra Capacity Needed(G)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SDF!$T$27:$T$30</c:f>
              <c:strCache>
                <c:ptCount val="4"/>
                <c:pt idx="0">
                  <c:v>None</c:v>
                </c:pt>
                <c:pt idx="1">
                  <c:v>None</c:v>
                </c:pt>
                <c:pt idx="3">
                  <c:v>Total </c:v>
                </c:pt>
              </c:strCache>
            </c:strRef>
          </c:cat>
          <c:val>
            <c:numRef>
              <c:f>SDF!$U$27:$U$30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8D-4EC5-9EB9-411EC668AB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0628480"/>
        <c:axId val="180630272"/>
      </c:barChart>
      <c:catAx>
        <c:axId val="180628480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80630272"/>
        <c:crosses val="autoZero"/>
        <c:auto val="1"/>
        <c:lblAlgn val="ctr"/>
        <c:lblOffset val="100"/>
        <c:noMultiLvlLbl val="0"/>
      </c:catAx>
      <c:valAx>
        <c:axId val="180630272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628480"/>
        <c:crosses val="autoZero"/>
        <c:crossBetween val="between"/>
      </c:valAx>
    </c:plotArea>
    <c:legend>
      <c:legendPos val="l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'Single-hop Reroute'!$U$35</c:f>
              <c:strCache>
                <c:ptCount val="1"/>
                <c:pt idx="0">
                  <c:v>Extra Capacity Needed(G)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'Single-hop Reroute'!$T$36:$T$42</c:f>
              <c:strCache>
                <c:ptCount val="7"/>
                <c:pt idx="1">
                  <c:v>DO - F</c:v>
                </c:pt>
                <c:pt idx="2">
                  <c:v>D - F</c:v>
                </c:pt>
                <c:pt idx="3">
                  <c:v>L - N</c:v>
                </c:pt>
                <c:pt idx="4">
                  <c:v>F - L </c:v>
                </c:pt>
                <c:pt idx="5">
                  <c:v>F - H</c:v>
                </c:pt>
                <c:pt idx="6">
                  <c:v>Total </c:v>
                </c:pt>
              </c:strCache>
            </c:strRef>
          </c:cat>
          <c:val>
            <c:numRef>
              <c:f>'Single-hop Reroute'!$U$36:$U$42</c:f>
              <c:numCache>
                <c:formatCode>General</c:formatCode>
                <c:ptCount val="7"/>
                <c:pt idx="1">
                  <c:v>12.23</c:v>
                </c:pt>
                <c:pt idx="2">
                  <c:v>4.04</c:v>
                </c:pt>
                <c:pt idx="3">
                  <c:v>28.09</c:v>
                </c:pt>
                <c:pt idx="4">
                  <c:v>116.26</c:v>
                </c:pt>
                <c:pt idx="5">
                  <c:v>2.17</c:v>
                </c:pt>
                <c:pt idx="6">
                  <c:v>162.79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08-44D6-AFE3-1F5310627C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0669056"/>
        <c:axId val="190665088"/>
      </c:barChart>
      <c:catAx>
        <c:axId val="180669056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90665088"/>
        <c:crosses val="autoZero"/>
        <c:auto val="1"/>
        <c:lblAlgn val="ctr"/>
        <c:lblOffset val="100"/>
        <c:noMultiLvlLbl val="0"/>
      </c:catAx>
      <c:valAx>
        <c:axId val="190665088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18066905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Free Capacities Before and After Failure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Free Capacity Before Failure</c:v>
          </c:tx>
          <c:invertIfNegative val="0"/>
          <c:cat>
            <c:multiLvlStrRef>
              <c:f>'ES-EP'!$A$3:$B$56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'ES-EP'!$I$3:$I$56</c:f>
              <c:numCache>
                <c:formatCode>General</c:formatCode>
                <c:ptCount val="54"/>
                <c:pt idx="0">
                  <c:v>134.023</c:v>
                </c:pt>
                <c:pt idx="1">
                  <c:v>160.12074999999999</c:v>
                </c:pt>
                <c:pt idx="2">
                  <c:v>99.23814999999999</c:v>
                </c:pt>
                <c:pt idx="3">
                  <c:v>153.30500000000001</c:v>
                </c:pt>
                <c:pt idx="4">
                  <c:v>167.23000000000002</c:v>
                </c:pt>
                <c:pt idx="5">
                  <c:v>99.23814999999999</c:v>
                </c:pt>
                <c:pt idx="6">
                  <c:v>134.98140000000001</c:v>
                </c:pt>
                <c:pt idx="7">
                  <c:v>99.944999999999993</c:v>
                </c:pt>
                <c:pt idx="8">
                  <c:v>91.926099999999991</c:v>
                </c:pt>
                <c:pt idx="9">
                  <c:v>39.610000000000014</c:v>
                </c:pt>
                <c:pt idx="10">
                  <c:v>188.82499999999999</c:v>
                </c:pt>
                <c:pt idx="12">
                  <c:v>192.74625</c:v>
                </c:pt>
                <c:pt idx="13">
                  <c:v>175.4699</c:v>
                </c:pt>
                <c:pt idx="14">
                  <c:v>57.282899999999998</c:v>
                </c:pt>
                <c:pt idx="15">
                  <c:v>43.075850000000003</c:v>
                </c:pt>
                <c:pt idx="16">
                  <c:v>39.60915</c:v>
                </c:pt>
                <c:pt idx="17">
                  <c:v>188.82499999999999</c:v>
                </c:pt>
                <c:pt idx="18">
                  <c:v>99.943899999999999</c:v>
                </c:pt>
                <c:pt idx="19">
                  <c:v>91.926099999999991</c:v>
                </c:pt>
                <c:pt idx="20">
                  <c:v>187.9485</c:v>
                </c:pt>
                <c:pt idx="21">
                  <c:v>188.82499999999999</c:v>
                </c:pt>
                <c:pt idx="23">
                  <c:v>67.74290000000002</c:v>
                </c:pt>
                <c:pt idx="24">
                  <c:v>87.665850000000006</c:v>
                </c:pt>
                <c:pt idx="25">
                  <c:v>192.74625</c:v>
                </c:pt>
                <c:pt idx="26">
                  <c:v>57.282899999999998</c:v>
                </c:pt>
                <c:pt idx="27">
                  <c:v>43.075850000000003</c:v>
                </c:pt>
                <c:pt idx="28">
                  <c:v>39.60915</c:v>
                </c:pt>
                <c:pt idx="29">
                  <c:v>111.21289999999999</c:v>
                </c:pt>
                <c:pt idx="30">
                  <c:v>153.30500000000001</c:v>
                </c:pt>
                <c:pt idx="31">
                  <c:v>57.282899999999998</c:v>
                </c:pt>
                <c:pt idx="32">
                  <c:v>54.262149999999991</c:v>
                </c:pt>
                <c:pt idx="33">
                  <c:v>43.075850000000003</c:v>
                </c:pt>
                <c:pt idx="34">
                  <c:v>224.33600000000001</c:v>
                </c:pt>
                <c:pt idx="35">
                  <c:v>110.23835000000003</c:v>
                </c:pt>
                <c:pt idx="36">
                  <c:v>306.92275000000001</c:v>
                </c:pt>
                <c:pt idx="37">
                  <c:v>83.096500000000006</c:v>
                </c:pt>
                <c:pt idx="38">
                  <c:v>91.926099999999991</c:v>
                </c:pt>
                <c:pt idx="39">
                  <c:v>87.665850000000006</c:v>
                </c:pt>
                <c:pt idx="40">
                  <c:v>209.83166499999999</c:v>
                </c:pt>
                <c:pt idx="41">
                  <c:v>166.379085</c:v>
                </c:pt>
                <c:pt idx="42">
                  <c:v>62.040400000000005</c:v>
                </c:pt>
                <c:pt idx="43">
                  <c:v>142.44284999999999</c:v>
                </c:pt>
                <c:pt idx="44">
                  <c:v>106.21575</c:v>
                </c:pt>
                <c:pt idx="45">
                  <c:v>126.91800000000001</c:v>
                </c:pt>
                <c:pt idx="46">
                  <c:v>62.040400000000005</c:v>
                </c:pt>
                <c:pt idx="47">
                  <c:v>126.91800000000001</c:v>
                </c:pt>
                <c:pt idx="48">
                  <c:v>126.91800000000001</c:v>
                </c:pt>
                <c:pt idx="49">
                  <c:v>131.56234999999998</c:v>
                </c:pt>
                <c:pt idx="50">
                  <c:v>106.21575</c:v>
                </c:pt>
                <c:pt idx="51">
                  <c:v>183.35083499999999</c:v>
                </c:pt>
                <c:pt idx="52">
                  <c:v>83.096500000000006</c:v>
                </c:pt>
                <c:pt idx="53">
                  <c:v>131.56234999999998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74-48CF-9358-B605F45C102A}"/>
            </c:ext>
          </c:extLst>
        </c:ser>
        <c:ser>
          <c:idx val="1"/>
          <c:order val="1"/>
          <c:tx>
            <c:v>Free Capacity After Failure</c:v>
          </c:tx>
          <c:invertIfNegative val="0"/>
          <c:cat>
            <c:multiLvlStrRef>
              <c:f>'ES-EP'!$A$3:$B$56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'ES-EP'!$O$3:$O$56</c:f>
              <c:numCache>
                <c:formatCode>General</c:formatCode>
                <c:ptCount val="54"/>
                <c:pt idx="0">
                  <c:v>84.022999999999996</c:v>
                </c:pt>
                <c:pt idx="1">
                  <c:v>110.12075</c:v>
                </c:pt>
                <c:pt idx="2">
                  <c:v>99.23814999999999</c:v>
                </c:pt>
                <c:pt idx="3">
                  <c:v>153.30500000000001</c:v>
                </c:pt>
                <c:pt idx="4">
                  <c:v>67.23</c:v>
                </c:pt>
                <c:pt idx="5">
                  <c:v>99.23814999999999</c:v>
                </c:pt>
                <c:pt idx="6">
                  <c:v>84.981400000000008</c:v>
                </c:pt>
                <c:pt idx="7">
                  <c:v>49.944999999999993</c:v>
                </c:pt>
                <c:pt idx="8">
                  <c:v>91.926099999999991</c:v>
                </c:pt>
                <c:pt idx="9">
                  <c:v>39.610000000000014</c:v>
                </c:pt>
                <c:pt idx="10">
                  <c:v>138.82499999999999</c:v>
                </c:pt>
                <c:pt idx="12">
                  <c:v>392.74625000000003</c:v>
                </c:pt>
                <c:pt idx="13">
                  <c:v>125.4699</c:v>
                </c:pt>
                <c:pt idx="14">
                  <c:v>57.282899999999998</c:v>
                </c:pt>
                <c:pt idx="15">
                  <c:v>43.075850000000003</c:v>
                </c:pt>
                <c:pt idx="16">
                  <c:v>39.60915</c:v>
                </c:pt>
                <c:pt idx="17">
                  <c:v>138.82499999999999</c:v>
                </c:pt>
                <c:pt idx="18">
                  <c:v>99.943899999999999</c:v>
                </c:pt>
                <c:pt idx="19">
                  <c:v>91.926099999999991</c:v>
                </c:pt>
                <c:pt idx="20">
                  <c:v>137.9485</c:v>
                </c:pt>
                <c:pt idx="21">
                  <c:v>138.82499999999999</c:v>
                </c:pt>
                <c:pt idx="23">
                  <c:v>-32.25709999999998</c:v>
                </c:pt>
                <c:pt idx="24">
                  <c:v>87.665850000000006</c:v>
                </c:pt>
                <c:pt idx="25">
                  <c:v>192.74625</c:v>
                </c:pt>
                <c:pt idx="26">
                  <c:v>57.282899999999998</c:v>
                </c:pt>
                <c:pt idx="27">
                  <c:v>-6.9241499999999974</c:v>
                </c:pt>
                <c:pt idx="28">
                  <c:v>-10.39085</c:v>
                </c:pt>
                <c:pt idx="29">
                  <c:v>111.21289999999999</c:v>
                </c:pt>
                <c:pt idx="30">
                  <c:v>153.30500000000001</c:v>
                </c:pt>
                <c:pt idx="31">
                  <c:v>57.282899999999998</c:v>
                </c:pt>
                <c:pt idx="32">
                  <c:v>54.262149999999991</c:v>
                </c:pt>
                <c:pt idx="33">
                  <c:v>43.075850000000003</c:v>
                </c:pt>
                <c:pt idx="34">
                  <c:v>224.33600000000001</c:v>
                </c:pt>
                <c:pt idx="35">
                  <c:v>-89.761649999999975</c:v>
                </c:pt>
                <c:pt idx="36">
                  <c:v>6.9227500000000077</c:v>
                </c:pt>
                <c:pt idx="37">
                  <c:v>33.096500000000006</c:v>
                </c:pt>
                <c:pt idx="38">
                  <c:v>91.926099999999991</c:v>
                </c:pt>
                <c:pt idx="39">
                  <c:v>87.665850000000006</c:v>
                </c:pt>
                <c:pt idx="40">
                  <c:v>109.831665</c:v>
                </c:pt>
                <c:pt idx="41">
                  <c:v>116.379085</c:v>
                </c:pt>
                <c:pt idx="42">
                  <c:v>62.040400000000005</c:v>
                </c:pt>
                <c:pt idx="43">
                  <c:v>92.442849999999993</c:v>
                </c:pt>
                <c:pt idx="44">
                  <c:v>106.21575</c:v>
                </c:pt>
                <c:pt idx="45">
                  <c:v>126.91800000000001</c:v>
                </c:pt>
                <c:pt idx="46">
                  <c:v>62.040400000000005</c:v>
                </c:pt>
                <c:pt idx="47">
                  <c:v>126.91800000000001</c:v>
                </c:pt>
                <c:pt idx="48">
                  <c:v>126.91800000000001</c:v>
                </c:pt>
                <c:pt idx="49">
                  <c:v>131.56234999999998</c:v>
                </c:pt>
                <c:pt idx="50">
                  <c:v>106.21575</c:v>
                </c:pt>
                <c:pt idx="51">
                  <c:v>183.35083499999999</c:v>
                </c:pt>
                <c:pt idx="52">
                  <c:v>83.096500000000006</c:v>
                </c:pt>
                <c:pt idx="53">
                  <c:v>131.56234999999998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74-48CF-9358-B605F45C1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797696"/>
        <c:axId val="190799232"/>
      </c:barChart>
      <c:catAx>
        <c:axId val="190797696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90799232"/>
        <c:crosses val="autoZero"/>
        <c:auto val="1"/>
        <c:lblAlgn val="ctr"/>
        <c:lblOffset val="100"/>
        <c:noMultiLvlLbl val="0"/>
      </c:catAx>
      <c:valAx>
        <c:axId val="190799232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Free Capacity</a:t>
                </a:r>
                <a:r>
                  <a:rPr lang="en-US" baseline="0"/>
                  <a:t> </a:t>
                </a:r>
                <a:r>
                  <a:rPr lang="en-US"/>
                  <a:t>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79769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Capacities Before and After Failure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Capacity Before Failure</c:v>
          </c:tx>
          <c:invertIfNegative val="0"/>
          <c:cat>
            <c:multiLvlStrRef>
              <c:f>'ES-EP'!$A$3:$B$56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'ES-EP'!$E$3:$E$56</c:f>
              <c:numCache>
                <c:formatCode>General</c:formatCode>
                <c:ptCount val="54"/>
                <c:pt idx="0">
                  <c:v>200</c:v>
                </c:pt>
                <c:pt idx="1">
                  <c:v>200</c:v>
                </c:pt>
                <c:pt idx="2">
                  <c:v>150</c:v>
                </c:pt>
                <c:pt idx="3">
                  <c:v>450</c:v>
                </c:pt>
                <c:pt idx="4">
                  <c:v>250</c:v>
                </c:pt>
                <c:pt idx="5">
                  <c:v>150</c:v>
                </c:pt>
                <c:pt idx="6">
                  <c:v>300</c:v>
                </c:pt>
                <c:pt idx="7">
                  <c:v>200</c:v>
                </c:pt>
                <c:pt idx="8">
                  <c:v>300</c:v>
                </c:pt>
                <c:pt idx="9">
                  <c:v>200</c:v>
                </c:pt>
                <c:pt idx="10">
                  <c:v>200</c:v>
                </c:pt>
                <c:pt idx="12">
                  <c:v>400</c:v>
                </c:pt>
                <c:pt idx="13">
                  <c:v>300</c:v>
                </c:pt>
                <c:pt idx="14">
                  <c:v>150</c:v>
                </c:pt>
                <c:pt idx="15">
                  <c:v>150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300</c:v>
                </c:pt>
                <c:pt idx="20">
                  <c:v>200</c:v>
                </c:pt>
                <c:pt idx="21">
                  <c:v>200</c:v>
                </c:pt>
                <c:pt idx="23">
                  <c:v>400</c:v>
                </c:pt>
                <c:pt idx="24">
                  <c:v>300</c:v>
                </c:pt>
                <c:pt idx="25">
                  <c:v>400</c:v>
                </c:pt>
                <c:pt idx="26">
                  <c:v>150</c:v>
                </c:pt>
                <c:pt idx="27">
                  <c:v>150</c:v>
                </c:pt>
                <c:pt idx="28">
                  <c:v>200</c:v>
                </c:pt>
                <c:pt idx="29">
                  <c:v>250</c:v>
                </c:pt>
                <c:pt idx="30">
                  <c:v>450</c:v>
                </c:pt>
                <c:pt idx="31">
                  <c:v>150</c:v>
                </c:pt>
                <c:pt idx="32">
                  <c:v>300</c:v>
                </c:pt>
                <c:pt idx="33">
                  <c:v>150</c:v>
                </c:pt>
                <c:pt idx="34">
                  <c:v>800</c:v>
                </c:pt>
                <c:pt idx="35">
                  <c:v>500</c:v>
                </c:pt>
                <c:pt idx="36">
                  <c:v>750</c:v>
                </c:pt>
                <c:pt idx="37">
                  <c:v>200</c:v>
                </c:pt>
                <c:pt idx="38">
                  <c:v>300</c:v>
                </c:pt>
                <c:pt idx="39">
                  <c:v>300</c:v>
                </c:pt>
                <c:pt idx="40">
                  <c:v>250</c:v>
                </c:pt>
                <c:pt idx="41">
                  <c:v>200</c:v>
                </c:pt>
                <c:pt idx="42">
                  <c:v>150</c:v>
                </c:pt>
                <c:pt idx="43">
                  <c:v>200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200</c:v>
                </c:pt>
                <c:pt idx="50">
                  <c:v>150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07-407C-B703-50E7EDF37362}"/>
            </c:ext>
          </c:extLst>
        </c:ser>
        <c:ser>
          <c:idx val="1"/>
          <c:order val="1"/>
          <c:tx>
            <c:v>Capacity After Failure</c:v>
          </c:tx>
          <c:invertIfNegative val="0"/>
          <c:cat>
            <c:multiLvlStrRef>
              <c:f>'ES-EP'!$A$3:$B$56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'ES-EP'!$M$3:$M$56</c:f>
              <c:numCache>
                <c:formatCode>General</c:formatCode>
                <c:ptCount val="5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450</c:v>
                </c:pt>
                <c:pt idx="4">
                  <c:v>150</c:v>
                </c:pt>
                <c:pt idx="5">
                  <c:v>150</c:v>
                </c:pt>
                <c:pt idx="6">
                  <c:v>250</c:v>
                </c:pt>
                <c:pt idx="7">
                  <c:v>150</c:v>
                </c:pt>
                <c:pt idx="8">
                  <c:v>300</c:v>
                </c:pt>
                <c:pt idx="9">
                  <c:v>200</c:v>
                </c:pt>
                <c:pt idx="10">
                  <c:v>150</c:v>
                </c:pt>
                <c:pt idx="12">
                  <c:v>600</c:v>
                </c:pt>
                <c:pt idx="13">
                  <c:v>250</c:v>
                </c:pt>
                <c:pt idx="14">
                  <c:v>150</c:v>
                </c:pt>
                <c:pt idx="15">
                  <c:v>150</c:v>
                </c:pt>
                <c:pt idx="16">
                  <c:v>200</c:v>
                </c:pt>
                <c:pt idx="17">
                  <c:v>150</c:v>
                </c:pt>
                <c:pt idx="18">
                  <c:v>200</c:v>
                </c:pt>
                <c:pt idx="19">
                  <c:v>300</c:v>
                </c:pt>
                <c:pt idx="20">
                  <c:v>150</c:v>
                </c:pt>
                <c:pt idx="21">
                  <c:v>150</c:v>
                </c:pt>
                <c:pt idx="23">
                  <c:v>300</c:v>
                </c:pt>
                <c:pt idx="24">
                  <c:v>300</c:v>
                </c:pt>
                <c:pt idx="25">
                  <c:v>400</c:v>
                </c:pt>
                <c:pt idx="26">
                  <c:v>150</c:v>
                </c:pt>
                <c:pt idx="27">
                  <c:v>100</c:v>
                </c:pt>
                <c:pt idx="28">
                  <c:v>150</c:v>
                </c:pt>
                <c:pt idx="29">
                  <c:v>250</c:v>
                </c:pt>
                <c:pt idx="30">
                  <c:v>450</c:v>
                </c:pt>
                <c:pt idx="31">
                  <c:v>150</c:v>
                </c:pt>
                <c:pt idx="32">
                  <c:v>300</c:v>
                </c:pt>
                <c:pt idx="33">
                  <c:v>150</c:v>
                </c:pt>
                <c:pt idx="34">
                  <c:v>800</c:v>
                </c:pt>
                <c:pt idx="35">
                  <c:v>300</c:v>
                </c:pt>
                <c:pt idx="36">
                  <c:v>450</c:v>
                </c:pt>
                <c:pt idx="37">
                  <c:v>150</c:v>
                </c:pt>
                <c:pt idx="38">
                  <c:v>300</c:v>
                </c:pt>
                <c:pt idx="39">
                  <c:v>300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200</c:v>
                </c:pt>
                <c:pt idx="50">
                  <c:v>150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07-407C-B703-50E7EDF37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837504"/>
        <c:axId val="190839040"/>
      </c:barChart>
      <c:catAx>
        <c:axId val="190837504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90839040"/>
        <c:crosses val="autoZero"/>
        <c:auto val="1"/>
        <c:lblAlgn val="ctr"/>
        <c:lblOffset val="100"/>
        <c:noMultiLvlLbl val="0"/>
      </c:catAx>
      <c:valAx>
        <c:axId val="190839040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83750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'ES-EP'!$U$26</c:f>
              <c:strCache>
                <c:ptCount val="1"/>
                <c:pt idx="0">
                  <c:v>Extra Capacity Needed(G)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'ES-EP'!$T$27:$T$30</c:f>
              <c:strCache>
                <c:ptCount val="4"/>
                <c:pt idx="0">
                  <c:v>F - H</c:v>
                </c:pt>
                <c:pt idx="1">
                  <c:v>DO - F</c:v>
                </c:pt>
                <c:pt idx="2">
                  <c:v>F - N</c:v>
                </c:pt>
                <c:pt idx="3">
                  <c:v>Total </c:v>
                </c:pt>
              </c:strCache>
            </c:strRef>
          </c:cat>
          <c:val>
            <c:numRef>
              <c:f>'ES-EP'!$U$27:$U$30</c:f>
              <c:numCache>
                <c:formatCode>General</c:formatCode>
                <c:ptCount val="4"/>
                <c:pt idx="0">
                  <c:v>20</c:v>
                </c:pt>
                <c:pt idx="1">
                  <c:v>6</c:v>
                </c:pt>
                <c:pt idx="2">
                  <c:v>67</c:v>
                </c:pt>
                <c:pt idx="3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AD-4C57-A1AC-FE4A7BDC53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0397824"/>
        <c:axId val="190416000"/>
      </c:barChart>
      <c:catAx>
        <c:axId val="190397824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90416000"/>
        <c:crosses val="autoZero"/>
        <c:auto val="1"/>
        <c:lblAlgn val="ctr"/>
        <c:lblOffset val="100"/>
        <c:noMultiLvlLbl val="0"/>
      </c:catAx>
      <c:valAx>
        <c:axId val="190416000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397824"/>
        <c:crosses val="autoZero"/>
        <c:crossBetween val="between"/>
      </c:valAx>
    </c:plotArea>
    <c:legend>
      <c:legendPos val="l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Capacities Before and After Failure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Capacity Before Failure</c:v>
          </c:tx>
          <c:invertIfNegative val="0"/>
          <c:cat>
            <c:multiLvlStrRef>
              <c:f>'Shut-off lambda'!$A$3:$B$56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'Shut-off lambda'!$E$3:$E$56</c:f>
              <c:numCache>
                <c:formatCode>General</c:formatCode>
                <c:ptCount val="54"/>
                <c:pt idx="0">
                  <c:v>200</c:v>
                </c:pt>
                <c:pt idx="1">
                  <c:v>200</c:v>
                </c:pt>
                <c:pt idx="2">
                  <c:v>150</c:v>
                </c:pt>
                <c:pt idx="3">
                  <c:v>450</c:v>
                </c:pt>
                <c:pt idx="4">
                  <c:v>250</c:v>
                </c:pt>
                <c:pt idx="5">
                  <c:v>150</c:v>
                </c:pt>
                <c:pt idx="6">
                  <c:v>300</c:v>
                </c:pt>
                <c:pt idx="7">
                  <c:v>200</c:v>
                </c:pt>
                <c:pt idx="8">
                  <c:v>300</c:v>
                </c:pt>
                <c:pt idx="9">
                  <c:v>200</c:v>
                </c:pt>
                <c:pt idx="10">
                  <c:v>200</c:v>
                </c:pt>
                <c:pt idx="12">
                  <c:v>400</c:v>
                </c:pt>
                <c:pt idx="13">
                  <c:v>300</c:v>
                </c:pt>
                <c:pt idx="14">
                  <c:v>150</c:v>
                </c:pt>
                <c:pt idx="15">
                  <c:v>150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300</c:v>
                </c:pt>
                <c:pt idx="20">
                  <c:v>200</c:v>
                </c:pt>
                <c:pt idx="21">
                  <c:v>200</c:v>
                </c:pt>
                <c:pt idx="23">
                  <c:v>400</c:v>
                </c:pt>
                <c:pt idx="24">
                  <c:v>300</c:v>
                </c:pt>
                <c:pt idx="25">
                  <c:v>400</c:v>
                </c:pt>
                <c:pt idx="26">
                  <c:v>150</c:v>
                </c:pt>
                <c:pt idx="27">
                  <c:v>150</c:v>
                </c:pt>
                <c:pt idx="28">
                  <c:v>200</c:v>
                </c:pt>
                <c:pt idx="29">
                  <c:v>250</c:v>
                </c:pt>
                <c:pt idx="30">
                  <c:v>450</c:v>
                </c:pt>
                <c:pt idx="31">
                  <c:v>150</c:v>
                </c:pt>
                <c:pt idx="32">
                  <c:v>300</c:v>
                </c:pt>
                <c:pt idx="33">
                  <c:v>150</c:v>
                </c:pt>
                <c:pt idx="34">
                  <c:v>800</c:v>
                </c:pt>
                <c:pt idx="35">
                  <c:v>500</c:v>
                </c:pt>
                <c:pt idx="36">
                  <c:v>750</c:v>
                </c:pt>
                <c:pt idx="37">
                  <c:v>200</c:v>
                </c:pt>
                <c:pt idx="38">
                  <c:v>300</c:v>
                </c:pt>
                <c:pt idx="39">
                  <c:v>300</c:v>
                </c:pt>
                <c:pt idx="40">
                  <c:v>250</c:v>
                </c:pt>
                <c:pt idx="41">
                  <c:v>200</c:v>
                </c:pt>
                <c:pt idx="42">
                  <c:v>150</c:v>
                </c:pt>
                <c:pt idx="43">
                  <c:v>200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200</c:v>
                </c:pt>
                <c:pt idx="50">
                  <c:v>150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9C-4543-A322-0B498E40DF6C}"/>
            </c:ext>
          </c:extLst>
        </c:ser>
        <c:ser>
          <c:idx val="1"/>
          <c:order val="1"/>
          <c:tx>
            <c:v>Capacity After Failure</c:v>
          </c:tx>
          <c:invertIfNegative val="0"/>
          <c:cat>
            <c:multiLvlStrRef>
              <c:f>'Shut-off lambda'!$A$3:$B$56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'Shut-off lambda'!$L$3:$L$56</c:f>
              <c:numCache>
                <c:formatCode>General</c:formatCode>
                <c:ptCount val="5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450</c:v>
                </c:pt>
                <c:pt idx="4">
                  <c:v>150</c:v>
                </c:pt>
                <c:pt idx="5">
                  <c:v>150</c:v>
                </c:pt>
                <c:pt idx="6">
                  <c:v>250</c:v>
                </c:pt>
                <c:pt idx="7">
                  <c:v>150</c:v>
                </c:pt>
                <c:pt idx="8">
                  <c:v>300</c:v>
                </c:pt>
                <c:pt idx="9">
                  <c:v>200</c:v>
                </c:pt>
                <c:pt idx="10">
                  <c:v>150</c:v>
                </c:pt>
                <c:pt idx="12">
                  <c:v>600</c:v>
                </c:pt>
                <c:pt idx="13">
                  <c:v>250</c:v>
                </c:pt>
                <c:pt idx="14">
                  <c:v>150</c:v>
                </c:pt>
                <c:pt idx="15">
                  <c:v>150</c:v>
                </c:pt>
                <c:pt idx="16">
                  <c:v>200</c:v>
                </c:pt>
                <c:pt idx="17">
                  <c:v>150</c:v>
                </c:pt>
                <c:pt idx="18">
                  <c:v>150</c:v>
                </c:pt>
                <c:pt idx="19">
                  <c:v>300</c:v>
                </c:pt>
                <c:pt idx="20">
                  <c:v>150</c:v>
                </c:pt>
                <c:pt idx="21">
                  <c:v>150</c:v>
                </c:pt>
                <c:pt idx="23">
                  <c:v>300</c:v>
                </c:pt>
                <c:pt idx="24">
                  <c:v>300</c:v>
                </c:pt>
                <c:pt idx="25">
                  <c:v>400</c:v>
                </c:pt>
                <c:pt idx="26">
                  <c:v>150</c:v>
                </c:pt>
                <c:pt idx="27">
                  <c:v>100</c:v>
                </c:pt>
                <c:pt idx="28">
                  <c:v>150</c:v>
                </c:pt>
                <c:pt idx="29">
                  <c:v>250</c:v>
                </c:pt>
                <c:pt idx="30">
                  <c:v>450</c:v>
                </c:pt>
                <c:pt idx="31">
                  <c:v>150</c:v>
                </c:pt>
                <c:pt idx="32">
                  <c:v>300</c:v>
                </c:pt>
                <c:pt idx="33">
                  <c:v>150</c:v>
                </c:pt>
                <c:pt idx="34">
                  <c:v>800</c:v>
                </c:pt>
                <c:pt idx="35">
                  <c:v>300</c:v>
                </c:pt>
                <c:pt idx="36">
                  <c:v>450</c:v>
                </c:pt>
                <c:pt idx="37">
                  <c:v>150</c:v>
                </c:pt>
                <c:pt idx="38">
                  <c:v>300</c:v>
                </c:pt>
                <c:pt idx="39">
                  <c:v>300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200</c:v>
                </c:pt>
                <c:pt idx="50">
                  <c:v>150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9C-4543-A322-0B498E40D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538560"/>
        <c:axId val="179057024"/>
      </c:barChart>
      <c:catAx>
        <c:axId val="179538560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79057024"/>
        <c:crosses val="autoZero"/>
        <c:auto val="1"/>
        <c:lblAlgn val="ctr"/>
        <c:lblOffset val="100"/>
        <c:noMultiLvlLbl val="0"/>
      </c:catAx>
      <c:valAx>
        <c:axId val="179057024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53856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Free Capacities Before and After Failure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Free Capacity Before Failure</c:v>
          </c:tx>
          <c:invertIfNegative val="0"/>
          <c:cat>
            <c:multiLvlStrRef>
              <c:f>'US-EP'!$A$3:$B$56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'US-EP'!$I$3:$I$56</c:f>
              <c:numCache>
                <c:formatCode>General</c:formatCode>
                <c:ptCount val="54"/>
                <c:pt idx="0">
                  <c:v>134.023</c:v>
                </c:pt>
                <c:pt idx="1">
                  <c:v>160.12074999999999</c:v>
                </c:pt>
                <c:pt idx="2">
                  <c:v>99.23814999999999</c:v>
                </c:pt>
                <c:pt idx="3">
                  <c:v>153.30500000000001</c:v>
                </c:pt>
                <c:pt idx="4">
                  <c:v>167.23000000000002</c:v>
                </c:pt>
                <c:pt idx="5">
                  <c:v>99.23814999999999</c:v>
                </c:pt>
                <c:pt idx="6">
                  <c:v>134.98140000000001</c:v>
                </c:pt>
                <c:pt idx="7">
                  <c:v>99.944999999999993</c:v>
                </c:pt>
                <c:pt idx="8">
                  <c:v>91.926099999999991</c:v>
                </c:pt>
                <c:pt idx="9">
                  <c:v>39.610000000000014</c:v>
                </c:pt>
                <c:pt idx="10">
                  <c:v>188.82499999999999</c:v>
                </c:pt>
                <c:pt idx="12">
                  <c:v>192.74625</c:v>
                </c:pt>
                <c:pt idx="13">
                  <c:v>175.4699</c:v>
                </c:pt>
                <c:pt idx="14">
                  <c:v>57.282899999999998</c:v>
                </c:pt>
                <c:pt idx="15">
                  <c:v>43.075850000000003</c:v>
                </c:pt>
                <c:pt idx="16">
                  <c:v>39.60915</c:v>
                </c:pt>
                <c:pt idx="17">
                  <c:v>188.82499999999999</c:v>
                </c:pt>
                <c:pt idx="18">
                  <c:v>99.943899999999999</c:v>
                </c:pt>
                <c:pt idx="19">
                  <c:v>91.926099999999991</c:v>
                </c:pt>
                <c:pt idx="20">
                  <c:v>187.9485</c:v>
                </c:pt>
                <c:pt idx="21">
                  <c:v>188.82499999999999</c:v>
                </c:pt>
                <c:pt idx="23">
                  <c:v>67.74290000000002</c:v>
                </c:pt>
                <c:pt idx="24">
                  <c:v>87.665850000000006</c:v>
                </c:pt>
                <c:pt idx="25">
                  <c:v>192.74625</c:v>
                </c:pt>
                <c:pt idx="26">
                  <c:v>57.282899999999998</c:v>
                </c:pt>
                <c:pt idx="27">
                  <c:v>43.075850000000003</c:v>
                </c:pt>
                <c:pt idx="28">
                  <c:v>39.60915</c:v>
                </c:pt>
                <c:pt idx="29">
                  <c:v>111.21289999999999</c:v>
                </c:pt>
                <c:pt idx="30">
                  <c:v>153.30500000000001</c:v>
                </c:pt>
                <c:pt idx="31">
                  <c:v>57.282899999999998</c:v>
                </c:pt>
                <c:pt idx="32">
                  <c:v>54.262149999999991</c:v>
                </c:pt>
                <c:pt idx="33">
                  <c:v>43.075850000000003</c:v>
                </c:pt>
                <c:pt idx="34">
                  <c:v>224.33600000000001</c:v>
                </c:pt>
                <c:pt idx="35">
                  <c:v>110.23835000000003</c:v>
                </c:pt>
                <c:pt idx="36">
                  <c:v>306.92275000000001</c:v>
                </c:pt>
                <c:pt idx="37">
                  <c:v>83.096500000000006</c:v>
                </c:pt>
                <c:pt idx="38">
                  <c:v>91.926099999999991</c:v>
                </c:pt>
                <c:pt idx="39">
                  <c:v>87.665850000000006</c:v>
                </c:pt>
                <c:pt idx="40">
                  <c:v>209.83166499999999</c:v>
                </c:pt>
                <c:pt idx="41">
                  <c:v>166.379085</c:v>
                </c:pt>
                <c:pt idx="42">
                  <c:v>62.040400000000005</c:v>
                </c:pt>
                <c:pt idx="43">
                  <c:v>142.44284999999999</c:v>
                </c:pt>
                <c:pt idx="44">
                  <c:v>106.21575</c:v>
                </c:pt>
                <c:pt idx="45">
                  <c:v>126.91800000000001</c:v>
                </c:pt>
                <c:pt idx="46">
                  <c:v>62.040400000000005</c:v>
                </c:pt>
                <c:pt idx="47">
                  <c:v>126.91800000000001</c:v>
                </c:pt>
                <c:pt idx="48">
                  <c:v>126.91800000000001</c:v>
                </c:pt>
                <c:pt idx="49">
                  <c:v>131.56234999999998</c:v>
                </c:pt>
                <c:pt idx="50">
                  <c:v>106.21575</c:v>
                </c:pt>
                <c:pt idx="51">
                  <c:v>183.35083499999999</c:v>
                </c:pt>
                <c:pt idx="52">
                  <c:v>83.096500000000006</c:v>
                </c:pt>
                <c:pt idx="53">
                  <c:v>131.56234999999998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23-42D1-8C42-6C3579A92841}"/>
            </c:ext>
          </c:extLst>
        </c:ser>
        <c:ser>
          <c:idx val="1"/>
          <c:order val="1"/>
          <c:tx>
            <c:v>Free Capacity After Failure</c:v>
          </c:tx>
          <c:invertIfNegative val="0"/>
          <c:cat>
            <c:multiLvlStrRef>
              <c:f>'US-EP'!$A$3:$B$56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'US-EP'!$O$3:$O$56</c:f>
              <c:numCache>
                <c:formatCode>General</c:formatCode>
                <c:ptCount val="54"/>
                <c:pt idx="0">
                  <c:v>84.022999999999996</c:v>
                </c:pt>
                <c:pt idx="1">
                  <c:v>110.12075</c:v>
                </c:pt>
                <c:pt idx="2">
                  <c:v>99.23814999999999</c:v>
                </c:pt>
                <c:pt idx="3">
                  <c:v>153.30500000000001</c:v>
                </c:pt>
                <c:pt idx="4">
                  <c:v>67.23</c:v>
                </c:pt>
                <c:pt idx="5">
                  <c:v>99.23814999999999</c:v>
                </c:pt>
                <c:pt idx="6">
                  <c:v>84.981400000000008</c:v>
                </c:pt>
                <c:pt idx="7">
                  <c:v>49.944999999999993</c:v>
                </c:pt>
                <c:pt idx="8">
                  <c:v>91.926099999999991</c:v>
                </c:pt>
                <c:pt idx="9">
                  <c:v>39.610000000000014</c:v>
                </c:pt>
                <c:pt idx="10">
                  <c:v>138.82499999999999</c:v>
                </c:pt>
                <c:pt idx="12">
                  <c:v>392.74625000000003</c:v>
                </c:pt>
                <c:pt idx="13">
                  <c:v>125.4699</c:v>
                </c:pt>
                <c:pt idx="14">
                  <c:v>57.282899999999998</c:v>
                </c:pt>
                <c:pt idx="15">
                  <c:v>43.075850000000003</c:v>
                </c:pt>
                <c:pt idx="16">
                  <c:v>39.60915</c:v>
                </c:pt>
                <c:pt idx="17">
                  <c:v>138.82499999999999</c:v>
                </c:pt>
                <c:pt idx="18">
                  <c:v>99.943899999999999</c:v>
                </c:pt>
                <c:pt idx="19">
                  <c:v>91.926099999999991</c:v>
                </c:pt>
                <c:pt idx="20">
                  <c:v>137.9485</c:v>
                </c:pt>
                <c:pt idx="21">
                  <c:v>138.82499999999999</c:v>
                </c:pt>
                <c:pt idx="23">
                  <c:v>-32.25709999999998</c:v>
                </c:pt>
                <c:pt idx="24">
                  <c:v>87.665850000000006</c:v>
                </c:pt>
                <c:pt idx="25">
                  <c:v>192.74625</c:v>
                </c:pt>
                <c:pt idx="26">
                  <c:v>57.282899999999998</c:v>
                </c:pt>
                <c:pt idx="27">
                  <c:v>-6.9241499999999974</c:v>
                </c:pt>
                <c:pt idx="28">
                  <c:v>-10.39085</c:v>
                </c:pt>
                <c:pt idx="29">
                  <c:v>111.21289999999999</c:v>
                </c:pt>
                <c:pt idx="30">
                  <c:v>153.30500000000001</c:v>
                </c:pt>
                <c:pt idx="31">
                  <c:v>57.282899999999998</c:v>
                </c:pt>
                <c:pt idx="32">
                  <c:v>54.262149999999991</c:v>
                </c:pt>
                <c:pt idx="33">
                  <c:v>43.075850000000003</c:v>
                </c:pt>
                <c:pt idx="34">
                  <c:v>224.33600000000001</c:v>
                </c:pt>
                <c:pt idx="35">
                  <c:v>-89.761649999999975</c:v>
                </c:pt>
                <c:pt idx="36">
                  <c:v>6.9227500000000077</c:v>
                </c:pt>
                <c:pt idx="37">
                  <c:v>33.096500000000006</c:v>
                </c:pt>
                <c:pt idx="38">
                  <c:v>91.926099999999991</c:v>
                </c:pt>
                <c:pt idx="39">
                  <c:v>87.665850000000006</c:v>
                </c:pt>
                <c:pt idx="40">
                  <c:v>109.831665</c:v>
                </c:pt>
                <c:pt idx="41">
                  <c:v>116.379085</c:v>
                </c:pt>
                <c:pt idx="42">
                  <c:v>62.040400000000005</c:v>
                </c:pt>
                <c:pt idx="43">
                  <c:v>92.442849999999993</c:v>
                </c:pt>
                <c:pt idx="44">
                  <c:v>106.21575</c:v>
                </c:pt>
                <c:pt idx="45">
                  <c:v>126.91800000000001</c:v>
                </c:pt>
                <c:pt idx="46">
                  <c:v>62.040400000000005</c:v>
                </c:pt>
                <c:pt idx="47">
                  <c:v>126.91800000000001</c:v>
                </c:pt>
                <c:pt idx="48">
                  <c:v>126.91800000000001</c:v>
                </c:pt>
                <c:pt idx="49">
                  <c:v>131.56234999999998</c:v>
                </c:pt>
                <c:pt idx="50">
                  <c:v>106.21575</c:v>
                </c:pt>
                <c:pt idx="51">
                  <c:v>183.35083499999999</c:v>
                </c:pt>
                <c:pt idx="52">
                  <c:v>83.096500000000006</c:v>
                </c:pt>
                <c:pt idx="53">
                  <c:v>131.56234999999998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23-42D1-8C42-6C3579A92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634624"/>
        <c:axId val="190636416"/>
      </c:barChart>
      <c:catAx>
        <c:axId val="190634624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90636416"/>
        <c:crosses val="autoZero"/>
        <c:auto val="1"/>
        <c:lblAlgn val="ctr"/>
        <c:lblOffset val="100"/>
        <c:noMultiLvlLbl val="0"/>
      </c:catAx>
      <c:valAx>
        <c:axId val="190636416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Free Capacity</a:t>
                </a:r>
                <a:r>
                  <a:rPr lang="en-US" baseline="0"/>
                  <a:t> </a:t>
                </a:r>
                <a:r>
                  <a:rPr lang="en-US"/>
                  <a:t>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63462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Capacities Before and After Failure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Capacity Before Failure</c:v>
          </c:tx>
          <c:invertIfNegative val="0"/>
          <c:cat>
            <c:multiLvlStrRef>
              <c:f>'US-EP'!$A$3:$B$56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'US-EP'!$E$3:$E$56</c:f>
              <c:numCache>
                <c:formatCode>General</c:formatCode>
                <c:ptCount val="54"/>
                <c:pt idx="0">
                  <c:v>200</c:v>
                </c:pt>
                <c:pt idx="1">
                  <c:v>200</c:v>
                </c:pt>
                <c:pt idx="2">
                  <c:v>150</c:v>
                </c:pt>
                <c:pt idx="3">
                  <c:v>450</c:v>
                </c:pt>
                <c:pt idx="4">
                  <c:v>250</c:v>
                </c:pt>
                <c:pt idx="5">
                  <c:v>150</c:v>
                </c:pt>
                <c:pt idx="6">
                  <c:v>300</c:v>
                </c:pt>
                <c:pt idx="7">
                  <c:v>200</c:v>
                </c:pt>
                <c:pt idx="8">
                  <c:v>300</c:v>
                </c:pt>
                <c:pt idx="9">
                  <c:v>200</c:v>
                </c:pt>
                <c:pt idx="10">
                  <c:v>200</c:v>
                </c:pt>
                <c:pt idx="12">
                  <c:v>400</c:v>
                </c:pt>
                <c:pt idx="13">
                  <c:v>300</c:v>
                </c:pt>
                <c:pt idx="14">
                  <c:v>150</c:v>
                </c:pt>
                <c:pt idx="15">
                  <c:v>150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300</c:v>
                </c:pt>
                <c:pt idx="20">
                  <c:v>200</c:v>
                </c:pt>
                <c:pt idx="21">
                  <c:v>200</c:v>
                </c:pt>
                <c:pt idx="23">
                  <c:v>400</c:v>
                </c:pt>
                <c:pt idx="24">
                  <c:v>300</c:v>
                </c:pt>
                <c:pt idx="25">
                  <c:v>400</c:v>
                </c:pt>
                <c:pt idx="26">
                  <c:v>150</c:v>
                </c:pt>
                <c:pt idx="27">
                  <c:v>150</c:v>
                </c:pt>
                <c:pt idx="28">
                  <c:v>200</c:v>
                </c:pt>
                <c:pt idx="29">
                  <c:v>250</c:v>
                </c:pt>
                <c:pt idx="30">
                  <c:v>450</c:v>
                </c:pt>
                <c:pt idx="31">
                  <c:v>150</c:v>
                </c:pt>
                <c:pt idx="32">
                  <c:v>300</c:v>
                </c:pt>
                <c:pt idx="33">
                  <c:v>150</c:v>
                </c:pt>
                <c:pt idx="34">
                  <c:v>800</c:v>
                </c:pt>
                <c:pt idx="35">
                  <c:v>500</c:v>
                </c:pt>
                <c:pt idx="36">
                  <c:v>750</c:v>
                </c:pt>
                <c:pt idx="37">
                  <c:v>200</c:v>
                </c:pt>
                <c:pt idx="38">
                  <c:v>300</c:v>
                </c:pt>
                <c:pt idx="39">
                  <c:v>300</c:v>
                </c:pt>
                <c:pt idx="40">
                  <c:v>250</c:v>
                </c:pt>
                <c:pt idx="41">
                  <c:v>200</c:v>
                </c:pt>
                <c:pt idx="42">
                  <c:v>150</c:v>
                </c:pt>
                <c:pt idx="43">
                  <c:v>200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200</c:v>
                </c:pt>
                <c:pt idx="50">
                  <c:v>150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22-4B47-94FB-7EB3BB5B2713}"/>
            </c:ext>
          </c:extLst>
        </c:ser>
        <c:ser>
          <c:idx val="1"/>
          <c:order val="1"/>
          <c:tx>
            <c:v>Capacity After Failure</c:v>
          </c:tx>
          <c:invertIfNegative val="0"/>
          <c:cat>
            <c:multiLvlStrRef>
              <c:f>'US-EP'!$A$3:$B$56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'US-EP'!$M$3:$M$56</c:f>
              <c:numCache>
                <c:formatCode>General</c:formatCode>
                <c:ptCount val="5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450</c:v>
                </c:pt>
                <c:pt idx="4">
                  <c:v>150</c:v>
                </c:pt>
                <c:pt idx="5">
                  <c:v>150</c:v>
                </c:pt>
                <c:pt idx="6">
                  <c:v>250</c:v>
                </c:pt>
                <c:pt idx="7">
                  <c:v>150</c:v>
                </c:pt>
                <c:pt idx="8">
                  <c:v>300</c:v>
                </c:pt>
                <c:pt idx="9">
                  <c:v>200</c:v>
                </c:pt>
                <c:pt idx="10">
                  <c:v>150</c:v>
                </c:pt>
                <c:pt idx="12">
                  <c:v>600</c:v>
                </c:pt>
                <c:pt idx="13">
                  <c:v>250</c:v>
                </c:pt>
                <c:pt idx="14">
                  <c:v>150</c:v>
                </c:pt>
                <c:pt idx="15">
                  <c:v>150</c:v>
                </c:pt>
                <c:pt idx="16">
                  <c:v>200</c:v>
                </c:pt>
                <c:pt idx="17">
                  <c:v>150</c:v>
                </c:pt>
                <c:pt idx="18">
                  <c:v>200</c:v>
                </c:pt>
                <c:pt idx="19">
                  <c:v>300</c:v>
                </c:pt>
                <c:pt idx="20">
                  <c:v>150</c:v>
                </c:pt>
                <c:pt idx="21">
                  <c:v>150</c:v>
                </c:pt>
                <c:pt idx="23">
                  <c:v>300</c:v>
                </c:pt>
                <c:pt idx="24">
                  <c:v>300</c:v>
                </c:pt>
                <c:pt idx="25">
                  <c:v>400</c:v>
                </c:pt>
                <c:pt idx="26">
                  <c:v>150</c:v>
                </c:pt>
                <c:pt idx="27">
                  <c:v>100</c:v>
                </c:pt>
                <c:pt idx="28">
                  <c:v>150</c:v>
                </c:pt>
                <c:pt idx="29">
                  <c:v>250</c:v>
                </c:pt>
                <c:pt idx="30">
                  <c:v>450</c:v>
                </c:pt>
                <c:pt idx="31">
                  <c:v>150</c:v>
                </c:pt>
                <c:pt idx="32">
                  <c:v>300</c:v>
                </c:pt>
                <c:pt idx="33">
                  <c:v>150</c:v>
                </c:pt>
                <c:pt idx="34">
                  <c:v>800</c:v>
                </c:pt>
                <c:pt idx="35">
                  <c:v>300</c:v>
                </c:pt>
                <c:pt idx="36">
                  <c:v>450</c:v>
                </c:pt>
                <c:pt idx="37">
                  <c:v>150</c:v>
                </c:pt>
                <c:pt idx="38">
                  <c:v>300</c:v>
                </c:pt>
                <c:pt idx="39">
                  <c:v>300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200</c:v>
                </c:pt>
                <c:pt idx="50">
                  <c:v>150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22-4B47-94FB-7EB3BB5B2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168192"/>
        <c:axId val="180169728"/>
      </c:barChart>
      <c:catAx>
        <c:axId val="180168192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80169728"/>
        <c:crosses val="autoZero"/>
        <c:auto val="1"/>
        <c:lblAlgn val="ctr"/>
        <c:lblOffset val="100"/>
        <c:noMultiLvlLbl val="0"/>
      </c:catAx>
      <c:valAx>
        <c:axId val="180169728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16819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'US-EP'!$U$26</c:f>
              <c:strCache>
                <c:ptCount val="1"/>
                <c:pt idx="0">
                  <c:v>Extra Capacity Needed(G)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'US-EP'!$T$27:$T$30</c:f>
              <c:strCache>
                <c:ptCount val="4"/>
                <c:pt idx="1">
                  <c:v>F - H</c:v>
                </c:pt>
                <c:pt idx="2">
                  <c:v>F - N</c:v>
                </c:pt>
                <c:pt idx="3">
                  <c:v>Total </c:v>
                </c:pt>
              </c:strCache>
            </c:strRef>
          </c:cat>
          <c:val>
            <c:numRef>
              <c:f>'US-EP'!$U$27:$U$30</c:f>
              <c:numCache>
                <c:formatCode>General</c:formatCode>
                <c:ptCount val="4"/>
                <c:pt idx="1">
                  <c:v>11</c:v>
                </c:pt>
                <c:pt idx="2">
                  <c:v>47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D-4884-8442-B262FDC4A5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0570880"/>
        <c:axId val="190572416"/>
      </c:barChart>
      <c:catAx>
        <c:axId val="190570880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90572416"/>
        <c:crosses val="autoZero"/>
        <c:auto val="1"/>
        <c:lblAlgn val="ctr"/>
        <c:lblOffset val="100"/>
        <c:noMultiLvlLbl val="0"/>
      </c:catAx>
      <c:valAx>
        <c:axId val="190572416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570880"/>
        <c:crosses val="autoZero"/>
        <c:crossBetween val="between"/>
      </c:valAx>
    </c:plotArea>
    <c:legend>
      <c:legendPos val="l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Free Capacities Before and After Failure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Free Capacity Before Failure</c:v>
          </c:tx>
          <c:invertIfNegative val="0"/>
          <c:cat>
            <c:multiLvlStrRef>
              <c:f>'US-UP'!$A$3:$B$56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'US-UP'!$I$3:$I$56</c:f>
              <c:numCache>
                <c:formatCode>General</c:formatCode>
                <c:ptCount val="54"/>
                <c:pt idx="0">
                  <c:v>134.023</c:v>
                </c:pt>
                <c:pt idx="1">
                  <c:v>160.12074999999999</c:v>
                </c:pt>
                <c:pt idx="2">
                  <c:v>99.23814999999999</c:v>
                </c:pt>
                <c:pt idx="3">
                  <c:v>153.30500000000001</c:v>
                </c:pt>
                <c:pt idx="4">
                  <c:v>167.23000000000002</c:v>
                </c:pt>
                <c:pt idx="5">
                  <c:v>99.23814999999999</c:v>
                </c:pt>
                <c:pt idx="6">
                  <c:v>134.98140000000001</c:v>
                </c:pt>
                <c:pt idx="7">
                  <c:v>99.944999999999993</c:v>
                </c:pt>
                <c:pt idx="8">
                  <c:v>91.926099999999991</c:v>
                </c:pt>
                <c:pt idx="9">
                  <c:v>39.610000000000014</c:v>
                </c:pt>
                <c:pt idx="10">
                  <c:v>188.82499999999999</c:v>
                </c:pt>
                <c:pt idx="12">
                  <c:v>192.74625</c:v>
                </c:pt>
                <c:pt idx="13">
                  <c:v>175.4699</c:v>
                </c:pt>
                <c:pt idx="14">
                  <c:v>57.282899999999998</c:v>
                </c:pt>
                <c:pt idx="15">
                  <c:v>43.075850000000003</c:v>
                </c:pt>
                <c:pt idx="16">
                  <c:v>39.60915</c:v>
                </c:pt>
                <c:pt idx="17">
                  <c:v>188.82499999999999</c:v>
                </c:pt>
                <c:pt idx="18">
                  <c:v>99.943899999999999</c:v>
                </c:pt>
                <c:pt idx="19">
                  <c:v>91.926099999999991</c:v>
                </c:pt>
                <c:pt idx="20">
                  <c:v>187.9485</c:v>
                </c:pt>
                <c:pt idx="21">
                  <c:v>188.82499999999999</c:v>
                </c:pt>
                <c:pt idx="23">
                  <c:v>67.74290000000002</c:v>
                </c:pt>
                <c:pt idx="24">
                  <c:v>87.665850000000006</c:v>
                </c:pt>
                <c:pt idx="25">
                  <c:v>192.74625</c:v>
                </c:pt>
                <c:pt idx="26">
                  <c:v>57.282899999999998</c:v>
                </c:pt>
                <c:pt idx="27">
                  <c:v>43.075850000000003</c:v>
                </c:pt>
                <c:pt idx="28">
                  <c:v>39.60915</c:v>
                </c:pt>
                <c:pt idx="29">
                  <c:v>111.21289999999999</c:v>
                </c:pt>
                <c:pt idx="30">
                  <c:v>153.30500000000001</c:v>
                </c:pt>
                <c:pt idx="31">
                  <c:v>57.282899999999998</c:v>
                </c:pt>
                <c:pt idx="32">
                  <c:v>54.262149999999991</c:v>
                </c:pt>
                <c:pt idx="33">
                  <c:v>43.075850000000003</c:v>
                </c:pt>
                <c:pt idx="34">
                  <c:v>224.33600000000001</c:v>
                </c:pt>
                <c:pt idx="35">
                  <c:v>110.23835000000003</c:v>
                </c:pt>
                <c:pt idx="36">
                  <c:v>306.92275000000001</c:v>
                </c:pt>
                <c:pt idx="37">
                  <c:v>83.096500000000006</c:v>
                </c:pt>
                <c:pt idx="38">
                  <c:v>91.926099999999991</c:v>
                </c:pt>
                <c:pt idx="39">
                  <c:v>87.665850000000006</c:v>
                </c:pt>
                <c:pt idx="40">
                  <c:v>209.83166499999999</c:v>
                </c:pt>
                <c:pt idx="41">
                  <c:v>166.379085</c:v>
                </c:pt>
                <c:pt idx="42">
                  <c:v>62.040400000000005</c:v>
                </c:pt>
                <c:pt idx="43">
                  <c:v>142.44284999999999</c:v>
                </c:pt>
                <c:pt idx="44">
                  <c:v>106.21575</c:v>
                </c:pt>
                <c:pt idx="45">
                  <c:v>126.91800000000001</c:v>
                </c:pt>
                <c:pt idx="46">
                  <c:v>62.040400000000005</c:v>
                </c:pt>
                <c:pt idx="47">
                  <c:v>126.91800000000001</c:v>
                </c:pt>
                <c:pt idx="48">
                  <c:v>126.91800000000001</c:v>
                </c:pt>
                <c:pt idx="49">
                  <c:v>131.56234999999998</c:v>
                </c:pt>
                <c:pt idx="50">
                  <c:v>106.21575</c:v>
                </c:pt>
                <c:pt idx="51">
                  <c:v>183.35083499999999</c:v>
                </c:pt>
                <c:pt idx="52">
                  <c:v>83.096500000000006</c:v>
                </c:pt>
                <c:pt idx="53">
                  <c:v>131.56234999999998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06-41DC-8017-8CCFF5A8B955}"/>
            </c:ext>
          </c:extLst>
        </c:ser>
        <c:ser>
          <c:idx val="1"/>
          <c:order val="1"/>
          <c:tx>
            <c:v>Free Capacity After Failure</c:v>
          </c:tx>
          <c:invertIfNegative val="0"/>
          <c:cat>
            <c:multiLvlStrRef>
              <c:f>'US-UP'!$A$3:$B$56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'US-UP'!$O$3:$O$56</c:f>
              <c:numCache>
                <c:formatCode>General</c:formatCode>
                <c:ptCount val="54"/>
                <c:pt idx="0">
                  <c:v>84.022999999999996</c:v>
                </c:pt>
                <c:pt idx="1">
                  <c:v>110.12075</c:v>
                </c:pt>
                <c:pt idx="2">
                  <c:v>99.23814999999999</c:v>
                </c:pt>
                <c:pt idx="3">
                  <c:v>153.30500000000001</c:v>
                </c:pt>
                <c:pt idx="4">
                  <c:v>67.23</c:v>
                </c:pt>
                <c:pt idx="5">
                  <c:v>99.23814999999999</c:v>
                </c:pt>
                <c:pt idx="6">
                  <c:v>84.981400000000008</c:v>
                </c:pt>
                <c:pt idx="7">
                  <c:v>49.944999999999993</c:v>
                </c:pt>
                <c:pt idx="8">
                  <c:v>91.926099999999991</c:v>
                </c:pt>
                <c:pt idx="9">
                  <c:v>39.610000000000014</c:v>
                </c:pt>
                <c:pt idx="10">
                  <c:v>138.82499999999999</c:v>
                </c:pt>
                <c:pt idx="12">
                  <c:v>392.74625000000003</c:v>
                </c:pt>
                <c:pt idx="13">
                  <c:v>125.4699</c:v>
                </c:pt>
                <c:pt idx="14">
                  <c:v>57.282899999999998</c:v>
                </c:pt>
                <c:pt idx="15">
                  <c:v>43.075850000000003</c:v>
                </c:pt>
                <c:pt idx="16">
                  <c:v>39.60915</c:v>
                </c:pt>
                <c:pt idx="17">
                  <c:v>138.82499999999999</c:v>
                </c:pt>
                <c:pt idx="18">
                  <c:v>99.943899999999999</c:v>
                </c:pt>
                <c:pt idx="19">
                  <c:v>91.926099999999991</c:v>
                </c:pt>
                <c:pt idx="20">
                  <c:v>137.9485</c:v>
                </c:pt>
                <c:pt idx="21">
                  <c:v>138.82499999999999</c:v>
                </c:pt>
                <c:pt idx="23">
                  <c:v>-32.25709999999998</c:v>
                </c:pt>
                <c:pt idx="24">
                  <c:v>87.665850000000006</c:v>
                </c:pt>
                <c:pt idx="25">
                  <c:v>192.74625</c:v>
                </c:pt>
                <c:pt idx="26">
                  <c:v>57.282899999999998</c:v>
                </c:pt>
                <c:pt idx="27">
                  <c:v>-6.9241499999999974</c:v>
                </c:pt>
                <c:pt idx="28">
                  <c:v>-10.39085</c:v>
                </c:pt>
                <c:pt idx="29">
                  <c:v>111.21289999999999</c:v>
                </c:pt>
                <c:pt idx="30">
                  <c:v>153.30500000000001</c:v>
                </c:pt>
                <c:pt idx="31">
                  <c:v>57.282899999999998</c:v>
                </c:pt>
                <c:pt idx="32">
                  <c:v>54.262149999999991</c:v>
                </c:pt>
                <c:pt idx="33">
                  <c:v>43.075850000000003</c:v>
                </c:pt>
                <c:pt idx="34">
                  <c:v>224.33600000000001</c:v>
                </c:pt>
                <c:pt idx="35">
                  <c:v>-89.761649999999975</c:v>
                </c:pt>
                <c:pt idx="36">
                  <c:v>6.9227500000000077</c:v>
                </c:pt>
                <c:pt idx="37">
                  <c:v>33.096500000000006</c:v>
                </c:pt>
                <c:pt idx="38">
                  <c:v>91.926099999999991</c:v>
                </c:pt>
                <c:pt idx="39">
                  <c:v>87.665850000000006</c:v>
                </c:pt>
                <c:pt idx="40">
                  <c:v>109.831665</c:v>
                </c:pt>
                <c:pt idx="41">
                  <c:v>116.379085</c:v>
                </c:pt>
                <c:pt idx="42">
                  <c:v>62.040400000000005</c:v>
                </c:pt>
                <c:pt idx="43">
                  <c:v>92.442849999999993</c:v>
                </c:pt>
                <c:pt idx="44">
                  <c:v>106.21575</c:v>
                </c:pt>
                <c:pt idx="45">
                  <c:v>126.91800000000001</c:v>
                </c:pt>
                <c:pt idx="46">
                  <c:v>62.040400000000005</c:v>
                </c:pt>
                <c:pt idx="47">
                  <c:v>126.91800000000001</c:v>
                </c:pt>
                <c:pt idx="48">
                  <c:v>126.91800000000001</c:v>
                </c:pt>
                <c:pt idx="49">
                  <c:v>131.56234999999998</c:v>
                </c:pt>
                <c:pt idx="50">
                  <c:v>106.21575</c:v>
                </c:pt>
                <c:pt idx="51">
                  <c:v>183.35083499999999</c:v>
                </c:pt>
                <c:pt idx="52">
                  <c:v>83.096500000000006</c:v>
                </c:pt>
                <c:pt idx="53">
                  <c:v>131.56234999999998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06-41DC-8017-8CCFF5A8B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024512"/>
        <c:axId val="191206528"/>
      </c:barChart>
      <c:catAx>
        <c:axId val="191024512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91206528"/>
        <c:crosses val="autoZero"/>
        <c:auto val="1"/>
        <c:lblAlgn val="ctr"/>
        <c:lblOffset val="100"/>
        <c:noMultiLvlLbl val="0"/>
      </c:catAx>
      <c:valAx>
        <c:axId val="191206528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Free Capacity</a:t>
                </a:r>
                <a:r>
                  <a:rPr lang="en-US" baseline="0"/>
                  <a:t> </a:t>
                </a:r>
                <a:r>
                  <a:rPr lang="en-US"/>
                  <a:t>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02451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Capacities Before and After Failure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Capacity Before Failure</c:v>
          </c:tx>
          <c:invertIfNegative val="0"/>
          <c:cat>
            <c:multiLvlStrRef>
              <c:f>'US-UP'!$A$3:$B$56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'US-UP'!$E$3:$E$56</c:f>
              <c:numCache>
                <c:formatCode>General</c:formatCode>
                <c:ptCount val="54"/>
                <c:pt idx="0">
                  <c:v>200</c:v>
                </c:pt>
                <c:pt idx="1">
                  <c:v>200</c:v>
                </c:pt>
                <c:pt idx="2">
                  <c:v>150</c:v>
                </c:pt>
                <c:pt idx="3">
                  <c:v>450</c:v>
                </c:pt>
                <c:pt idx="4">
                  <c:v>250</c:v>
                </c:pt>
                <c:pt idx="5">
                  <c:v>150</c:v>
                </c:pt>
                <c:pt idx="6">
                  <c:v>300</c:v>
                </c:pt>
                <c:pt idx="7">
                  <c:v>200</c:v>
                </c:pt>
                <c:pt idx="8">
                  <c:v>300</c:v>
                </c:pt>
                <c:pt idx="9">
                  <c:v>200</c:v>
                </c:pt>
                <c:pt idx="10">
                  <c:v>200</c:v>
                </c:pt>
                <c:pt idx="12">
                  <c:v>400</c:v>
                </c:pt>
                <c:pt idx="13">
                  <c:v>300</c:v>
                </c:pt>
                <c:pt idx="14">
                  <c:v>150</c:v>
                </c:pt>
                <c:pt idx="15">
                  <c:v>150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300</c:v>
                </c:pt>
                <c:pt idx="20">
                  <c:v>200</c:v>
                </c:pt>
                <c:pt idx="21">
                  <c:v>200</c:v>
                </c:pt>
                <c:pt idx="23">
                  <c:v>400</c:v>
                </c:pt>
                <c:pt idx="24">
                  <c:v>300</c:v>
                </c:pt>
                <c:pt idx="25">
                  <c:v>400</c:v>
                </c:pt>
                <c:pt idx="26">
                  <c:v>150</c:v>
                </c:pt>
                <c:pt idx="27">
                  <c:v>150</c:v>
                </c:pt>
                <c:pt idx="28">
                  <c:v>200</c:v>
                </c:pt>
                <c:pt idx="29">
                  <c:v>250</c:v>
                </c:pt>
                <c:pt idx="30">
                  <c:v>450</c:v>
                </c:pt>
                <c:pt idx="31">
                  <c:v>150</c:v>
                </c:pt>
                <c:pt idx="32">
                  <c:v>300</c:v>
                </c:pt>
                <c:pt idx="33">
                  <c:v>150</c:v>
                </c:pt>
                <c:pt idx="34">
                  <c:v>800</c:v>
                </c:pt>
                <c:pt idx="35">
                  <c:v>500</c:v>
                </c:pt>
                <c:pt idx="36">
                  <c:v>750</c:v>
                </c:pt>
                <c:pt idx="37">
                  <c:v>200</c:v>
                </c:pt>
                <c:pt idx="38">
                  <c:v>300</c:v>
                </c:pt>
                <c:pt idx="39">
                  <c:v>300</c:v>
                </c:pt>
                <c:pt idx="40">
                  <c:v>250</c:v>
                </c:pt>
                <c:pt idx="41">
                  <c:v>200</c:v>
                </c:pt>
                <c:pt idx="42">
                  <c:v>150</c:v>
                </c:pt>
                <c:pt idx="43">
                  <c:v>200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200</c:v>
                </c:pt>
                <c:pt idx="50">
                  <c:v>150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D6-4D8D-BB23-3370A5262A24}"/>
            </c:ext>
          </c:extLst>
        </c:ser>
        <c:ser>
          <c:idx val="1"/>
          <c:order val="1"/>
          <c:tx>
            <c:v>Capacity After Failure</c:v>
          </c:tx>
          <c:invertIfNegative val="0"/>
          <c:cat>
            <c:multiLvlStrRef>
              <c:f>'US-UP'!$A$3:$B$56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'US-UP'!$M$3:$M$56</c:f>
              <c:numCache>
                <c:formatCode>General</c:formatCode>
                <c:ptCount val="5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450</c:v>
                </c:pt>
                <c:pt idx="4">
                  <c:v>150</c:v>
                </c:pt>
                <c:pt idx="5">
                  <c:v>150</c:v>
                </c:pt>
                <c:pt idx="6">
                  <c:v>250</c:v>
                </c:pt>
                <c:pt idx="7">
                  <c:v>150</c:v>
                </c:pt>
                <c:pt idx="8">
                  <c:v>300</c:v>
                </c:pt>
                <c:pt idx="9">
                  <c:v>200</c:v>
                </c:pt>
                <c:pt idx="10">
                  <c:v>150</c:v>
                </c:pt>
                <c:pt idx="12">
                  <c:v>600</c:v>
                </c:pt>
                <c:pt idx="13">
                  <c:v>250</c:v>
                </c:pt>
                <c:pt idx="14">
                  <c:v>150</c:v>
                </c:pt>
                <c:pt idx="15">
                  <c:v>150</c:v>
                </c:pt>
                <c:pt idx="16">
                  <c:v>200</c:v>
                </c:pt>
                <c:pt idx="17">
                  <c:v>150</c:v>
                </c:pt>
                <c:pt idx="18">
                  <c:v>200</c:v>
                </c:pt>
                <c:pt idx="19">
                  <c:v>300</c:v>
                </c:pt>
                <c:pt idx="20">
                  <c:v>150</c:v>
                </c:pt>
                <c:pt idx="21">
                  <c:v>150</c:v>
                </c:pt>
                <c:pt idx="23">
                  <c:v>300</c:v>
                </c:pt>
                <c:pt idx="24">
                  <c:v>300</c:v>
                </c:pt>
                <c:pt idx="25">
                  <c:v>400</c:v>
                </c:pt>
                <c:pt idx="26">
                  <c:v>150</c:v>
                </c:pt>
                <c:pt idx="27">
                  <c:v>100</c:v>
                </c:pt>
                <c:pt idx="28">
                  <c:v>150</c:v>
                </c:pt>
                <c:pt idx="29">
                  <c:v>250</c:v>
                </c:pt>
                <c:pt idx="30">
                  <c:v>450</c:v>
                </c:pt>
                <c:pt idx="31">
                  <c:v>150</c:v>
                </c:pt>
                <c:pt idx="32">
                  <c:v>300</c:v>
                </c:pt>
                <c:pt idx="33">
                  <c:v>150</c:v>
                </c:pt>
                <c:pt idx="34">
                  <c:v>800</c:v>
                </c:pt>
                <c:pt idx="35">
                  <c:v>300</c:v>
                </c:pt>
                <c:pt idx="36">
                  <c:v>450</c:v>
                </c:pt>
                <c:pt idx="37">
                  <c:v>150</c:v>
                </c:pt>
                <c:pt idx="38">
                  <c:v>300</c:v>
                </c:pt>
                <c:pt idx="39">
                  <c:v>300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200</c:v>
                </c:pt>
                <c:pt idx="50">
                  <c:v>150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D6-4D8D-BB23-3370A5262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224064"/>
        <c:axId val="191229952"/>
      </c:barChart>
      <c:catAx>
        <c:axId val="191224064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91229952"/>
        <c:crosses val="autoZero"/>
        <c:auto val="1"/>
        <c:lblAlgn val="ctr"/>
        <c:lblOffset val="100"/>
        <c:noMultiLvlLbl val="0"/>
      </c:catAx>
      <c:valAx>
        <c:axId val="191229952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22406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'US-UP'!$U$26</c:f>
              <c:strCache>
                <c:ptCount val="1"/>
                <c:pt idx="0">
                  <c:v>Extra Capacity Needed(G)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'US-UP'!$T$27:$T$30</c:f>
              <c:strCache>
                <c:ptCount val="4"/>
                <c:pt idx="1">
                  <c:v>None</c:v>
                </c:pt>
                <c:pt idx="3">
                  <c:v>Total </c:v>
                </c:pt>
              </c:strCache>
            </c:strRef>
          </c:cat>
          <c:val>
            <c:numRef>
              <c:f>'US-UP'!$U$27:$U$30</c:f>
              <c:numCache>
                <c:formatCode>General</c:formatCode>
                <c:ptCount val="4"/>
                <c:pt idx="1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1-4FB2-B421-6CBA582DA6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0944384"/>
        <c:axId val="190945920"/>
      </c:barChart>
      <c:catAx>
        <c:axId val="190944384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90945920"/>
        <c:crosses val="autoZero"/>
        <c:auto val="1"/>
        <c:lblAlgn val="ctr"/>
        <c:lblOffset val="100"/>
        <c:noMultiLvlLbl val="0"/>
      </c:catAx>
      <c:valAx>
        <c:axId val="190945920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944384"/>
        <c:crosses val="autoZero"/>
        <c:crossBetween val="between"/>
      </c:valAx>
    </c:plotArea>
    <c:legend>
      <c:legendPos val="l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Free Capacities Before and After Failure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Free Capacity Before Failure</c:v>
          </c:tx>
          <c:invertIfNegative val="0"/>
          <c:cat>
            <c:multiLvlStrRef>
              <c:f>US!$A$3:$B$56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US!$I$3:$I$56</c:f>
              <c:numCache>
                <c:formatCode>General</c:formatCode>
                <c:ptCount val="54"/>
                <c:pt idx="0">
                  <c:v>134.023</c:v>
                </c:pt>
                <c:pt idx="1">
                  <c:v>160.12074999999999</c:v>
                </c:pt>
                <c:pt idx="2">
                  <c:v>99.23814999999999</c:v>
                </c:pt>
                <c:pt idx="3">
                  <c:v>153.30500000000001</c:v>
                </c:pt>
                <c:pt idx="4">
                  <c:v>167.23000000000002</c:v>
                </c:pt>
                <c:pt idx="5">
                  <c:v>99.23814999999999</c:v>
                </c:pt>
                <c:pt idx="6">
                  <c:v>134.98140000000001</c:v>
                </c:pt>
                <c:pt idx="7">
                  <c:v>99.944999999999993</c:v>
                </c:pt>
                <c:pt idx="8">
                  <c:v>91.926099999999991</c:v>
                </c:pt>
                <c:pt idx="9">
                  <c:v>39.610000000000014</c:v>
                </c:pt>
                <c:pt idx="10">
                  <c:v>188.82499999999999</c:v>
                </c:pt>
                <c:pt idx="12">
                  <c:v>192.74625</c:v>
                </c:pt>
                <c:pt idx="13">
                  <c:v>175.4699</c:v>
                </c:pt>
                <c:pt idx="14">
                  <c:v>57.282899999999998</c:v>
                </c:pt>
                <c:pt idx="15">
                  <c:v>43.075850000000003</c:v>
                </c:pt>
                <c:pt idx="16">
                  <c:v>39.60915</c:v>
                </c:pt>
                <c:pt idx="17">
                  <c:v>188.82499999999999</c:v>
                </c:pt>
                <c:pt idx="18">
                  <c:v>99.943899999999999</c:v>
                </c:pt>
                <c:pt idx="19">
                  <c:v>91.926099999999991</c:v>
                </c:pt>
                <c:pt idx="20">
                  <c:v>187.9485</c:v>
                </c:pt>
                <c:pt idx="21">
                  <c:v>188.82499999999999</c:v>
                </c:pt>
                <c:pt idx="23">
                  <c:v>67.74290000000002</c:v>
                </c:pt>
                <c:pt idx="24">
                  <c:v>87.665850000000006</c:v>
                </c:pt>
                <c:pt idx="25">
                  <c:v>192.74625</c:v>
                </c:pt>
                <c:pt idx="26">
                  <c:v>57.282899999999998</c:v>
                </c:pt>
                <c:pt idx="27">
                  <c:v>43.075850000000003</c:v>
                </c:pt>
                <c:pt idx="28">
                  <c:v>39.60915</c:v>
                </c:pt>
                <c:pt idx="29">
                  <c:v>111.21289999999999</c:v>
                </c:pt>
                <c:pt idx="30">
                  <c:v>153.30500000000001</c:v>
                </c:pt>
                <c:pt idx="31">
                  <c:v>57.282899999999998</c:v>
                </c:pt>
                <c:pt idx="32">
                  <c:v>54.262149999999991</c:v>
                </c:pt>
                <c:pt idx="33">
                  <c:v>43.075850000000003</c:v>
                </c:pt>
                <c:pt idx="34">
                  <c:v>224.33600000000001</c:v>
                </c:pt>
                <c:pt idx="35">
                  <c:v>110.23835000000003</c:v>
                </c:pt>
                <c:pt idx="36">
                  <c:v>306.92275000000001</c:v>
                </c:pt>
                <c:pt idx="37">
                  <c:v>83.096500000000006</c:v>
                </c:pt>
                <c:pt idx="38">
                  <c:v>91.926099999999991</c:v>
                </c:pt>
                <c:pt idx="39">
                  <c:v>87.665850000000006</c:v>
                </c:pt>
                <c:pt idx="40">
                  <c:v>209.83166499999999</c:v>
                </c:pt>
                <c:pt idx="41">
                  <c:v>166.379085</c:v>
                </c:pt>
                <c:pt idx="42">
                  <c:v>62.040400000000005</c:v>
                </c:pt>
                <c:pt idx="43">
                  <c:v>142.44284999999999</c:v>
                </c:pt>
                <c:pt idx="44">
                  <c:v>106.21575</c:v>
                </c:pt>
                <c:pt idx="45">
                  <c:v>126.91800000000001</c:v>
                </c:pt>
                <c:pt idx="46">
                  <c:v>62.040400000000005</c:v>
                </c:pt>
                <c:pt idx="47">
                  <c:v>126.91800000000001</c:v>
                </c:pt>
                <c:pt idx="48">
                  <c:v>126.91800000000001</c:v>
                </c:pt>
                <c:pt idx="49">
                  <c:v>131.56234999999998</c:v>
                </c:pt>
                <c:pt idx="50">
                  <c:v>106.21575</c:v>
                </c:pt>
                <c:pt idx="51">
                  <c:v>183.35083499999999</c:v>
                </c:pt>
                <c:pt idx="52">
                  <c:v>83.096500000000006</c:v>
                </c:pt>
                <c:pt idx="53">
                  <c:v>131.56234999999998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4F-4D61-BF0D-D7DCE6D14F10}"/>
            </c:ext>
          </c:extLst>
        </c:ser>
        <c:ser>
          <c:idx val="1"/>
          <c:order val="1"/>
          <c:tx>
            <c:v>Free Capacity After Failure</c:v>
          </c:tx>
          <c:invertIfNegative val="0"/>
          <c:cat>
            <c:multiLvlStrRef>
              <c:f>US!$A$3:$B$56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US!$O$3:$O$56</c:f>
              <c:numCache>
                <c:formatCode>General</c:formatCode>
                <c:ptCount val="54"/>
                <c:pt idx="0">
                  <c:v>84.022999999999996</c:v>
                </c:pt>
                <c:pt idx="1">
                  <c:v>110.12075</c:v>
                </c:pt>
                <c:pt idx="2">
                  <c:v>99.23814999999999</c:v>
                </c:pt>
                <c:pt idx="3">
                  <c:v>153.30500000000001</c:v>
                </c:pt>
                <c:pt idx="4">
                  <c:v>67.23</c:v>
                </c:pt>
                <c:pt idx="5">
                  <c:v>99.23814999999999</c:v>
                </c:pt>
                <c:pt idx="6">
                  <c:v>84.981400000000008</c:v>
                </c:pt>
                <c:pt idx="7">
                  <c:v>49.944999999999993</c:v>
                </c:pt>
                <c:pt idx="8">
                  <c:v>91.926099999999991</c:v>
                </c:pt>
                <c:pt idx="9">
                  <c:v>39.610000000000014</c:v>
                </c:pt>
                <c:pt idx="10">
                  <c:v>138.82499999999999</c:v>
                </c:pt>
                <c:pt idx="12">
                  <c:v>392.74625000000003</c:v>
                </c:pt>
                <c:pt idx="13">
                  <c:v>125.4699</c:v>
                </c:pt>
                <c:pt idx="14">
                  <c:v>57.282899999999998</c:v>
                </c:pt>
                <c:pt idx="15">
                  <c:v>43.075850000000003</c:v>
                </c:pt>
                <c:pt idx="16">
                  <c:v>39.60915</c:v>
                </c:pt>
                <c:pt idx="17">
                  <c:v>138.82499999999999</c:v>
                </c:pt>
                <c:pt idx="18">
                  <c:v>99.943899999999999</c:v>
                </c:pt>
                <c:pt idx="19">
                  <c:v>91.926099999999991</c:v>
                </c:pt>
                <c:pt idx="20">
                  <c:v>137.9485</c:v>
                </c:pt>
                <c:pt idx="21">
                  <c:v>138.82499999999999</c:v>
                </c:pt>
                <c:pt idx="23">
                  <c:v>-32.25709999999998</c:v>
                </c:pt>
                <c:pt idx="24">
                  <c:v>87.665850000000006</c:v>
                </c:pt>
                <c:pt idx="25">
                  <c:v>192.74625</c:v>
                </c:pt>
                <c:pt idx="26">
                  <c:v>57.282899999999998</c:v>
                </c:pt>
                <c:pt idx="27">
                  <c:v>-6.9241499999999974</c:v>
                </c:pt>
                <c:pt idx="28">
                  <c:v>-10.39085</c:v>
                </c:pt>
                <c:pt idx="29">
                  <c:v>111.21289999999999</c:v>
                </c:pt>
                <c:pt idx="30">
                  <c:v>153.30500000000001</c:v>
                </c:pt>
                <c:pt idx="31">
                  <c:v>57.282899999999998</c:v>
                </c:pt>
                <c:pt idx="32">
                  <c:v>54.262149999999991</c:v>
                </c:pt>
                <c:pt idx="33">
                  <c:v>43.075850000000003</c:v>
                </c:pt>
                <c:pt idx="34">
                  <c:v>224.33600000000001</c:v>
                </c:pt>
                <c:pt idx="35">
                  <c:v>-89.761649999999975</c:v>
                </c:pt>
                <c:pt idx="36">
                  <c:v>6.9227500000000077</c:v>
                </c:pt>
                <c:pt idx="37">
                  <c:v>33.096500000000006</c:v>
                </c:pt>
                <c:pt idx="38">
                  <c:v>91.926099999999991</c:v>
                </c:pt>
                <c:pt idx="39">
                  <c:v>87.665850000000006</c:v>
                </c:pt>
                <c:pt idx="40">
                  <c:v>109.831665</c:v>
                </c:pt>
                <c:pt idx="41">
                  <c:v>116.379085</c:v>
                </c:pt>
                <c:pt idx="42">
                  <c:v>62.040400000000005</c:v>
                </c:pt>
                <c:pt idx="43">
                  <c:v>92.442849999999993</c:v>
                </c:pt>
                <c:pt idx="44">
                  <c:v>106.21575</c:v>
                </c:pt>
                <c:pt idx="45">
                  <c:v>126.91800000000001</c:v>
                </c:pt>
                <c:pt idx="46">
                  <c:v>62.040400000000005</c:v>
                </c:pt>
                <c:pt idx="47">
                  <c:v>126.91800000000001</c:v>
                </c:pt>
                <c:pt idx="48">
                  <c:v>126.91800000000001</c:v>
                </c:pt>
                <c:pt idx="49">
                  <c:v>131.56234999999998</c:v>
                </c:pt>
                <c:pt idx="50">
                  <c:v>106.21575</c:v>
                </c:pt>
                <c:pt idx="51">
                  <c:v>183.35083499999999</c:v>
                </c:pt>
                <c:pt idx="52">
                  <c:v>83.096500000000006</c:v>
                </c:pt>
                <c:pt idx="53">
                  <c:v>131.56234999999998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4F-4D61-BF0D-D7DCE6D14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960000"/>
        <c:axId val="190961536"/>
      </c:barChart>
      <c:catAx>
        <c:axId val="190960000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90961536"/>
        <c:crosses val="autoZero"/>
        <c:auto val="1"/>
        <c:lblAlgn val="ctr"/>
        <c:lblOffset val="100"/>
        <c:noMultiLvlLbl val="0"/>
      </c:catAx>
      <c:valAx>
        <c:axId val="190961536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Free Capacity</a:t>
                </a:r>
                <a:r>
                  <a:rPr lang="en-US" baseline="0"/>
                  <a:t> </a:t>
                </a:r>
                <a:r>
                  <a:rPr lang="en-US"/>
                  <a:t>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96000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Capacities Before and After Failure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Capacity Before Failure</c:v>
          </c:tx>
          <c:invertIfNegative val="0"/>
          <c:cat>
            <c:multiLvlStrRef>
              <c:f>US!$A$3:$B$56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US!$E$3:$E$56</c:f>
              <c:numCache>
                <c:formatCode>General</c:formatCode>
                <c:ptCount val="54"/>
                <c:pt idx="0">
                  <c:v>200</c:v>
                </c:pt>
                <c:pt idx="1">
                  <c:v>200</c:v>
                </c:pt>
                <c:pt idx="2">
                  <c:v>150</c:v>
                </c:pt>
                <c:pt idx="3">
                  <c:v>450</c:v>
                </c:pt>
                <c:pt idx="4">
                  <c:v>250</c:v>
                </c:pt>
                <c:pt idx="5">
                  <c:v>150</c:v>
                </c:pt>
                <c:pt idx="6">
                  <c:v>300</c:v>
                </c:pt>
                <c:pt idx="7">
                  <c:v>200</c:v>
                </c:pt>
                <c:pt idx="8">
                  <c:v>300</c:v>
                </c:pt>
                <c:pt idx="9">
                  <c:v>200</c:v>
                </c:pt>
                <c:pt idx="10">
                  <c:v>200</c:v>
                </c:pt>
                <c:pt idx="12">
                  <c:v>400</c:v>
                </c:pt>
                <c:pt idx="13">
                  <c:v>300</c:v>
                </c:pt>
                <c:pt idx="14">
                  <c:v>150</c:v>
                </c:pt>
                <c:pt idx="15">
                  <c:v>150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300</c:v>
                </c:pt>
                <c:pt idx="20">
                  <c:v>200</c:v>
                </c:pt>
                <c:pt idx="21">
                  <c:v>200</c:v>
                </c:pt>
                <c:pt idx="23">
                  <c:v>400</c:v>
                </c:pt>
                <c:pt idx="24">
                  <c:v>300</c:v>
                </c:pt>
                <c:pt idx="25">
                  <c:v>400</c:v>
                </c:pt>
                <c:pt idx="26">
                  <c:v>150</c:v>
                </c:pt>
                <c:pt idx="27">
                  <c:v>150</c:v>
                </c:pt>
                <c:pt idx="28">
                  <c:v>200</c:v>
                </c:pt>
                <c:pt idx="29">
                  <c:v>250</c:v>
                </c:pt>
                <c:pt idx="30">
                  <c:v>450</c:v>
                </c:pt>
                <c:pt idx="31">
                  <c:v>150</c:v>
                </c:pt>
                <c:pt idx="32">
                  <c:v>300</c:v>
                </c:pt>
                <c:pt idx="33">
                  <c:v>150</c:v>
                </c:pt>
                <c:pt idx="34">
                  <c:v>800</c:v>
                </c:pt>
                <c:pt idx="35">
                  <c:v>500</c:v>
                </c:pt>
                <c:pt idx="36">
                  <c:v>750</c:v>
                </c:pt>
                <c:pt idx="37">
                  <c:v>200</c:v>
                </c:pt>
                <c:pt idx="38">
                  <c:v>300</c:v>
                </c:pt>
                <c:pt idx="39">
                  <c:v>300</c:v>
                </c:pt>
                <c:pt idx="40">
                  <c:v>250</c:v>
                </c:pt>
                <c:pt idx="41">
                  <c:v>200</c:v>
                </c:pt>
                <c:pt idx="42">
                  <c:v>150</c:v>
                </c:pt>
                <c:pt idx="43">
                  <c:v>200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200</c:v>
                </c:pt>
                <c:pt idx="50">
                  <c:v>150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D1-496F-BCB0-0A4FEEF7157A}"/>
            </c:ext>
          </c:extLst>
        </c:ser>
        <c:ser>
          <c:idx val="1"/>
          <c:order val="1"/>
          <c:tx>
            <c:v>Capacity After Failure</c:v>
          </c:tx>
          <c:invertIfNegative val="0"/>
          <c:cat>
            <c:multiLvlStrRef>
              <c:f>US!$A$3:$B$56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US!$M$3:$M$56</c:f>
              <c:numCache>
                <c:formatCode>General</c:formatCode>
                <c:ptCount val="5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450</c:v>
                </c:pt>
                <c:pt idx="4">
                  <c:v>150</c:v>
                </c:pt>
                <c:pt idx="5">
                  <c:v>150</c:v>
                </c:pt>
                <c:pt idx="6">
                  <c:v>250</c:v>
                </c:pt>
                <c:pt idx="7">
                  <c:v>150</c:v>
                </c:pt>
                <c:pt idx="8">
                  <c:v>300</c:v>
                </c:pt>
                <c:pt idx="9">
                  <c:v>200</c:v>
                </c:pt>
                <c:pt idx="10">
                  <c:v>150</c:v>
                </c:pt>
                <c:pt idx="12">
                  <c:v>600</c:v>
                </c:pt>
                <c:pt idx="13">
                  <c:v>250</c:v>
                </c:pt>
                <c:pt idx="14">
                  <c:v>150</c:v>
                </c:pt>
                <c:pt idx="15">
                  <c:v>150</c:v>
                </c:pt>
                <c:pt idx="16">
                  <c:v>200</c:v>
                </c:pt>
                <c:pt idx="17">
                  <c:v>150</c:v>
                </c:pt>
                <c:pt idx="18">
                  <c:v>200</c:v>
                </c:pt>
                <c:pt idx="19">
                  <c:v>300</c:v>
                </c:pt>
                <c:pt idx="20">
                  <c:v>150</c:v>
                </c:pt>
                <c:pt idx="21">
                  <c:v>150</c:v>
                </c:pt>
                <c:pt idx="23">
                  <c:v>300</c:v>
                </c:pt>
                <c:pt idx="24">
                  <c:v>300</c:v>
                </c:pt>
                <c:pt idx="25">
                  <c:v>400</c:v>
                </c:pt>
                <c:pt idx="26">
                  <c:v>150</c:v>
                </c:pt>
                <c:pt idx="27">
                  <c:v>100</c:v>
                </c:pt>
                <c:pt idx="28">
                  <c:v>150</c:v>
                </c:pt>
                <c:pt idx="29">
                  <c:v>250</c:v>
                </c:pt>
                <c:pt idx="30">
                  <c:v>450</c:v>
                </c:pt>
                <c:pt idx="31">
                  <c:v>150</c:v>
                </c:pt>
                <c:pt idx="32">
                  <c:v>300</c:v>
                </c:pt>
                <c:pt idx="33">
                  <c:v>150</c:v>
                </c:pt>
                <c:pt idx="34">
                  <c:v>800</c:v>
                </c:pt>
                <c:pt idx="35">
                  <c:v>300</c:v>
                </c:pt>
                <c:pt idx="36">
                  <c:v>450</c:v>
                </c:pt>
                <c:pt idx="37">
                  <c:v>150</c:v>
                </c:pt>
                <c:pt idx="38">
                  <c:v>300</c:v>
                </c:pt>
                <c:pt idx="39">
                  <c:v>300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200</c:v>
                </c:pt>
                <c:pt idx="50">
                  <c:v>150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D1-496F-BCB0-0A4FEEF71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261696"/>
        <c:axId val="191263488"/>
      </c:barChart>
      <c:catAx>
        <c:axId val="191261696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91263488"/>
        <c:crosses val="autoZero"/>
        <c:auto val="1"/>
        <c:lblAlgn val="ctr"/>
        <c:lblOffset val="100"/>
        <c:noMultiLvlLbl val="0"/>
      </c:catAx>
      <c:valAx>
        <c:axId val="191263488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26169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US!$U$26</c:f>
              <c:strCache>
                <c:ptCount val="1"/>
                <c:pt idx="0">
                  <c:v>Extra Capacity Needed(G)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US!$T$27:$T$30</c:f>
              <c:strCache>
                <c:ptCount val="4"/>
                <c:pt idx="2">
                  <c:v>None</c:v>
                </c:pt>
                <c:pt idx="3">
                  <c:v>Total </c:v>
                </c:pt>
              </c:strCache>
            </c:strRef>
          </c:cat>
          <c:val>
            <c:numRef>
              <c:f>US!$U$27:$U$30</c:f>
              <c:numCache>
                <c:formatCode>General</c:formatCode>
                <c:ptCount val="4"/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94-4A64-B6C4-B16333305F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1285120"/>
        <c:axId val="191286656"/>
      </c:barChart>
      <c:catAx>
        <c:axId val="191285120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91286656"/>
        <c:crosses val="autoZero"/>
        <c:auto val="1"/>
        <c:lblAlgn val="ctr"/>
        <c:lblOffset val="100"/>
        <c:noMultiLvlLbl val="0"/>
      </c:catAx>
      <c:valAx>
        <c:axId val="191286656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285120"/>
        <c:crosses val="autoZero"/>
        <c:crossBetween val="between"/>
      </c:valAx>
    </c:plotArea>
    <c:legend>
      <c:legendPos val="l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Simulation!$P$2</c:f>
              <c:strCache>
                <c:ptCount val="1"/>
                <c:pt idx="0">
                  <c:v>Throughput Loss(%)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(Simulation!$A$26:$B$27,Simulation!$A$28:$B$32,Simulation!$A$38:$B$38,Simulation!$A$39:$B$40)</c:f>
              <c:multiLvlStrCache>
                <c:ptCount val="10"/>
                <c:lvl>
                  <c:pt idx="0">
                    <c:v>F - H</c:v>
                  </c:pt>
                  <c:pt idx="1">
                    <c:v> F - HH</c:v>
                  </c:pt>
                  <c:pt idx="2">
                    <c:v>D - F</c:v>
                  </c:pt>
                  <c:pt idx="3">
                    <c:v>D - L </c:v>
                  </c:pt>
                  <c:pt idx="4">
                    <c:v> D - M</c:v>
                  </c:pt>
                  <c:pt idx="5">
                    <c:v> DO - F </c:v>
                  </c:pt>
                  <c:pt idx="6">
                    <c:v>F - K </c:v>
                  </c:pt>
                  <c:pt idx="7">
                    <c:v> F - N </c:v>
                  </c:pt>
                  <c:pt idx="8">
                    <c:v> F - S</c:v>
                  </c:pt>
                  <c:pt idx="9">
                    <c:v> F - U</c:v>
                  </c:pt>
                </c:lvl>
                <c:lvl>
                  <c:pt idx="0">
                    <c:v>H -- F </c:v>
                  </c:pt>
                  <c:pt idx="2">
                    <c:v>K -- F</c:v>
                  </c:pt>
                  <c:pt idx="7">
                    <c:v>F -- N </c:v>
                  </c:pt>
                  <c:pt idx="8">
                    <c:v>F -- S</c:v>
                  </c:pt>
                </c:lvl>
              </c:multiLvlStrCache>
            </c:multiLvlStrRef>
          </c:cat>
          <c:val>
            <c:numRef>
              <c:f>(Simulation!$P$26:$P$27,Simulation!$P$28:$P$32,Simulation!$P$38,Simulation!$P$39:$P$40)</c:f>
              <c:numCache>
                <c:formatCode>General</c:formatCode>
                <c:ptCount val="10"/>
                <c:pt idx="0">
                  <c:v>12.048192771084338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8.4112149532710276</c:v>
                </c:pt>
                <c:pt idx="5">
                  <c:v>8.75</c:v>
                </c:pt>
                <c:pt idx="6">
                  <c:v>0</c:v>
                </c:pt>
                <c:pt idx="7">
                  <c:v>25.128205128205128</c:v>
                </c:pt>
                <c:pt idx="8">
                  <c:v>0.90293453724604955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6-4BA2-84B1-FF1F1DE0E7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91763584"/>
        <c:axId val="191765120"/>
      </c:barChart>
      <c:catAx>
        <c:axId val="191763584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nextTo"/>
        <c:crossAx val="191765120"/>
        <c:crosses val="autoZero"/>
        <c:auto val="1"/>
        <c:lblAlgn val="ctr"/>
        <c:lblOffset val="100"/>
        <c:noMultiLvlLbl val="0"/>
      </c:catAx>
      <c:valAx>
        <c:axId val="19176512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9176358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alpha = 0 Extra Capacity Needed (G)"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Extra Capacity Needed (G)"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'Shut-off lambda'!$R$4:$R$14</c:f>
              <c:strCache>
                <c:ptCount val="11"/>
                <c:pt idx="0">
                  <c:v>DO - F</c:v>
                </c:pt>
                <c:pt idx="1">
                  <c:v>F-K</c:v>
                </c:pt>
                <c:pt idx="2">
                  <c:v>D-L</c:v>
                </c:pt>
                <c:pt idx="3">
                  <c:v>F-H</c:v>
                </c:pt>
                <c:pt idx="4">
                  <c:v>L-M</c:v>
                </c:pt>
                <c:pt idx="5">
                  <c:v>F-L</c:v>
                </c:pt>
                <c:pt idx="6">
                  <c:v>L-N</c:v>
                </c:pt>
                <c:pt idx="7">
                  <c:v>F-N</c:v>
                </c:pt>
                <c:pt idx="8">
                  <c:v>L-S</c:v>
                </c:pt>
                <c:pt idx="9">
                  <c:v>M-S</c:v>
                </c:pt>
                <c:pt idx="10">
                  <c:v>Total</c:v>
                </c:pt>
              </c:strCache>
            </c:strRef>
          </c:cat>
          <c:val>
            <c:numRef>
              <c:f>'Shut-off lambda'!$S$4:$S$14</c:f>
              <c:numCache>
                <c:formatCode>General</c:formatCode>
                <c:ptCount val="11"/>
                <c:pt idx="0">
                  <c:v>137</c:v>
                </c:pt>
                <c:pt idx="1">
                  <c:v>25</c:v>
                </c:pt>
                <c:pt idx="2">
                  <c:v>110</c:v>
                </c:pt>
                <c:pt idx="3">
                  <c:v>265</c:v>
                </c:pt>
                <c:pt idx="4">
                  <c:v>27</c:v>
                </c:pt>
                <c:pt idx="5">
                  <c:v>297</c:v>
                </c:pt>
                <c:pt idx="6">
                  <c:v>70</c:v>
                </c:pt>
                <c:pt idx="7">
                  <c:v>68</c:v>
                </c:pt>
                <c:pt idx="8">
                  <c:v>57</c:v>
                </c:pt>
                <c:pt idx="9">
                  <c:v>15</c:v>
                </c:pt>
                <c:pt idx="10">
                  <c:v>1071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0B-4D47-8C4B-25CA970402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9086848"/>
        <c:axId val="179088384"/>
      </c:barChart>
      <c:catAx>
        <c:axId val="179086848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79088384"/>
        <c:crosses val="autoZero"/>
        <c:auto val="1"/>
        <c:lblAlgn val="ctr"/>
        <c:lblOffset val="100"/>
        <c:noMultiLvlLbl val="0"/>
      </c:catAx>
      <c:valAx>
        <c:axId val="179088384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17908684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FlowThinning!$H$6</c:f>
              <c:strCache>
                <c:ptCount val="1"/>
                <c:pt idx="0">
                  <c:v>Extra Capacity Needed(G)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FlowThinning!$G$7:$G$9</c:f>
              <c:numCache>
                <c:formatCode>General</c:formatCode>
                <c:ptCount val="3"/>
              </c:numCache>
            </c:numRef>
          </c:cat>
          <c:val>
            <c:numRef>
              <c:f>FlowThinning!$H$7:$H$9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3B9F-4259-964C-3C7C9C373F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3190240"/>
        <c:axId val="513189584"/>
      </c:barChart>
      <c:catAx>
        <c:axId val="51319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89584"/>
        <c:crosses val="autoZero"/>
        <c:auto val="1"/>
        <c:lblAlgn val="ctr"/>
        <c:lblOffset val="100"/>
        <c:noMultiLvlLbl val="0"/>
      </c:catAx>
      <c:valAx>
        <c:axId val="51318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9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FlowThinningModularCapacities!$G$5</c:f>
              <c:strCache>
                <c:ptCount val="1"/>
                <c:pt idx="0">
                  <c:v>Extra Capacity Needed(G)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FlowThinningModularCapacities!$F$6:$F$8</c:f>
              <c:numCache>
                <c:formatCode>General</c:formatCode>
                <c:ptCount val="3"/>
              </c:numCache>
            </c:numRef>
          </c:cat>
          <c:val>
            <c:numRef>
              <c:f>FlowThinningModularCapacities!$G$6:$G$8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3AF5-4915-AEC0-79E4B2C026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3190240"/>
        <c:axId val="513189584"/>
      </c:barChart>
      <c:catAx>
        <c:axId val="51319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89584"/>
        <c:crosses val="autoZero"/>
        <c:auto val="1"/>
        <c:lblAlgn val="ctr"/>
        <c:lblOffset val="100"/>
        <c:noMultiLvlLbl val="0"/>
      </c:catAx>
      <c:valAx>
        <c:axId val="51318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9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AffineFlowThinning!$H$5</c:f>
              <c:strCache>
                <c:ptCount val="1"/>
                <c:pt idx="0">
                  <c:v>Extra Capacity Needed(G)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AffineFlowThinning!$G$6:$G$14</c:f>
              <c:strCache>
                <c:ptCount val="9"/>
                <c:pt idx="0">
                  <c:v>D - DO</c:v>
                </c:pt>
                <c:pt idx="1">
                  <c:v>D - M</c:v>
                </c:pt>
                <c:pt idx="2">
                  <c:v>DO - F</c:v>
                </c:pt>
                <c:pt idx="3">
                  <c:v>F - H</c:v>
                </c:pt>
                <c:pt idx="4">
                  <c:v>F - K</c:v>
                </c:pt>
                <c:pt idx="5">
                  <c:v>F - N</c:v>
                </c:pt>
                <c:pt idx="6">
                  <c:v>F - S</c:v>
                </c:pt>
                <c:pt idx="7">
                  <c:v>F - U</c:v>
                </c:pt>
                <c:pt idx="8">
                  <c:v>H - HH</c:v>
                </c:pt>
              </c:strCache>
            </c:strRef>
          </c:cat>
          <c:val>
            <c:numRef>
              <c:f>AffineFlowThinning!$H$6:$H$14</c:f>
              <c:numCache>
                <c:formatCode>0</c:formatCode>
                <c:ptCount val="9"/>
                <c:pt idx="0">
                  <c:v>23</c:v>
                </c:pt>
                <c:pt idx="1">
                  <c:v>3</c:v>
                </c:pt>
                <c:pt idx="2">
                  <c:v>40</c:v>
                </c:pt>
                <c:pt idx="3">
                  <c:v>58</c:v>
                </c:pt>
                <c:pt idx="4">
                  <c:v>55</c:v>
                </c:pt>
                <c:pt idx="5">
                  <c:v>192</c:v>
                </c:pt>
                <c:pt idx="6">
                  <c:v>227</c:v>
                </c:pt>
                <c:pt idx="7">
                  <c:v>33</c:v>
                </c:pt>
                <c:pt idx="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C9-43BE-AE32-988339588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3969856"/>
        <c:axId val="373971824"/>
      </c:barChart>
      <c:catAx>
        <c:axId val="37396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971824"/>
        <c:crosses val="autoZero"/>
        <c:auto val="1"/>
        <c:lblAlgn val="ctr"/>
        <c:lblOffset val="100"/>
        <c:noMultiLvlLbl val="0"/>
      </c:catAx>
      <c:valAx>
        <c:axId val="37397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96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AffineFlowThinningModularCapaci!$H$4</c:f>
              <c:strCache>
                <c:ptCount val="1"/>
                <c:pt idx="0">
                  <c:v>Extra Capacity Needed(G)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AffineFlowThinningModularCapaci!$G$5:$G$29</c:f>
              <c:strCache>
                <c:ptCount val="25"/>
                <c:pt idx="0">
                  <c:v>B - H</c:v>
                </c:pt>
                <c:pt idx="1">
                  <c:v>B - HH</c:v>
                </c:pt>
                <c:pt idx="2">
                  <c:v>D - DO</c:v>
                </c:pt>
                <c:pt idx="3">
                  <c:v>D - F</c:v>
                </c:pt>
                <c:pt idx="4">
                  <c:v>D - HH</c:v>
                </c:pt>
                <c:pt idx="5">
                  <c:v>D - K</c:v>
                </c:pt>
                <c:pt idx="6">
                  <c:v>D - M</c:v>
                </c:pt>
                <c:pt idx="7">
                  <c:v>DO - F</c:v>
                </c:pt>
                <c:pt idx="8">
                  <c:v>DO - H</c:v>
                </c:pt>
                <c:pt idx="9">
                  <c:v>F - H</c:v>
                </c:pt>
                <c:pt idx="10">
                  <c:v>F - HH</c:v>
                </c:pt>
                <c:pt idx="11">
                  <c:v>F - K</c:v>
                </c:pt>
                <c:pt idx="12">
                  <c:v>F - L</c:v>
                </c:pt>
                <c:pt idx="13">
                  <c:v>F - M</c:v>
                </c:pt>
                <c:pt idx="14">
                  <c:v>F - N</c:v>
                </c:pt>
                <c:pt idx="15">
                  <c:v>F - S</c:v>
                </c:pt>
                <c:pt idx="16">
                  <c:v>F - U</c:v>
                </c:pt>
                <c:pt idx="17">
                  <c:v>H - HH</c:v>
                </c:pt>
                <c:pt idx="18">
                  <c:v>H - K</c:v>
                </c:pt>
                <c:pt idx="19">
                  <c:v>H - L</c:v>
                </c:pt>
                <c:pt idx="20">
                  <c:v>HH - L</c:v>
                </c:pt>
                <c:pt idx="21">
                  <c:v>L - N</c:v>
                </c:pt>
                <c:pt idx="22">
                  <c:v>L - S</c:v>
                </c:pt>
                <c:pt idx="23">
                  <c:v>L - U</c:v>
                </c:pt>
                <c:pt idx="24">
                  <c:v>N - S</c:v>
                </c:pt>
              </c:strCache>
            </c:strRef>
          </c:cat>
          <c:val>
            <c:numRef>
              <c:f>AffineFlowThinningModularCapaci!$H$5:$H$29</c:f>
              <c:numCache>
                <c:formatCode>0</c:formatCode>
                <c:ptCount val="25"/>
                <c:pt idx="0">
                  <c:v>5</c:v>
                </c:pt>
                <c:pt idx="1">
                  <c:v>70</c:v>
                </c:pt>
                <c:pt idx="2">
                  <c:v>45</c:v>
                </c:pt>
                <c:pt idx="3">
                  <c:v>77</c:v>
                </c:pt>
                <c:pt idx="4">
                  <c:v>2</c:v>
                </c:pt>
                <c:pt idx="5">
                  <c:v>41</c:v>
                </c:pt>
                <c:pt idx="6">
                  <c:v>17</c:v>
                </c:pt>
                <c:pt idx="7">
                  <c:v>54</c:v>
                </c:pt>
                <c:pt idx="8">
                  <c:v>77</c:v>
                </c:pt>
                <c:pt idx="9">
                  <c:v>136</c:v>
                </c:pt>
                <c:pt idx="10">
                  <c:v>4</c:v>
                </c:pt>
                <c:pt idx="11">
                  <c:v>104</c:v>
                </c:pt>
                <c:pt idx="12">
                  <c:v>7</c:v>
                </c:pt>
                <c:pt idx="13">
                  <c:v>11</c:v>
                </c:pt>
                <c:pt idx="14">
                  <c:v>238</c:v>
                </c:pt>
                <c:pt idx="15">
                  <c:v>263</c:v>
                </c:pt>
                <c:pt idx="16">
                  <c:v>38</c:v>
                </c:pt>
                <c:pt idx="17">
                  <c:v>51</c:v>
                </c:pt>
                <c:pt idx="18">
                  <c:v>79</c:v>
                </c:pt>
                <c:pt idx="19">
                  <c:v>30</c:v>
                </c:pt>
                <c:pt idx="20">
                  <c:v>24</c:v>
                </c:pt>
                <c:pt idx="21">
                  <c:v>29</c:v>
                </c:pt>
                <c:pt idx="22">
                  <c:v>48</c:v>
                </c:pt>
                <c:pt idx="23">
                  <c:v>73</c:v>
                </c:pt>
                <c:pt idx="24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8E-499A-9FC1-88DD5FABC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3969856"/>
        <c:axId val="373971824"/>
      </c:barChart>
      <c:catAx>
        <c:axId val="37396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971824"/>
        <c:crosses val="autoZero"/>
        <c:auto val="1"/>
        <c:lblAlgn val="ctr"/>
        <c:lblOffset val="100"/>
        <c:noMultiLvlLbl val="0"/>
      </c:catAx>
      <c:valAx>
        <c:axId val="37397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96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conclusion!$B$7:$B$21</c:f>
              <c:strCache>
                <c:ptCount val="15"/>
                <c:pt idx="0">
                  <c:v>Shut-off lambda</c:v>
                </c:pt>
                <c:pt idx="1">
                  <c:v>Multiple-path Reroute</c:v>
                </c:pt>
                <c:pt idx="2">
                  <c:v>Selective 0&lt;alpha&lt;1</c:v>
                </c:pt>
                <c:pt idx="3">
                  <c:v>BDF</c:v>
                </c:pt>
                <c:pt idx="4">
                  <c:v>SDF</c:v>
                </c:pt>
                <c:pt idx="5">
                  <c:v>Single-hop Reroute</c:v>
                </c:pt>
                <c:pt idx="6">
                  <c:v>NoRerouting</c:v>
                </c:pt>
                <c:pt idx="7">
                  <c:v>ES-EP</c:v>
                </c:pt>
                <c:pt idx="8">
                  <c:v>US-EP</c:v>
                </c:pt>
                <c:pt idx="9">
                  <c:v>US-UP</c:v>
                </c:pt>
                <c:pt idx="10">
                  <c:v>US</c:v>
                </c:pt>
                <c:pt idx="11">
                  <c:v>Flow Thinning</c:v>
                </c:pt>
                <c:pt idx="12">
                  <c:v>Affine Flow Thinning</c:v>
                </c:pt>
                <c:pt idx="13">
                  <c:v>Flow Thinning with modular capacities</c:v>
                </c:pt>
                <c:pt idx="14">
                  <c:v>Affine Flow Thinning with modular capacities</c:v>
                </c:pt>
              </c:strCache>
            </c:strRef>
          </c:cat>
          <c:val>
            <c:numRef>
              <c:f>conclusion!$C$7:$C$21</c:f>
              <c:numCache>
                <c:formatCode>General</c:formatCode>
                <c:ptCount val="15"/>
                <c:pt idx="0">
                  <c:v>1700</c:v>
                </c:pt>
                <c:pt idx="1">
                  <c:v>300</c:v>
                </c:pt>
                <c:pt idx="2">
                  <c:v>400</c:v>
                </c:pt>
                <c:pt idx="3">
                  <c:v>300</c:v>
                </c:pt>
                <c:pt idx="4">
                  <c:v>0</c:v>
                </c:pt>
                <c:pt idx="5">
                  <c:v>900</c:v>
                </c:pt>
                <c:pt idx="6">
                  <c:v>600</c:v>
                </c:pt>
                <c:pt idx="7">
                  <c:v>400</c:v>
                </c:pt>
                <c:pt idx="8">
                  <c:v>300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AF-4AC3-919C-3EABC4E90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693184"/>
        <c:axId val="191694720"/>
      </c:barChart>
      <c:catAx>
        <c:axId val="191693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1694720"/>
        <c:crosses val="autoZero"/>
        <c:auto val="1"/>
        <c:lblAlgn val="ctr"/>
        <c:lblOffset val="100"/>
        <c:noMultiLvlLbl val="0"/>
      </c:catAx>
      <c:valAx>
        <c:axId val="191694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693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conclusion!$B$7:$B$21</c:f>
              <c:strCache>
                <c:ptCount val="15"/>
                <c:pt idx="0">
                  <c:v>Shut-off lambda</c:v>
                </c:pt>
                <c:pt idx="1">
                  <c:v>Multiple-path Reroute</c:v>
                </c:pt>
                <c:pt idx="2">
                  <c:v>Selective 0&lt;alpha&lt;1</c:v>
                </c:pt>
                <c:pt idx="3">
                  <c:v>BDF</c:v>
                </c:pt>
                <c:pt idx="4">
                  <c:v>SDF</c:v>
                </c:pt>
                <c:pt idx="5">
                  <c:v>Single-hop Reroute</c:v>
                </c:pt>
                <c:pt idx="6">
                  <c:v>NoRerouting</c:v>
                </c:pt>
                <c:pt idx="7">
                  <c:v>ES-EP</c:v>
                </c:pt>
                <c:pt idx="8">
                  <c:v>US-EP</c:v>
                </c:pt>
                <c:pt idx="9">
                  <c:v>US-UP</c:v>
                </c:pt>
                <c:pt idx="10">
                  <c:v>US</c:v>
                </c:pt>
                <c:pt idx="11">
                  <c:v>Flow Thinning</c:v>
                </c:pt>
                <c:pt idx="12">
                  <c:v>Affine Flow Thinning</c:v>
                </c:pt>
                <c:pt idx="13">
                  <c:v>Flow Thinning with modular capacities</c:v>
                </c:pt>
                <c:pt idx="14">
                  <c:v>Affine Flow Thinning with modular capacities</c:v>
                </c:pt>
              </c:strCache>
            </c:strRef>
          </c:cat>
          <c:val>
            <c:numRef>
              <c:f>conclusion!$D$7:$D$21</c:f>
              <c:numCache>
                <c:formatCode>General</c:formatCode>
                <c:ptCount val="15"/>
                <c:pt idx="0">
                  <c:v>229.4845</c:v>
                </c:pt>
                <c:pt idx="1">
                  <c:v>45</c:v>
                </c:pt>
                <c:pt idx="2">
                  <c:v>60</c:v>
                </c:pt>
                <c:pt idx="3">
                  <c:v>45</c:v>
                </c:pt>
                <c:pt idx="4">
                  <c:v>0</c:v>
                </c:pt>
                <c:pt idx="5">
                  <c:v>122.73779999999999</c:v>
                </c:pt>
                <c:pt idx="6">
                  <c:v>90</c:v>
                </c:pt>
                <c:pt idx="7">
                  <c:v>60</c:v>
                </c:pt>
                <c:pt idx="8">
                  <c:v>45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5B-4B63-A4AE-8484A14D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719296"/>
        <c:axId val="191720832"/>
      </c:barChart>
      <c:catAx>
        <c:axId val="191719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1720832"/>
        <c:crosses val="autoZero"/>
        <c:auto val="1"/>
        <c:lblAlgn val="ctr"/>
        <c:lblOffset val="100"/>
        <c:noMultiLvlLbl val="0"/>
      </c:catAx>
      <c:valAx>
        <c:axId val="191720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719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787713698713669"/>
          <c:y val="0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conclusion!$D$40</c:f>
              <c:strCache>
                <c:ptCount val="1"/>
                <c:pt idx="0">
                  <c:v>Spare Capacity (Gbps)</c:v>
                </c:pt>
              </c:strCache>
            </c:strRef>
          </c:tx>
          <c:invertIfNegative val="0"/>
          <c:cat>
            <c:strRef>
              <c:f>conclusion!$B$41:$B$55</c:f>
              <c:strCache>
                <c:ptCount val="15"/>
                <c:pt idx="0">
                  <c:v>Shut-off lambda</c:v>
                </c:pt>
                <c:pt idx="1">
                  <c:v>Multiple-path Reroute</c:v>
                </c:pt>
                <c:pt idx="2">
                  <c:v>Selective 0&lt;alpha&lt;1</c:v>
                </c:pt>
                <c:pt idx="3">
                  <c:v>BDF</c:v>
                </c:pt>
                <c:pt idx="4">
                  <c:v>SDF</c:v>
                </c:pt>
                <c:pt idx="5">
                  <c:v>Single-hop Reroute</c:v>
                </c:pt>
                <c:pt idx="6">
                  <c:v>NoRerouting</c:v>
                </c:pt>
                <c:pt idx="7">
                  <c:v>ES-ES</c:v>
                </c:pt>
                <c:pt idx="8">
                  <c:v>US-EP</c:v>
                </c:pt>
                <c:pt idx="9">
                  <c:v>US-UP</c:v>
                </c:pt>
                <c:pt idx="10">
                  <c:v>US</c:v>
                </c:pt>
                <c:pt idx="11">
                  <c:v>Flow Thinning</c:v>
                </c:pt>
                <c:pt idx="12">
                  <c:v>Flow Thinning with modular capacities</c:v>
                </c:pt>
                <c:pt idx="13">
                  <c:v>Affine Flow Thinning</c:v>
                </c:pt>
                <c:pt idx="14">
                  <c:v>Affine Flow Thinning with modular capacities</c:v>
                </c:pt>
              </c:strCache>
            </c:strRef>
          </c:cat>
          <c:val>
            <c:numRef>
              <c:f>conclusion!$D$41:$D$55</c:f>
              <c:numCache>
                <c:formatCode>General</c:formatCode>
                <c:ptCount val="15"/>
                <c:pt idx="0">
                  <c:v>1700</c:v>
                </c:pt>
                <c:pt idx="1">
                  <c:v>300</c:v>
                </c:pt>
                <c:pt idx="2">
                  <c:v>400</c:v>
                </c:pt>
                <c:pt idx="3">
                  <c:v>300</c:v>
                </c:pt>
                <c:pt idx="4">
                  <c:v>0</c:v>
                </c:pt>
                <c:pt idx="5">
                  <c:v>900</c:v>
                </c:pt>
                <c:pt idx="6">
                  <c:v>600</c:v>
                </c:pt>
                <c:pt idx="7">
                  <c:v>400</c:v>
                </c:pt>
                <c:pt idx="8">
                  <c:v>300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7F-4306-A09B-739D2640D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107072"/>
        <c:axId val="191108608"/>
      </c:barChart>
      <c:catAx>
        <c:axId val="191107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1108608"/>
        <c:crosses val="autoZero"/>
        <c:auto val="1"/>
        <c:lblAlgn val="ctr"/>
        <c:lblOffset val="100"/>
        <c:noMultiLvlLbl val="0"/>
      </c:catAx>
      <c:valAx>
        <c:axId val="19110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07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conclusion!$E$40</c:f>
              <c:strCache>
                <c:ptCount val="1"/>
                <c:pt idx="0">
                  <c:v>Total Capacity (Gbps)</c:v>
                </c:pt>
              </c:strCache>
            </c:strRef>
          </c:tx>
          <c:invertIfNegative val="0"/>
          <c:cat>
            <c:strRef>
              <c:f>conclusion!$B$41:$B$55</c:f>
              <c:strCache>
                <c:ptCount val="15"/>
                <c:pt idx="0">
                  <c:v>Shut-off lambda</c:v>
                </c:pt>
                <c:pt idx="1">
                  <c:v>Multiple-path Reroute</c:v>
                </c:pt>
                <c:pt idx="2">
                  <c:v>Selective 0&lt;alpha&lt;1</c:v>
                </c:pt>
                <c:pt idx="3">
                  <c:v>BDF</c:v>
                </c:pt>
                <c:pt idx="4">
                  <c:v>SDF</c:v>
                </c:pt>
                <c:pt idx="5">
                  <c:v>Single-hop Reroute</c:v>
                </c:pt>
                <c:pt idx="6">
                  <c:v>NoRerouting</c:v>
                </c:pt>
                <c:pt idx="7">
                  <c:v>ES-ES</c:v>
                </c:pt>
                <c:pt idx="8">
                  <c:v>US-EP</c:v>
                </c:pt>
                <c:pt idx="9">
                  <c:v>US-UP</c:v>
                </c:pt>
                <c:pt idx="10">
                  <c:v>US</c:v>
                </c:pt>
                <c:pt idx="11">
                  <c:v>Flow Thinning</c:v>
                </c:pt>
                <c:pt idx="12">
                  <c:v>Flow Thinning with modular capacities</c:v>
                </c:pt>
                <c:pt idx="13">
                  <c:v>Affine Flow Thinning</c:v>
                </c:pt>
                <c:pt idx="14">
                  <c:v>Affine Flow Thinning with modular capacities</c:v>
                </c:pt>
              </c:strCache>
            </c:strRef>
          </c:cat>
          <c:val>
            <c:numRef>
              <c:f>conclusion!$E$41:$E$55</c:f>
              <c:numCache>
                <c:formatCode>General</c:formatCode>
                <c:ptCount val="15"/>
                <c:pt idx="0">
                  <c:v>19000</c:v>
                </c:pt>
                <c:pt idx="1">
                  <c:v>17600</c:v>
                </c:pt>
                <c:pt idx="2">
                  <c:v>17700</c:v>
                </c:pt>
                <c:pt idx="3">
                  <c:v>17600</c:v>
                </c:pt>
                <c:pt idx="4">
                  <c:v>17300</c:v>
                </c:pt>
                <c:pt idx="5">
                  <c:v>18200</c:v>
                </c:pt>
                <c:pt idx="6">
                  <c:v>17900</c:v>
                </c:pt>
                <c:pt idx="7">
                  <c:v>17700</c:v>
                </c:pt>
                <c:pt idx="8">
                  <c:v>17600</c:v>
                </c:pt>
                <c:pt idx="9">
                  <c:v>17300</c:v>
                </c:pt>
                <c:pt idx="10">
                  <c:v>17300</c:v>
                </c:pt>
                <c:pt idx="12">
                  <c:v>12500</c:v>
                </c:pt>
                <c:pt idx="14">
                  <c:v>12500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6C-4B97-BDF1-9082A8746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107072"/>
        <c:axId val="191108608"/>
      </c:barChart>
      <c:catAx>
        <c:axId val="191107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1108608"/>
        <c:crosses val="autoZero"/>
        <c:auto val="1"/>
        <c:lblAlgn val="ctr"/>
        <c:lblOffset val="100"/>
        <c:noMultiLvlLbl val="0"/>
      </c:catAx>
      <c:valAx>
        <c:axId val="19110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07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conclusion!$C$40</c:f>
              <c:strCache>
                <c:ptCount val="1"/>
                <c:pt idx="0">
                  <c:v>Working Capacity (Gbps)</c:v>
                </c:pt>
              </c:strCache>
            </c:strRef>
          </c:tx>
          <c:invertIfNegative val="0"/>
          <c:cat>
            <c:strRef>
              <c:f>conclusion!$B$41:$B$55</c:f>
              <c:strCache>
                <c:ptCount val="15"/>
                <c:pt idx="0">
                  <c:v>Shut-off lambda</c:v>
                </c:pt>
                <c:pt idx="1">
                  <c:v>Multiple-path Reroute</c:v>
                </c:pt>
                <c:pt idx="2">
                  <c:v>Selective 0&lt;alpha&lt;1</c:v>
                </c:pt>
                <c:pt idx="3">
                  <c:v>BDF</c:v>
                </c:pt>
                <c:pt idx="4">
                  <c:v>SDF</c:v>
                </c:pt>
                <c:pt idx="5">
                  <c:v>Single-hop Reroute</c:v>
                </c:pt>
                <c:pt idx="6">
                  <c:v>NoRerouting</c:v>
                </c:pt>
                <c:pt idx="7">
                  <c:v>ES-ES</c:v>
                </c:pt>
                <c:pt idx="8">
                  <c:v>US-EP</c:v>
                </c:pt>
                <c:pt idx="9">
                  <c:v>US-UP</c:v>
                </c:pt>
                <c:pt idx="10">
                  <c:v>US</c:v>
                </c:pt>
                <c:pt idx="11">
                  <c:v>Flow Thinning</c:v>
                </c:pt>
                <c:pt idx="12">
                  <c:v>Flow Thinning with modular capacities</c:v>
                </c:pt>
                <c:pt idx="13">
                  <c:v>Affine Flow Thinning</c:v>
                </c:pt>
                <c:pt idx="14">
                  <c:v>Affine Flow Thinning with modular capacities</c:v>
                </c:pt>
              </c:strCache>
            </c:strRef>
          </c:cat>
          <c:val>
            <c:numRef>
              <c:f>conclusion!$C$41:$C$55</c:f>
              <c:numCache>
                <c:formatCode>General</c:formatCode>
                <c:ptCount val="15"/>
                <c:pt idx="0">
                  <c:v>17300</c:v>
                </c:pt>
                <c:pt idx="1">
                  <c:v>17300</c:v>
                </c:pt>
                <c:pt idx="2">
                  <c:v>17300</c:v>
                </c:pt>
                <c:pt idx="3">
                  <c:v>17300</c:v>
                </c:pt>
                <c:pt idx="4">
                  <c:v>17300</c:v>
                </c:pt>
                <c:pt idx="5">
                  <c:v>17300</c:v>
                </c:pt>
                <c:pt idx="6">
                  <c:v>17300</c:v>
                </c:pt>
                <c:pt idx="7">
                  <c:v>17300</c:v>
                </c:pt>
                <c:pt idx="8">
                  <c:v>17300</c:v>
                </c:pt>
                <c:pt idx="9">
                  <c:v>17300</c:v>
                </c:pt>
                <c:pt idx="10">
                  <c:v>17300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71-4A6D-9D6D-033211716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107072"/>
        <c:axId val="191108608"/>
      </c:barChart>
      <c:catAx>
        <c:axId val="191107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1108608"/>
        <c:crosses val="autoZero"/>
        <c:auto val="1"/>
        <c:lblAlgn val="ctr"/>
        <c:lblOffset val="100"/>
        <c:noMultiLvlLbl val="0"/>
      </c:catAx>
      <c:valAx>
        <c:axId val="19110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07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609218540624234"/>
          <c:y val="0.20302802921649268"/>
          <c:w val="0.74930218081152222"/>
          <c:h val="0.382915000522401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conclusion!$D$58</c:f>
              <c:strCache>
                <c:ptCount val="1"/>
                <c:pt idx="0">
                  <c:v>CAPEX (SCU)</c:v>
                </c:pt>
              </c:strCache>
            </c:strRef>
          </c:tx>
          <c:invertIfNegative val="0"/>
          <c:cat>
            <c:strRef>
              <c:f>conclusion!$B$59:$B$73</c:f>
              <c:strCache>
                <c:ptCount val="15"/>
                <c:pt idx="0">
                  <c:v>Shut-off lambda</c:v>
                </c:pt>
                <c:pt idx="1">
                  <c:v>Multiple-path Reroute</c:v>
                </c:pt>
                <c:pt idx="2">
                  <c:v>Selective 0&lt;alpha&lt;1</c:v>
                </c:pt>
                <c:pt idx="3">
                  <c:v>BDF</c:v>
                </c:pt>
                <c:pt idx="4">
                  <c:v>SDF</c:v>
                </c:pt>
                <c:pt idx="5">
                  <c:v>Single-hop Reroute</c:v>
                </c:pt>
                <c:pt idx="6">
                  <c:v>NoRerouting</c:v>
                </c:pt>
                <c:pt idx="7">
                  <c:v>ES-ES</c:v>
                </c:pt>
                <c:pt idx="8">
                  <c:v>US-EP</c:v>
                </c:pt>
                <c:pt idx="9">
                  <c:v>US-UP</c:v>
                </c:pt>
                <c:pt idx="10">
                  <c:v>US</c:v>
                </c:pt>
                <c:pt idx="11">
                  <c:v>Flow Thinning</c:v>
                </c:pt>
                <c:pt idx="12">
                  <c:v>Flow Thinning with modular capacities</c:v>
                </c:pt>
                <c:pt idx="13">
                  <c:v>Affine Flow Thinning</c:v>
                </c:pt>
                <c:pt idx="14">
                  <c:v>Affine Flow Thinning with modular capacities</c:v>
                </c:pt>
              </c:strCache>
            </c:strRef>
          </c:cat>
          <c:val>
            <c:numRef>
              <c:f>conclusion!$D$59:$D$73</c:f>
              <c:numCache>
                <c:formatCode>General</c:formatCode>
                <c:ptCount val="15"/>
                <c:pt idx="0">
                  <c:v>1695</c:v>
                </c:pt>
                <c:pt idx="1">
                  <c:v>1511</c:v>
                </c:pt>
                <c:pt idx="2">
                  <c:v>1526</c:v>
                </c:pt>
                <c:pt idx="3">
                  <c:v>1511</c:v>
                </c:pt>
                <c:pt idx="4">
                  <c:v>1466</c:v>
                </c:pt>
                <c:pt idx="5">
                  <c:v>1588</c:v>
                </c:pt>
                <c:pt idx="6">
                  <c:v>1556</c:v>
                </c:pt>
                <c:pt idx="7">
                  <c:v>1526</c:v>
                </c:pt>
                <c:pt idx="8">
                  <c:v>1511</c:v>
                </c:pt>
                <c:pt idx="9">
                  <c:v>1466</c:v>
                </c:pt>
                <c:pt idx="10">
                  <c:v>1466</c:v>
                </c:pt>
                <c:pt idx="12">
                  <c:v>1148</c:v>
                </c:pt>
                <c:pt idx="14">
                  <c:v>1148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C8-48DC-A35A-A102535D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153664"/>
        <c:axId val="191155200"/>
      </c:barChart>
      <c:catAx>
        <c:axId val="191153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1155200"/>
        <c:crosses val="autoZero"/>
        <c:auto val="1"/>
        <c:lblAlgn val="ctr"/>
        <c:lblOffset val="100"/>
        <c:noMultiLvlLbl val="0"/>
      </c:catAx>
      <c:valAx>
        <c:axId val="191155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53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Free Capacities Before and After Failure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Free Capacity Before Failure</c:v>
          </c:tx>
          <c:invertIfNegative val="0"/>
          <c:cat>
            <c:multiLvlStrRef>
              <c:f>'Multiple-path Reroute'!$A$3:$B$56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'Multiple-path Reroute'!$I$3:$I$56</c:f>
              <c:numCache>
                <c:formatCode>General</c:formatCode>
                <c:ptCount val="54"/>
                <c:pt idx="0">
                  <c:v>134.023</c:v>
                </c:pt>
                <c:pt idx="1">
                  <c:v>160.12074999999999</c:v>
                </c:pt>
                <c:pt idx="2">
                  <c:v>99.23814999999999</c:v>
                </c:pt>
                <c:pt idx="3">
                  <c:v>153.30500000000001</c:v>
                </c:pt>
                <c:pt idx="4">
                  <c:v>167.23000000000002</c:v>
                </c:pt>
                <c:pt idx="5">
                  <c:v>99.23814999999999</c:v>
                </c:pt>
                <c:pt idx="6">
                  <c:v>134.98140000000001</c:v>
                </c:pt>
                <c:pt idx="7">
                  <c:v>99.944999999999993</c:v>
                </c:pt>
                <c:pt idx="8">
                  <c:v>91.926099999999991</c:v>
                </c:pt>
                <c:pt idx="9">
                  <c:v>39.610000000000014</c:v>
                </c:pt>
                <c:pt idx="10">
                  <c:v>188.82499999999999</c:v>
                </c:pt>
                <c:pt idx="12">
                  <c:v>192.74625</c:v>
                </c:pt>
                <c:pt idx="13">
                  <c:v>175.4699</c:v>
                </c:pt>
                <c:pt idx="14">
                  <c:v>57.282899999999998</c:v>
                </c:pt>
                <c:pt idx="15">
                  <c:v>43.075850000000003</c:v>
                </c:pt>
                <c:pt idx="16">
                  <c:v>39.60915</c:v>
                </c:pt>
                <c:pt idx="17">
                  <c:v>188.82499999999999</c:v>
                </c:pt>
                <c:pt idx="18">
                  <c:v>99.943899999999999</c:v>
                </c:pt>
                <c:pt idx="19">
                  <c:v>91.926099999999991</c:v>
                </c:pt>
                <c:pt idx="20">
                  <c:v>187.9485</c:v>
                </c:pt>
                <c:pt idx="21">
                  <c:v>188.82499999999999</c:v>
                </c:pt>
                <c:pt idx="23">
                  <c:v>67.74290000000002</c:v>
                </c:pt>
                <c:pt idx="24">
                  <c:v>87.665850000000006</c:v>
                </c:pt>
                <c:pt idx="25">
                  <c:v>192.74625</c:v>
                </c:pt>
                <c:pt idx="26">
                  <c:v>57.282899999999998</c:v>
                </c:pt>
                <c:pt idx="27">
                  <c:v>43.075850000000003</c:v>
                </c:pt>
                <c:pt idx="28">
                  <c:v>39.60915</c:v>
                </c:pt>
                <c:pt idx="29">
                  <c:v>111.21289999999999</c:v>
                </c:pt>
                <c:pt idx="30">
                  <c:v>153.30500000000001</c:v>
                </c:pt>
                <c:pt idx="31">
                  <c:v>57.282899999999998</c:v>
                </c:pt>
                <c:pt idx="32">
                  <c:v>54.262149999999991</c:v>
                </c:pt>
                <c:pt idx="33">
                  <c:v>43.075850000000003</c:v>
                </c:pt>
                <c:pt idx="34">
                  <c:v>224.33600000000001</c:v>
                </c:pt>
                <c:pt idx="35">
                  <c:v>110.23835000000003</c:v>
                </c:pt>
                <c:pt idx="36">
                  <c:v>306.92275000000001</c:v>
                </c:pt>
                <c:pt idx="37">
                  <c:v>83.096500000000006</c:v>
                </c:pt>
                <c:pt idx="38">
                  <c:v>91.926099999999991</c:v>
                </c:pt>
                <c:pt idx="39">
                  <c:v>87.665850000000006</c:v>
                </c:pt>
                <c:pt idx="40">
                  <c:v>209.83166499999999</c:v>
                </c:pt>
                <c:pt idx="41">
                  <c:v>166.379085</c:v>
                </c:pt>
                <c:pt idx="42">
                  <c:v>62.040400000000005</c:v>
                </c:pt>
                <c:pt idx="43">
                  <c:v>142.44284999999999</c:v>
                </c:pt>
                <c:pt idx="44">
                  <c:v>106.21575</c:v>
                </c:pt>
                <c:pt idx="45">
                  <c:v>126.91800000000001</c:v>
                </c:pt>
                <c:pt idx="46">
                  <c:v>62.040400000000005</c:v>
                </c:pt>
                <c:pt idx="47">
                  <c:v>126.91800000000001</c:v>
                </c:pt>
                <c:pt idx="48">
                  <c:v>126.91800000000001</c:v>
                </c:pt>
                <c:pt idx="49">
                  <c:v>131.56234999999998</c:v>
                </c:pt>
                <c:pt idx="50">
                  <c:v>106.21575</c:v>
                </c:pt>
                <c:pt idx="51">
                  <c:v>183.35083499999999</c:v>
                </c:pt>
                <c:pt idx="52">
                  <c:v>83.096500000000006</c:v>
                </c:pt>
                <c:pt idx="53">
                  <c:v>131.56234999999998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2-4892-B707-2701D8DA5D9E}"/>
            </c:ext>
          </c:extLst>
        </c:ser>
        <c:ser>
          <c:idx val="1"/>
          <c:order val="1"/>
          <c:tx>
            <c:v>Free Capacity After Failure</c:v>
          </c:tx>
          <c:invertIfNegative val="0"/>
          <c:cat>
            <c:multiLvlStrRef>
              <c:f>'Multiple-path Reroute'!$A$3:$B$56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'Multiple-path Reroute'!$N$3:$N$56</c:f>
              <c:numCache>
                <c:formatCode>General</c:formatCode>
                <c:ptCount val="54"/>
                <c:pt idx="0">
                  <c:v>84.022999999999996</c:v>
                </c:pt>
                <c:pt idx="1">
                  <c:v>110.12075</c:v>
                </c:pt>
                <c:pt idx="2">
                  <c:v>99.23814999999999</c:v>
                </c:pt>
                <c:pt idx="3">
                  <c:v>153.30500000000001</c:v>
                </c:pt>
                <c:pt idx="4">
                  <c:v>67.23</c:v>
                </c:pt>
                <c:pt idx="5">
                  <c:v>99.23814999999999</c:v>
                </c:pt>
                <c:pt idx="6">
                  <c:v>84.981400000000008</c:v>
                </c:pt>
                <c:pt idx="7">
                  <c:v>49.944999999999993</c:v>
                </c:pt>
                <c:pt idx="8">
                  <c:v>91.926099999999991</c:v>
                </c:pt>
                <c:pt idx="9">
                  <c:v>39.610000000000014</c:v>
                </c:pt>
                <c:pt idx="10">
                  <c:v>138.82499999999999</c:v>
                </c:pt>
                <c:pt idx="12">
                  <c:v>392.74625000000003</c:v>
                </c:pt>
                <c:pt idx="13">
                  <c:v>125.4699</c:v>
                </c:pt>
                <c:pt idx="14">
                  <c:v>57.282899999999998</c:v>
                </c:pt>
                <c:pt idx="15">
                  <c:v>43.075850000000003</c:v>
                </c:pt>
                <c:pt idx="16">
                  <c:v>39.60915</c:v>
                </c:pt>
                <c:pt idx="17">
                  <c:v>138.82499999999999</c:v>
                </c:pt>
                <c:pt idx="18">
                  <c:v>49.943899999999999</c:v>
                </c:pt>
                <c:pt idx="19">
                  <c:v>91.926099999999991</c:v>
                </c:pt>
                <c:pt idx="20">
                  <c:v>137.9485</c:v>
                </c:pt>
                <c:pt idx="21">
                  <c:v>138.82499999999999</c:v>
                </c:pt>
                <c:pt idx="23">
                  <c:v>-32.25709999999998</c:v>
                </c:pt>
                <c:pt idx="24">
                  <c:v>87.665850000000006</c:v>
                </c:pt>
                <c:pt idx="25">
                  <c:v>192.74625</c:v>
                </c:pt>
                <c:pt idx="26">
                  <c:v>57.282899999999998</c:v>
                </c:pt>
                <c:pt idx="27">
                  <c:v>-6.9241499999999974</c:v>
                </c:pt>
                <c:pt idx="28">
                  <c:v>-10.39085</c:v>
                </c:pt>
                <c:pt idx="29">
                  <c:v>111.21289999999999</c:v>
                </c:pt>
                <c:pt idx="30">
                  <c:v>153.30500000000001</c:v>
                </c:pt>
                <c:pt idx="31">
                  <c:v>57.282899999999998</c:v>
                </c:pt>
                <c:pt idx="32">
                  <c:v>54.262149999999991</c:v>
                </c:pt>
                <c:pt idx="33">
                  <c:v>43.075850000000003</c:v>
                </c:pt>
                <c:pt idx="34">
                  <c:v>224.33600000000001</c:v>
                </c:pt>
                <c:pt idx="35">
                  <c:v>-89.761649999999975</c:v>
                </c:pt>
                <c:pt idx="36">
                  <c:v>6.9227500000000077</c:v>
                </c:pt>
                <c:pt idx="37">
                  <c:v>33.096500000000006</c:v>
                </c:pt>
                <c:pt idx="38">
                  <c:v>91.926099999999991</c:v>
                </c:pt>
                <c:pt idx="39">
                  <c:v>87.665850000000006</c:v>
                </c:pt>
                <c:pt idx="40">
                  <c:v>109.831665</c:v>
                </c:pt>
                <c:pt idx="41">
                  <c:v>116.379085</c:v>
                </c:pt>
                <c:pt idx="42">
                  <c:v>62.040400000000005</c:v>
                </c:pt>
                <c:pt idx="43">
                  <c:v>92.442849999999993</c:v>
                </c:pt>
                <c:pt idx="44">
                  <c:v>106.21575</c:v>
                </c:pt>
                <c:pt idx="45">
                  <c:v>126.91800000000001</c:v>
                </c:pt>
                <c:pt idx="46">
                  <c:v>62.040400000000005</c:v>
                </c:pt>
                <c:pt idx="47">
                  <c:v>126.91800000000001</c:v>
                </c:pt>
                <c:pt idx="48">
                  <c:v>126.91800000000001</c:v>
                </c:pt>
                <c:pt idx="49">
                  <c:v>131.56234999999998</c:v>
                </c:pt>
                <c:pt idx="50">
                  <c:v>106.21575</c:v>
                </c:pt>
                <c:pt idx="51">
                  <c:v>183.35083499999999</c:v>
                </c:pt>
                <c:pt idx="52">
                  <c:v>83.096500000000006</c:v>
                </c:pt>
                <c:pt idx="53">
                  <c:v>131.56234999999998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72-4892-B707-2701D8DA5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570560"/>
        <c:axId val="179572096"/>
      </c:barChart>
      <c:catAx>
        <c:axId val="179570560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79572096"/>
        <c:crosses val="autoZero"/>
        <c:auto val="1"/>
        <c:lblAlgn val="ctr"/>
        <c:lblOffset val="100"/>
        <c:noMultiLvlLbl val="0"/>
      </c:catAx>
      <c:valAx>
        <c:axId val="179572096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Free Capacity</a:t>
                </a:r>
                <a:r>
                  <a:rPr lang="en-US" baseline="0"/>
                  <a:t> </a:t>
                </a:r>
                <a:r>
                  <a:rPr lang="en-US"/>
                  <a:t>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57056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Capacities Before and After Failure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Capacity Before Failure</c:v>
          </c:tx>
          <c:invertIfNegative val="0"/>
          <c:cat>
            <c:multiLvlStrRef>
              <c:f>'Multiple-path Reroute'!$A$3:$B$56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'Multiple-path Reroute'!$E$3:$E$56</c:f>
              <c:numCache>
                <c:formatCode>General</c:formatCode>
                <c:ptCount val="54"/>
                <c:pt idx="0">
                  <c:v>200</c:v>
                </c:pt>
                <c:pt idx="1">
                  <c:v>200</c:v>
                </c:pt>
                <c:pt idx="2">
                  <c:v>150</c:v>
                </c:pt>
                <c:pt idx="3">
                  <c:v>450</c:v>
                </c:pt>
                <c:pt idx="4">
                  <c:v>250</c:v>
                </c:pt>
                <c:pt idx="5">
                  <c:v>150</c:v>
                </c:pt>
                <c:pt idx="6">
                  <c:v>300</c:v>
                </c:pt>
                <c:pt idx="7">
                  <c:v>200</c:v>
                </c:pt>
                <c:pt idx="8">
                  <c:v>300</c:v>
                </c:pt>
                <c:pt idx="9">
                  <c:v>200</c:v>
                </c:pt>
                <c:pt idx="10">
                  <c:v>200</c:v>
                </c:pt>
                <c:pt idx="12">
                  <c:v>400</c:v>
                </c:pt>
                <c:pt idx="13">
                  <c:v>300</c:v>
                </c:pt>
                <c:pt idx="14">
                  <c:v>150</c:v>
                </c:pt>
                <c:pt idx="15">
                  <c:v>150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300</c:v>
                </c:pt>
                <c:pt idx="20">
                  <c:v>200</c:v>
                </c:pt>
                <c:pt idx="21">
                  <c:v>200</c:v>
                </c:pt>
                <c:pt idx="23">
                  <c:v>400</c:v>
                </c:pt>
                <c:pt idx="24">
                  <c:v>300</c:v>
                </c:pt>
                <c:pt idx="25">
                  <c:v>400</c:v>
                </c:pt>
                <c:pt idx="26">
                  <c:v>150</c:v>
                </c:pt>
                <c:pt idx="27">
                  <c:v>150</c:v>
                </c:pt>
                <c:pt idx="28">
                  <c:v>200</c:v>
                </c:pt>
                <c:pt idx="29">
                  <c:v>250</c:v>
                </c:pt>
                <c:pt idx="30">
                  <c:v>450</c:v>
                </c:pt>
                <c:pt idx="31">
                  <c:v>150</c:v>
                </c:pt>
                <c:pt idx="32">
                  <c:v>300</c:v>
                </c:pt>
                <c:pt idx="33">
                  <c:v>150</c:v>
                </c:pt>
                <c:pt idx="34">
                  <c:v>800</c:v>
                </c:pt>
                <c:pt idx="35">
                  <c:v>500</c:v>
                </c:pt>
                <c:pt idx="36">
                  <c:v>750</c:v>
                </c:pt>
                <c:pt idx="37">
                  <c:v>200</c:v>
                </c:pt>
                <c:pt idx="38">
                  <c:v>300</c:v>
                </c:pt>
                <c:pt idx="39">
                  <c:v>300</c:v>
                </c:pt>
                <c:pt idx="40">
                  <c:v>250</c:v>
                </c:pt>
                <c:pt idx="41">
                  <c:v>200</c:v>
                </c:pt>
                <c:pt idx="42">
                  <c:v>150</c:v>
                </c:pt>
                <c:pt idx="43">
                  <c:v>200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200</c:v>
                </c:pt>
                <c:pt idx="50">
                  <c:v>150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40-4648-8244-68CD4401FA11}"/>
            </c:ext>
          </c:extLst>
        </c:ser>
        <c:ser>
          <c:idx val="1"/>
          <c:order val="1"/>
          <c:tx>
            <c:v>Capacity After Failure</c:v>
          </c:tx>
          <c:invertIfNegative val="0"/>
          <c:cat>
            <c:multiLvlStrRef>
              <c:f>'Multiple-path Reroute'!$A$3:$B$56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'Multiple-path Reroute'!$L$3:$L$56</c:f>
              <c:numCache>
                <c:formatCode>General</c:formatCode>
                <c:ptCount val="5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450</c:v>
                </c:pt>
                <c:pt idx="4">
                  <c:v>150</c:v>
                </c:pt>
                <c:pt idx="5">
                  <c:v>150</c:v>
                </c:pt>
                <c:pt idx="6">
                  <c:v>250</c:v>
                </c:pt>
                <c:pt idx="7">
                  <c:v>150</c:v>
                </c:pt>
                <c:pt idx="8">
                  <c:v>300</c:v>
                </c:pt>
                <c:pt idx="9">
                  <c:v>200</c:v>
                </c:pt>
                <c:pt idx="10">
                  <c:v>150</c:v>
                </c:pt>
                <c:pt idx="12">
                  <c:v>600</c:v>
                </c:pt>
                <c:pt idx="13">
                  <c:v>250</c:v>
                </c:pt>
                <c:pt idx="14">
                  <c:v>150</c:v>
                </c:pt>
                <c:pt idx="15">
                  <c:v>150</c:v>
                </c:pt>
                <c:pt idx="16">
                  <c:v>200</c:v>
                </c:pt>
                <c:pt idx="17">
                  <c:v>150</c:v>
                </c:pt>
                <c:pt idx="18">
                  <c:v>150</c:v>
                </c:pt>
                <c:pt idx="19">
                  <c:v>300</c:v>
                </c:pt>
                <c:pt idx="20">
                  <c:v>150</c:v>
                </c:pt>
                <c:pt idx="21">
                  <c:v>150</c:v>
                </c:pt>
                <c:pt idx="23">
                  <c:v>300</c:v>
                </c:pt>
                <c:pt idx="24">
                  <c:v>300</c:v>
                </c:pt>
                <c:pt idx="25">
                  <c:v>400</c:v>
                </c:pt>
                <c:pt idx="26">
                  <c:v>150</c:v>
                </c:pt>
                <c:pt idx="27">
                  <c:v>100</c:v>
                </c:pt>
                <c:pt idx="28">
                  <c:v>150</c:v>
                </c:pt>
                <c:pt idx="29">
                  <c:v>250</c:v>
                </c:pt>
                <c:pt idx="30">
                  <c:v>450</c:v>
                </c:pt>
                <c:pt idx="31">
                  <c:v>150</c:v>
                </c:pt>
                <c:pt idx="32">
                  <c:v>300</c:v>
                </c:pt>
                <c:pt idx="33">
                  <c:v>150</c:v>
                </c:pt>
                <c:pt idx="34">
                  <c:v>800</c:v>
                </c:pt>
                <c:pt idx="35">
                  <c:v>300</c:v>
                </c:pt>
                <c:pt idx="36">
                  <c:v>450</c:v>
                </c:pt>
                <c:pt idx="37">
                  <c:v>150</c:v>
                </c:pt>
                <c:pt idx="38">
                  <c:v>300</c:v>
                </c:pt>
                <c:pt idx="39">
                  <c:v>300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200</c:v>
                </c:pt>
                <c:pt idx="50">
                  <c:v>150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40-4648-8244-68CD4401F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626752"/>
        <c:axId val="179628288"/>
      </c:barChart>
      <c:catAx>
        <c:axId val="179626752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79628288"/>
        <c:crosses val="autoZero"/>
        <c:auto val="1"/>
        <c:lblAlgn val="ctr"/>
        <c:lblOffset val="100"/>
        <c:noMultiLvlLbl val="0"/>
      </c:catAx>
      <c:valAx>
        <c:axId val="179628288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62675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Multiple-path Reroute Extra Capacity Needed(G)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'Multiple-path Reroute'!$S$6</c:f>
              <c:strCache>
                <c:ptCount val="1"/>
                <c:pt idx="0">
                  <c:v>Extra Capacity Needed(G)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'Multiple-path Reroute'!$R$7:$R$11</c:f>
              <c:strCache>
                <c:ptCount val="5"/>
                <c:pt idx="0">
                  <c:v>F - H </c:v>
                </c:pt>
                <c:pt idx="2">
                  <c:v>F - N</c:v>
                </c:pt>
                <c:pt idx="4">
                  <c:v>Total </c:v>
                </c:pt>
              </c:strCache>
            </c:strRef>
          </c:cat>
          <c:val>
            <c:numRef>
              <c:f>'Multiple-path Reroute'!$S$7:$S$11</c:f>
              <c:numCache>
                <c:formatCode>General</c:formatCode>
                <c:ptCount val="5"/>
                <c:pt idx="0">
                  <c:v>11</c:v>
                </c:pt>
                <c:pt idx="2">
                  <c:v>47</c:v>
                </c:pt>
                <c:pt idx="4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60-4A00-A6E9-3FE6747D2A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9728384"/>
        <c:axId val="179729920"/>
      </c:barChart>
      <c:catAx>
        <c:axId val="179728384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79729920"/>
        <c:crosses val="autoZero"/>
        <c:auto val="1"/>
        <c:lblAlgn val="ctr"/>
        <c:lblOffset val="100"/>
        <c:noMultiLvlLbl val="0"/>
      </c:catAx>
      <c:valAx>
        <c:axId val="179729920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17972838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Free Capacities Before and After Failure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Free Capacity Before Failure</c:v>
          </c:tx>
          <c:invertIfNegative val="0"/>
          <c:cat>
            <c:multiLvlStrRef>
              <c:f>'Selective 0&lt;alpha&lt;1'!$A$3:$B$56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'Selective 0&lt;alpha&lt;1'!$I$3:$I$56</c:f>
              <c:numCache>
                <c:formatCode>General</c:formatCode>
                <c:ptCount val="54"/>
                <c:pt idx="0">
                  <c:v>134.023</c:v>
                </c:pt>
                <c:pt idx="1">
                  <c:v>160.12074999999999</c:v>
                </c:pt>
                <c:pt idx="2">
                  <c:v>99.23814999999999</c:v>
                </c:pt>
                <c:pt idx="3">
                  <c:v>153.30500000000001</c:v>
                </c:pt>
                <c:pt idx="4">
                  <c:v>167.23000000000002</c:v>
                </c:pt>
                <c:pt idx="5">
                  <c:v>99.23814999999999</c:v>
                </c:pt>
                <c:pt idx="6">
                  <c:v>134.98140000000001</c:v>
                </c:pt>
                <c:pt idx="7">
                  <c:v>99.944999999999993</c:v>
                </c:pt>
                <c:pt idx="8">
                  <c:v>91.926099999999991</c:v>
                </c:pt>
                <c:pt idx="9">
                  <c:v>39.610000000000014</c:v>
                </c:pt>
                <c:pt idx="10">
                  <c:v>188.82499999999999</c:v>
                </c:pt>
                <c:pt idx="12">
                  <c:v>192.74625</c:v>
                </c:pt>
                <c:pt idx="13">
                  <c:v>175.4699</c:v>
                </c:pt>
                <c:pt idx="14">
                  <c:v>57.282899999999998</c:v>
                </c:pt>
                <c:pt idx="15">
                  <c:v>43.075850000000003</c:v>
                </c:pt>
                <c:pt idx="16">
                  <c:v>39.60915</c:v>
                </c:pt>
                <c:pt idx="17">
                  <c:v>188.82499999999999</c:v>
                </c:pt>
                <c:pt idx="18">
                  <c:v>99.943899999999999</c:v>
                </c:pt>
                <c:pt idx="19">
                  <c:v>91.926099999999991</c:v>
                </c:pt>
                <c:pt idx="20">
                  <c:v>187.9485</c:v>
                </c:pt>
                <c:pt idx="21">
                  <c:v>188.82499999999999</c:v>
                </c:pt>
                <c:pt idx="23">
                  <c:v>67.74290000000002</c:v>
                </c:pt>
                <c:pt idx="24">
                  <c:v>87.665850000000006</c:v>
                </c:pt>
                <c:pt idx="25">
                  <c:v>192.74625</c:v>
                </c:pt>
                <c:pt idx="26">
                  <c:v>57.282899999999998</c:v>
                </c:pt>
                <c:pt idx="27">
                  <c:v>43.075850000000003</c:v>
                </c:pt>
                <c:pt idx="28">
                  <c:v>39.60915</c:v>
                </c:pt>
                <c:pt idx="29">
                  <c:v>111.21289999999999</c:v>
                </c:pt>
                <c:pt idx="30">
                  <c:v>153.30500000000001</c:v>
                </c:pt>
                <c:pt idx="31">
                  <c:v>57.282899999999998</c:v>
                </c:pt>
                <c:pt idx="32">
                  <c:v>54.262149999999991</c:v>
                </c:pt>
                <c:pt idx="33">
                  <c:v>43.075850000000003</c:v>
                </c:pt>
                <c:pt idx="34">
                  <c:v>224.33600000000001</c:v>
                </c:pt>
                <c:pt idx="35">
                  <c:v>110.23835000000003</c:v>
                </c:pt>
                <c:pt idx="36">
                  <c:v>306.92275000000001</c:v>
                </c:pt>
                <c:pt idx="37">
                  <c:v>83.096500000000006</c:v>
                </c:pt>
                <c:pt idx="38">
                  <c:v>91.926099999999991</c:v>
                </c:pt>
                <c:pt idx="39">
                  <c:v>87.665850000000006</c:v>
                </c:pt>
                <c:pt idx="40">
                  <c:v>209.83166499999999</c:v>
                </c:pt>
                <c:pt idx="41">
                  <c:v>166.379085</c:v>
                </c:pt>
                <c:pt idx="42">
                  <c:v>62.040400000000005</c:v>
                </c:pt>
                <c:pt idx="43">
                  <c:v>142.44284999999999</c:v>
                </c:pt>
                <c:pt idx="44">
                  <c:v>106.21575</c:v>
                </c:pt>
                <c:pt idx="45">
                  <c:v>126.91800000000001</c:v>
                </c:pt>
                <c:pt idx="46">
                  <c:v>62.040400000000005</c:v>
                </c:pt>
                <c:pt idx="47">
                  <c:v>126.91800000000001</c:v>
                </c:pt>
                <c:pt idx="48">
                  <c:v>126.91800000000001</c:v>
                </c:pt>
                <c:pt idx="49">
                  <c:v>131.56234999999998</c:v>
                </c:pt>
                <c:pt idx="50">
                  <c:v>106.21575</c:v>
                </c:pt>
                <c:pt idx="51">
                  <c:v>183.35083499999999</c:v>
                </c:pt>
                <c:pt idx="52">
                  <c:v>83.096500000000006</c:v>
                </c:pt>
                <c:pt idx="53">
                  <c:v>131.56234999999998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17-4A2F-B56C-2787676C0EDA}"/>
            </c:ext>
          </c:extLst>
        </c:ser>
        <c:ser>
          <c:idx val="1"/>
          <c:order val="1"/>
          <c:tx>
            <c:v>Free Capacity After Failure</c:v>
          </c:tx>
          <c:invertIfNegative val="0"/>
          <c:cat>
            <c:multiLvlStrRef>
              <c:f>'Selective 0&lt;alpha&lt;1'!$A$3:$B$56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'Selective 0&lt;alpha&lt;1'!$N$3:$N$56</c:f>
              <c:numCache>
                <c:formatCode>General</c:formatCode>
                <c:ptCount val="54"/>
                <c:pt idx="0">
                  <c:v>84.022999999999996</c:v>
                </c:pt>
                <c:pt idx="1">
                  <c:v>110.12075</c:v>
                </c:pt>
                <c:pt idx="2">
                  <c:v>99.23814999999999</c:v>
                </c:pt>
                <c:pt idx="3">
                  <c:v>153.30500000000001</c:v>
                </c:pt>
                <c:pt idx="4">
                  <c:v>67.23</c:v>
                </c:pt>
                <c:pt idx="5">
                  <c:v>99.23814999999999</c:v>
                </c:pt>
                <c:pt idx="6">
                  <c:v>84.981400000000008</c:v>
                </c:pt>
                <c:pt idx="7">
                  <c:v>49.944999999999993</c:v>
                </c:pt>
                <c:pt idx="8">
                  <c:v>91.926099999999991</c:v>
                </c:pt>
                <c:pt idx="9">
                  <c:v>39.610000000000014</c:v>
                </c:pt>
                <c:pt idx="10">
                  <c:v>138.82499999999999</c:v>
                </c:pt>
                <c:pt idx="12">
                  <c:v>392.74625000000003</c:v>
                </c:pt>
                <c:pt idx="13">
                  <c:v>125.4699</c:v>
                </c:pt>
                <c:pt idx="14">
                  <c:v>57.282899999999998</c:v>
                </c:pt>
                <c:pt idx="15">
                  <c:v>43.075850000000003</c:v>
                </c:pt>
                <c:pt idx="16">
                  <c:v>39.60915</c:v>
                </c:pt>
                <c:pt idx="17">
                  <c:v>138.82499999999999</c:v>
                </c:pt>
                <c:pt idx="18">
                  <c:v>49.943899999999999</c:v>
                </c:pt>
                <c:pt idx="19">
                  <c:v>91.926099999999991</c:v>
                </c:pt>
                <c:pt idx="20">
                  <c:v>137.9485</c:v>
                </c:pt>
                <c:pt idx="21">
                  <c:v>138.82499999999999</c:v>
                </c:pt>
                <c:pt idx="23">
                  <c:v>-32.25709999999998</c:v>
                </c:pt>
                <c:pt idx="24">
                  <c:v>87.665850000000006</c:v>
                </c:pt>
                <c:pt idx="25">
                  <c:v>192.74625</c:v>
                </c:pt>
                <c:pt idx="26">
                  <c:v>57.282899999999998</c:v>
                </c:pt>
                <c:pt idx="27">
                  <c:v>-6.9241499999999974</c:v>
                </c:pt>
                <c:pt idx="28">
                  <c:v>-10.39085</c:v>
                </c:pt>
                <c:pt idx="29">
                  <c:v>111.21289999999999</c:v>
                </c:pt>
                <c:pt idx="30">
                  <c:v>153.30500000000001</c:v>
                </c:pt>
                <c:pt idx="31">
                  <c:v>57.282899999999998</c:v>
                </c:pt>
                <c:pt idx="32">
                  <c:v>54.262149999999991</c:v>
                </c:pt>
                <c:pt idx="33">
                  <c:v>43.075850000000003</c:v>
                </c:pt>
                <c:pt idx="34">
                  <c:v>224.33600000000001</c:v>
                </c:pt>
                <c:pt idx="35">
                  <c:v>-89.761649999999975</c:v>
                </c:pt>
                <c:pt idx="36">
                  <c:v>6.9227500000000077</c:v>
                </c:pt>
                <c:pt idx="37">
                  <c:v>33.096500000000006</c:v>
                </c:pt>
                <c:pt idx="38">
                  <c:v>91.926099999999991</c:v>
                </c:pt>
                <c:pt idx="39">
                  <c:v>87.665850000000006</c:v>
                </c:pt>
                <c:pt idx="40">
                  <c:v>109.831665</c:v>
                </c:pt>
                <c:pt idx="41">
                  <c:v>116.379085</c:v>
                </c:pt>
                <c:pt idx="42">
                  <c:v>62.040400000000005</c:v>
                </c:pt>
                <c:pt idx="43">
                  <c:v>92.442849999999993</c:v>
                </c:pt>
                <c:pt idx="44">
                  <c:v>106.21575</c:v>
                </c:pt>
                <c:pt idx="45">
                  <c:v>126.91800000000001</c:v>
                </c:pt>
                <c:pt idx="46">
                  <c:v>62.040400000000005</c:v>
                </c:pt>
                <c:pt idx="47">
                  <c:v>126.91800000000001</c:v>
                </c:pt>
                <c:pt idx="48">
                  <c:v>126.91800000000001</c:v>
                </c:pt>
                <c:pt idx="49">
                  <c:v>131.56234999999998</c:v>
                </c:pt>
                <c:pt idx="50">
                  <c:v>106.21575</c:v>
                </c:pt>
                <c:pt idx="51">
                  <c:v>183.35083499999999</c:v>
                </c:pt>
                <c:pt idx="52">
                  <c:v>83.096500000000006</c:v>
                </c:pt>
                <c:pt idx="53">
                  <c:v>131.56234999999998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17-4A2F-B56C-2787676C0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398336"/>
        <c:axId val="179789824"/>
      </c:barChart>
      <c:catAx>
        <c:axId val="180398336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79789824"/>
        <c:crosses val="autoZero"/>
        <c:auto val="1"/>
        <c:lblAlgn val="ctr"/>
        <c:lblOffset val="100"/>
        <c:noMultiLvlLbl val="0"/>
      </c:catAx>
      <c:valAx>
        <c:axId val="179789824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Free Capacity</a:t>
                </a:r>
                <a:r>
                  <a:rPr lang="en-US" baseline="0"/>
                  <a:t> </a:t>
                </a:r>
                <a:r>
                  <a:rPr lang="en-US"/>
                  <a:t>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39833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Capacities Before and After Failure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Capacity Before Failure</c:v>
          </c:tx>
          <c:invertIfNegative val="0"/>
          <c:cat>
            <c:multiLvlStrRef>
              <c:f>'Selective 0&lt;alpha&lt;1'!$A$3:$B$56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'Selective 0&lt;alpha&lt;1'!$E$3:$E$56</c:f>
              <c:numCache>
                <c:formatCode>General</c:formatCode>
                <c:ptCount val="54"/>
                <c:pt idx="0">
                  <c:v>200</c:v>
                </c:pt>
                <c:pt idx="1">
                  <c:v>200</c:v>
                </c:pt>
                <c:pt idx="2">
                  <c:v>150</c:v>
                </c:pt>
                <c:pt idx="3">
                  <c:v>450</c:v>
                </c:pt>
                <c:pt idx="4">
                  <c:v>250</c:v>
                </c:pt>
                <c:pt idx="5">
                  <c:v>150</c:v>
                </c:pt>
                <c:pt idx="6">
                  <c:v>300</c:v>
                </c:pt>
                <c:pt idx="7">
                  <c:v>200</c:v>
                </c:pt>
                <c:pt idx="8">
                  <c:v>300</c:v>
                </c:pt>
                <c:pt idx="9">
                  <c:v>200</c:v>
                </c:pt>
                <c:pt idx="10">
                  <c:v>200</c:v>
                </c:pt>
                <c:pt idx="12">
                  <c:v>400</c:v>
                </c:pt>
                <c:pt idx="13">
                  <c:v>300</c:v>
                </c:pt>
                <c:pt idx="14">
                  <c:v>150</c:v>
                </c:pt>
                <c:pt idx="15">
                  <c:v>150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300</c:v>
                </c:pt>
                <c:pt idx="20">
                  <c:v>200</c:v>
                </c:pt>
                <c:pt idx="21">
                  <c:v>200</c:v>
                </c:pt>
                <c:pt idx="23">
                  <c:v>400</c:v>
                </c:pt>
                <c:pt idx="24">
                  <c:v>300</c:v>
                </c:pt>
                <c:pt idx="25">
                  <c:v>400</c:v>
                </c:pt>
                <c:pt idx="26">
                  <c:v>150</c:v>
                </c:pt>
                <c:pt idx="27">
                  <c:v>150</c:v>
                </c:pt>
                <c:pt idx="28">
                  <c:v>200</c:v>
                </c:pt>
                <c:pt idx="29">
                  <c:v>250</c:v>
                </c:pt>
                <c:pt idx="30">
                  <c:v>450</c:v>
                </c:pt>
                <c:pt idx="31">
                  <c:v>150</c:v>
                </c:pt>
                <c:pt idx="32">
                  <c:v>300</c:v>
                </c:pt>
                <c:pt idx="33">
                  <c:v>150</c:v>
                </c:pt>
                <c:pt idx="34">
                  <c:v>800</c:v>
                </c:pt>
                <c:pt idx="35">
                  <c:v>500</c:v>
                </c:pt>
                <c:pt idx="36">
                  <c:v>750</c:v>
                </c:pt>
                <c:pt idx="37">
                  <c:v>200</c:v>
                </c:pt>
                <c:pt idx="38">
                  <c:v>300</c:v>
                </c:pt>
                <c:pt idx="39">
                  <c:v>300</c:v>
                </c:pt>
                <c:pt idx="40">
                  <c:v>250</c:v>
                </c:pt>
                <c:pt idx="41">
                  <c:v>200</c:v>
                </c:pt>
                <c:pt idx="42">
                  <c:v>150</c:v>
                </c:pt>
                <c:pt idx="43">
                  <c:v>200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200</c:v>
                </c:pt>
                <c:pt idx="50">
                  <c:v>150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0-4A01-84A3-8006B6322026}"/>
            </c:ext>
          </c:extLst>
        </c:ser>
        <c:ser>
          <c:idx val="1"/>
          <c:order val="1"/>
          <c:tx>
            <c:v>Capacity After Failure</c:v>
          </c:tx>
          <c:invertIfNegative val="0"/>
          <c:cat>
            <c:multiLvlStrRef>
              <c:f>'Selective 0&lt;alpha&lt;1'!$A$3:$B$56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'Selective 0&lt;alpha&lt;1'!$L$3:$L$56</c:f>
              <c:numCache>
                <c:formatCode>General</c:formatCode>
                <c:ptCount val="5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450</c:v>
                </c:pt>
                <c:pt idx="4">
                  <c:v>150</c:v>
                </c:pt>
                <c:pt idx="5">
                  <c:v>150</c:v>
                </c:pt>
                <c:pt idx="6">
                  <c:v>250</c:v>
                </c:pt>
                <c:pt idx="7">
                  <c:v>150</c:v>
                </c:pt>
                <c:pt idx="8">
                  <c:v>300</c:v>
                </c:pt>
                <c:pt idx="9">
                  <c:v>200</c:v>
                </c:pt>
                <c:pt idx="10">
                  <c:v>150</c:v>
                </c:pt>
                <c:pt idx="12">
                  <c:v>600</c:v>
                </c:pt>
                <c:pt idx="13">
                  <c:v>250</c:v>
                </c:pt>
                <c:pt idx="14">
                  <c:v>150</c:v>
                </c:pt>
                <c:pt idx="15">
                  <c:v>150</c:v>
                </c:pt>
                <c:pt idx="16">
                  <c:v>200</c:v>
                </c:pt>
                <c:pt idx="17">
                  <c:v>150</c:v>
                </c:pt>
                <c:pt idx="18">
                  <c:v>150</c:v>
                </c:pt>
                <c:pt idx="19">
                  <c:v>300</c:v>
                </c:pt>
                <c:pt idx="20">
                  <c:v>150</c:v>
                </c:pt>
                <c:pt idx="21">
                  <c:v>150</c:v>
                </c:pt>
                <c:pt idx="23">
                  <c:v>300</c:v>
                </c:pt>
                <c:pt idx="24">
                  <c:v>300</c:v>
                </c:pt>
                <c:pt idx="25">
                  <c:v>400</c:v>
                </c:pt>
                <c:pt idx="26">
                  <c:v>150</c:v>
                </c:pt>
                <c:pt idx="27">
                  <c:v>100</c:v>
                </c:pt>
                <c:pt idx="28">
                  <c:v>150</c:v>
                </c:pt>
                <c:pt idx="29">
                  <c:v>250</c:v>
                </c:pt>
                <c:pt idx="30">
                  <c:v>450</c:v>
                </c:pt>
                <c:pt idx="31">
                  <c:v>150</c:v>
                </c:pt>
                <c:pt idx="32">
                  <c:v>300</c:v>
                </c:pt>
                <c:pt idx="33">
                  <c:v>150</c:v>
                </c:pt>
                <c:pt idx="34">
                  <c:v>800</c:v>
                </c:pt>
                <c:pt idx="35">
                  <c:v>300</c:v>
                </c:pt>
                <c:pt idx="36">
                  <c:v>450</c:v>
                </c:pt>
                <c:pt idx="37">
                  <c:v>150</c:v>
                </c:pt>
                <c:pt idx="38">
                  <c:v>300</c:v>
                </c:pt>
                <c:pt idx="39">
                  <c:v>300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200</c:v>
                </c:pt>
                <c:pt idx="50">
                  <c:v>150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E0-4A01-84A3-8006B6322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796992"/>
        <c:axId val="179639040"/>
      </c:barChart>
      <c:catAx>
        <c:axId val="179796992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79639040"/>
        <c:crosses val="autoZero"/>
        <c:auto val="1"/>
        <c:lblAlgn val="ctr"/>
        <c:lblOffset val="100"/>
        <c:noMultiLvlLbl val="0"/>
      </c:catAx>
      <c:valAx>
        <c:axId val="179639040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79699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Selective 0&lt;alpha&lt;1 Extra Capacity Needed(G)</a:t>
            </a:r>
          </a:p>
        </c:rich>
      </c:tx>
      <c:layout>
        <c:manualLayout>
          <c:xMode val="edge"/>
          <c:yMode val="edge"/>
          <c:x val="0.26430603484098208"/>
          <c:y val="3.6823935558112773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'Selective 0&lt;alpha&lt;1'!$T$11</c:f>
              <c:strCache>
                <c:ptCount val="1"/>
                <c:pt idx="0">
                  <c:v>Extra Capacity Needed(G)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'Selective 0&lt;alpha&lt;1'!$S$12:$S$16</c:f>
              <c:strCache>
                <c:ptCount val="5"/>
                <c:pt idx="0">
                  <c:v>F - H </c:v>
                </c:pt>
                <c:pt idx="1">
                  <c:v>DO - F </c:v>
                </c:pt>
                <c:pt idx="2">
                  <c:v>F - N</c:v>
                </c:pt>
                <c:pt idx="4">
                  <c:v>Total </c:v>
                </c:pt>
              </c:strCache>
            </c:strRef>
          </c:cat>
          <c:val>
            <c:numRef>
              <c:f>'Selective 0&lt;alpha&lt;1'!$T$12:$T$16</c:f>
              <c:numCache>
                <c:formatCode>General</c:formatCode>
                <c:ptCount val="5"/>
                <c:pt idx="0">
                  <c:v>26.96</c:v>
                </c:pt>
                <c:pt idx="1">
                  <c:v>6.25</c:v>
                </c:pt>
                <c:pt idx="2">
                  <c:v>72.45</c:v>
                </c:pt>
                <c:pt idx="4">
                  <c:v>105.66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80-4029-BE1A-408517C436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9824512"/>
        <c:axId val="179826048"/>
      </c:barChart>
      <c:catAx>
        <c:axId val="179824512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79826048"/>
        <c:crosses val="autoZero"/>
        <c:auto val="1"/>
        <c:lblAlgn val="ctr"/>
        <c:lblOffset val="100"/>
        <c:noMultiLvlLbl val="0"/>
      </c:catAx>
      <c:valAx>
        <c:axId val="179826048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17982451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171450</xdr:colOff>
      <xdr:row>2</xdr:row>
      <xdr:rowOff>95250</xdr:rowOff>
    </xdr:from>
    <xdr:to>
      <xdr:col>18</xdr:col>
      <xdr:colOff>461010</xdr:colOff>
      <xdr:row>25</xdr:row>
      <xdr:rowOff>123825</xdr:rowOff>
    </xdr:to>
    <xdr:pic>
      <xdr:nvPicPr>
        <xdr:cNvPr id="350" name="Picture 349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11050" y="476250"/>
          <a:ext cx="3718560" cy="42005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21</xdr:col>
      <xdr:colOff>38100</xdr:colOff>
      <xdr:row>2</xdr:row>
      <xdr:rowOff>129267</xdr:rowOff>
    </xdr:from>
    <xdr:to>
      <xdr:col>26</xdr:col>
      <xdr:colOff>636494</xdr:colOff>
      <xdr:row>25</xdr:row>
      <xdr:rowOff>171450</xdr:rowOff>
    </xdr:to>
    <xdr:pic>
      <xdr:nvPicPr>
        <xdr:cNvPr id="352" name="Picture 351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64100" y="500742"/>
          <a:ext cx="4027394" cy="4214133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19</xdr:col>
      <xdr:colOff>647700</xdr:colOff>
      <xdr:row>9</xdr:row>
      <xdr:rowOff>76201</xdr:rowOff>
    </xdr:from>
    <xdr:to>
      <xdr:col>20</xdr:col>
      <xdr:colOff>126410</xdr:colOff>
      <xdr:row>22</xdr:row>
      <xdr:rowOff>22106</xdr:rowOff>
    </xdr:to>
    <xdr:sp macro="" textlink="">
      <xdr:nvSpPr>
        <xdr:cNvPr id="353" name="AutoShape 39"/>
        <xdr:cNvSpPr>
          <a:spLocks noChangeArrowheads="1"/>
        </xdr:cNvSpPr>
      </xdr:nvSpPr>
      <xdr:spPr bwMode="gray">
        <a:xfrm rot="5400000">
          <a:off x="15730302" y="2919649"/>
          <a:ext cx="2422405" cy="164510"/>
        </a:xfrm>
        <a:prstGeom prst="triangle">
          <a:avLst>
            <a:gd name="adj" fmla="val 50000"/>
          </a:avLst>
        </a:prstGeom>
        <a:gradFill rotWithShape="0">
          <a:gsLst>
            <a:gs pos="0">
              <a:srgbClr val="FFCCFF"/>
            </a:gs>
            <a:gs pos="78999">
              <a:srgbClr val="E20074"/>
            </a:gs>
            <a:gs pos="100000">
              <a:schemeClr val="tx2"/>
            </a:gs>
          </a:gsLst>
          <a:lin ang="10800000"/>
        </a:gradFill>
        <a:ln w="12700" algn="ctr">
          <a:solidFill>
            <a:schemeClr val="tx2"/>
          </a:solidFill>
          <a:round/>
          <a:headEnd/>
          <a:tailEnd/>
        </a:ln>
      </xdr:spPr>
      <xdr:txBody>
        <a:bodyPr rot="10800000" vert="eaVert" wrap="square" lIns="79383" tIns="0" rIns="0" bIns="0"/>
        <a:lstStyle>
          <a:defPPr>
            <a:defRPr lang="de-DE"/>
          </a:defPPr>
          <a:lvl1pPr marL="0" algn="l" defTabSz="1152144" rtl="0" eaLnBrk="1" latinLnBrk="0" hangingPunct="1">
            <a:defRPr sz="23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576072" algn="l" defTabSz="1152144" rtl="0" eaLnBrk="1" latinLnBrk="0" hangingPunct="1">
            <a:defRPr sz="23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152144" algn="l" defTabSz="1152144" rtl="0" eaLnBrk="1" latinLnBrk="0" hangingPunct="1">
            <a:defRPr sz="23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728216" algn="l" defTabSz="1152144" rtl="0" eaLnBrk="1" latinLnBrk="0" hangingPunct="1">
            <a:defRPr sz="23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304288" algn="l" defTabSz="1152144" rtl="0" eaLnBrk="1" latinLnBrk="0" hangingPunct="1">
            <a:defRPr sz="23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880360" algn="l" defTabSz="1152144" rtl="0" eaLnBrk="1" latinLnBrk="0" hangingPunct="1">
            <a:defRPr sz="23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456432" algn="l" defTabSz="1152144" rtl="0" eaLnBrk="1" latinLnBrk="0" hangingPunct="1">
            <a:defRPr sz="23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4032504" algn="l" defTabSz="1152144" rtl="0" eaLnBrk="1" latinLnBrk="0" hangingPunct="1">
            <a:defRPr sz="23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4608576" algn="l" defTabSz="1152144" rtl="0" eaLnBrk="1" latinLnBrk="0" hangingPunct="1">
            <a:defRPr sz="23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243259" indent="-243259" algn="ctr">
            <a:spcBef>
              <a:spcPct val="0"/>
            </a:spcBef>
            <a:defRPr/>
          </a:pPr>
          <a:endParaRPr lang="en-GB" sz="1800">
            <a:solidFill>
              <a:schemeClr val="bg1"/>
            </a:solidFill>
            <a:latin typeface="Tele-GroteskFet" pitchFamily="2" charset="0"/>
            <a:cs typeface="Arial" charset="0"/>
          </a:endParaRPr>
        </a:p>
      </xdr:txBody>
    </xdr:sp>
    <xdr:clientData/>
  </xdr:twoCellAnchor>
  <xdr:oneCellAnchor>
    <xdr:from>
      <xdr:col>17</xdr:col>
      <xdr:colOff>190500</xdr:colOff>
      <xdr:row>6</xdr:row>
      <xdr:rowOff>95250</xdr:rowOff>
    </xdr:from>
    <xdr:ext cx="519693" cy="264560"/>
    <xdr:sp macro="" textlink="">
      <xdr:nvSpPr>
        <xdr:cNvPr id="2" name="TextBox 1"/>
        <xdr:cNvSpPr txBox="1"/>
      </xdr:nvSpPr>
      <xdr:spPr>
        <a:xfrm>
          <a:off x="14973300" y="1200150"/>
          <a:ext cx="5196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Berlin</a:t>
          </a:r>
          <a:endParaRPr lang="ur-PK" sz="1100"/>
        </a:p>
      </xdr:txBody>
    </xdr:sp>
    <xdr:clientData/>
  </xdr:oneCellAnchor>
  <xdr:oneCellAnchor>
    <xdr:from>
      <xdr:col>15</xdr:col>
      <xdr:colOff>238125</xdr:colOff>
      <xdr:row>8</xdr:row>
      <xdr:rowOff>38100</xdr:rowOff>
    </xdr:from>
    <xdr:ext cx="745910" cy="264560"/>
    <xdr:sp macro="" textlink="">
      <xdr:nvSpPr>
        <xdr:cNvPr id="7" name="TextBox 6"/>
        <xdr:cNvSpPr txBox="1"/>
      </xdr:nvSpPr>
      <xdr:spPr>
        <a:xfrm>
          <a:off x="13649325" y="1504950"/>
          <a:ext cx="74591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Hannover</a:t>
          </a:r>
          <a:endParaRPr lang="ur-PK" sz="1100"/>
        </a:p>
      </xdr:txBody>
    </xdr:sp>
    <xdr:clientData/>
  </xdr:oneCellAnchor>
  <xdr:oneCellAnchor>
    <xdr:from>
      <xdr:col>15</xdr:col>
      <xdr:colOff>361950</xdr:colOff>
      <xdr:row>4</xdr:row>
      <xdr:rowOff>85725</xdr:rowOff>
    </xdr:from>
    <xdr:ext cx="716671" cy="264560"/>
    <xdr:sp macro="" textlink="">
      <xdr:nvSpPr>
        <xdr:cNvPr id="8" name="TextBox 7"/>
        <xdr:cNvSpPr txBox="1"/>
      </xdr:nvSpPr>
      <xdr:spPr>
        <a:xfrm>
          <a:off x="13773150" y="819150"/>
          <a:ext cx="7166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Hamburg</a:t>
          </a:r>
          <a:endParaRPr lang="ur-PK" sz="1100"/>
        </a:p>
      </xdr:txBody>
    </xdr:sp>
    <xdr:clientData/>
  </xdr:oneCellAnchor>
  <xdr:oneCellAnchor>
    <xdr:from>
      <xdr:col>16</xdr:col>
      <xdr:colOff>676275</xdr:colOff>
      <xdr:row>11</xdr:row>
      <xdr:rowOff>133350</xdr:rowOff>
    </xdr:from>
    <xdr:ext cx="575222" cy="264560"/>
    <xdr:sp macro="" textlink="">
      <xdr:nvSpPr>
        <xdr:cNvPr id="9" name="TextBox 8"/>
        <xdr:cNvSpPr txBox="1"/>
      </xdr:nvSpPr>
      <xdr:spPr>
        <a:xfrm>
          <a:off x="14773275" y="2143125"/>
          <a:ext cx="5752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Leipzig</a:t>
          </a:r>
          <a:endParaRPr lang="ur-PK" sz="1100"/>
        </a:p>
      </xdr:txBody>
    </xdr:sp>
    <xdr:clientData/>
  </xdr:oneCellAnchor>
  <xdr:oneCellAnchor>
    <xdr:from>
      <xdr:col>14</xdr:col>
      <xdr:colOff>171450</xdr:colOff>
      <xdr:row>9</xdr:row>
      <xdr:rowOff>123825</xdr:rowOff>
    </xdr:from>
    <xdr:ext cx="777329" cy="264560"/>
    <xdr:sp macro="" textlink="">
      <xdr:nvSpPr>
        <xdr:cNvPr id="10" name="TextBox 9"/>
        <xdr:cNvSpPr txBox="1"/>
      </xdr:nvSpPr>
      <xdr:spPr>
        <a:xfrm>
          <a:off x="12896850" y="1771650"/>
          <a:ext cx="77732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Dortmund</a:t>
          </a:r>
          <a:endParaRPr lang="ur-PK" sz="1100"/>
        </a:p>
      </xdr:txBody>
    </xdr:sp>
    <xdr:clientData/>
  </xdr:oneCellAnchor>
  <xdr:oneCellAnchor>
    <xdr:from>
      <xdr:col>13</xdr:col>
      <xdr:colOff>85725</xdr:colOff>
      <xdr:row>10</xdr:row>
      <xdr:rowOff>85725</xdr:rowOff>
    </xdr:from>
    <xdr:ext cx="869405" cy="264560"/>
    <xdr:sp macro="" textlink="">
      <xdr:nvSpPr>
        <xdr:cNvPr id="11" name="TextBox 10"/>
        <xdr:cNvSpPr txBox="1"/>
      </xdr:nvSpPr>
      <xdr:spPr>
        <a:xfrm>
          <a:off x="12125325" y="1914525"/>
          <a:ext cx="86940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050"/>
            <a:t>Duesseldorf</a:t>
          </a:r>
          <a:endParaRPr lang="ur-PK" sz="1050"/>
        </a:p>
      </xdr:txBody>
    </xdr:sp>
    <xdr:clientData/>
  </xdr:oneCellAnchor>
  <xdr:oneCellAnchor>
    <xdr:from>
      <xdr:col>21</xdr:col>
      <xdr:colOff>666750</xdr:colOff>
      <xdr:row>10</xdr:row>
      <xdr:rowOff>104775</xdr:rowOff>
    </xdr:from>
    <xdr:ext cx="777329" cy="264560"/>
    <xdr:sp macro="" textlink="">
      <xdr:nvSpPr>
        <xdr:cNvPr id="12" name="TextBox 11"/>
        <xdr:cNvSpPr txBox="1"/>
      </xdr:nvSpPr>
      <xdr:spPr>
        <a:xfrm>
          <a:off x="18192750" y="1933575"/>
          <a:ext cx="77732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Dortmund</a:t>
          </a:r>
          <a:endParaRPr lang="ur-PK" sz="1100"/>
        </a:p>
      </xdr:txBody>
    </xdr:sp>
    <xdr:clientData/>
  </xdr:oneCellAnchor>
  <xdr:oneCellAnchor>
    <xdr:from>
      <xdr:col>13</xdr:col>
      <xdr:colOff>457200</xdr:colOff>
      <xdr:row>14</xdr:row>
      <xdr:rowOff>171450</xdr:rowOff>
    </xdr:from>
    <xdr:ext cx="438838" cy="264560"/>
    <xdr:sp macro="" textlink="">
      <xdr:nvSpPr>
        <xdr:cNvPr id="13" name="TextBox 12"/>
        <xdr:cNvSpPr txBox="1"/>
      </xdr:nvSpPr>
      <xdr:spPr>
        <a:xfrm>
          <a:off x="12496800" y="2724150"/>
          <a:ext cx="4388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Koln</a:t>
          </a:r>
          <a:endParaRPr lang="ur-PK" sz="1100"/>
        </a:p>
      </xdr:txBody>
    </xdr:sp>
    <xdr:clientData/>
  </xdr:oneCellAnchor>
  <xdr:oneCellAnchor>
    <xdr:from>
      <xdr:col>21</xdr:col>
      <xdr:colOff>581025</xdr:colOff>
      <xdr:row>15</xdr:row>
      <xdr:rowOff>85725</xdr:rowOff>
    </xdr:from>
    <xdr:ext cx="438838" cy="264560"/>
    <xdr:sp macro="" textlink="">
      <xdr:nvSpPr>
        <xdr:cNvPr id="14" name="TextBox 13"/>
        <xdr:cNvSpPr txBox="1"/>
      </xdr:nvSpPr>
      <xdr:spPr>
        <a:xfrm>
          <a:off x="18107025" y="2819400"/>
          <a:ext cx="4388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Koln</a:t>
          </a:r>
          <a:endParaRPr lang="ur-PK" sz="1100"/>
        </a:p>
      </xdr:txBody>
    </xdr:sp>
    <xdr:clientData/>
  </xdr:oneCellAnchor>
  <xdr:oneCellAnchor>
    <xdr:from>
      <xdr:col>24</xdr:col>
      <xdr:colOff>552450</xdr:colOff>
      <xdr:row>11</xdr:row>
      <xdr:rowOff>133350</xdr:rowOff>
    </xdr:from>
    <xdr:ext cx="575222" cy="264560"/>
    <xdr:sp macro="" textlink="">
      <xdr:nvSpPr>
        <xdr:cNvPr id="15" name="TextBox 14"/>
        <xdr:cNvSpPr txBox="1"/>
      </xdr:nvSpPr>
      <xdr:spPr>
        <a:xfrm>
          <a:off x="20135850" y="2143125"/>
          <a:ext cx="5752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Leipzig</a:t>
          </a:r>
          <a:endParaRPr lang="ur-PK" sz="1100"/>
        </a:p>
      </xdr:txBody>
    </xdr:sp>
    <xdr:clientData/>
  </xdr:oneCellAnchor>
  <xdr:oneCellAnchor>
    <xdr:from>
      <xdr:col>24</xdr:col>
      <xdr:colOff>657225</xdr:colOff>
      <xdr:row>7</xdr:row>
      <xdr:rowOff>104775</xdr:rowOff>
    </xdr:from>
    <xdr:ext cx="519693" cy="264560"/>
    <xdr:sp macro="" textlink="">
      <xdr:nvSpPr>
        <xdr:cNvPr id="16" name="TextBox 15"/>
        <xdr:cNvSpPr txBox="1"/>
      </xdr:nvSpPr>
      <xdr:spPr>
        <a:xfrm>
          <a:off x="20240625" y="1390650"/>
          <a:ext cx="5196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Berlin</a:t>
          </a:r>
          <a:endParaRPr lang="ur-PK" sz="1100"/>
        </a:p>
      </xdr:txBody>
    </xdr:sp>
    <xdr:clientData/>
  </xdr:oneCellAnchor>
  <xdr:oneCellAnchor>
    <xdr:from>
      <xdr:col>23</xdr:col>
      <xdr:colOff>371475</xdr:colOff>
      <xdr:row>6</xdr:row>
      <xdr:rowOff>9525</xdr:rowOff>
    </xdr:from>
    <xdr:ext cx="716671" cy="264560"/>
    <xdr:sp macro="" textlink="">
      <xdr:nvSpPr>
        <xdr:cNvPr id="17" name="TextBox 16"/>
        <xdr:cNvSpPr txBox="1"/>
      </xdr:nvSpPr>
      <xdr:spPr>
        <a:xfrm>
          <a:off x="19269075" y="1114425"/>
          <a:ext cx="7166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Hamburg</a:t>
          </a:r>
          <a:endParaRPr lang="ur-PK" sz="1100"/>
        </a:p>
      </xdr:txBody>
    </xdr:sp>
    <xdr:clientData/>
  </xdr:oneCellAnchor>
  <xdr:oneCellAnchor>
    <xdr:from>
      <xdr:col>23</xdr:col>
      <xdr:colOff>333375</xdr:colOff>
      <xdr:row>9</xdr:row>
      <xdr:rowOff>66675</xdr:rowOff>
    </xdr:from>
    <xdr:ext cx="745910" cy="264560"/>
    <xdr:sp macro="" textlink="">
      <xdr:nvSpPr>
        <xdr:cNvPr id="18" name="TextBox 17"/>
        <xdr:cNvSpPr txBox="1"/>
      </xdr:nvSpPr>
      <xdr:spPr>
        <a:xfrm>
          <a:off x="19230975" y="1714500"/>
          <a:ext cx="74591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Hannover</a:t>
          </a:r>
          <a:endParaRPr lang="ur-PK" sz="1100"/>
        </a:p>
      </xdr:txBody>
    </xdr:sp>
    <xdr:clientData/>
  </xdr:oneCellAnchor>
  <xdr:oneCellAnchor>
    <xdr:from>
      <xdr:col>22</xdr:col>
      <xdr:colOff>561975</xdr:colOff>
      <xdr:row>15</xdr:row>
      <xdr:rowOff>123825</xdr:rowOff>
    </xdr:from>
    <xdr:ext cx="718082" cy="264560"/>
    <xdr:sp macro="" textlink="">
      <xdr:nvSpPr>
        <xdr:cNvPr id="20" name="TextBox 19"/>
        <xdr:cNvSpPr txBox="1"/>
      </xdr:nvSpPr>
      <xdr:spPr>
        <a:xfrm>
          <a:off x="18773775" y="2857500"/>
          <a:ext cx="71808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Frankfurt</a:t>
          </a:r>
          <a:endParaRPr lang="ur-PK" sz="1100"/>
        </a:p>
      </xdr:txBody>
    </xdr:sp>
    <xdr:clientData/>
  </xdr:oneCellAnchor>
  <xdr:oneCellAnchor>
    <xdr:from>
      <xdr:col>14</xdr:col>
      <xdr:colOff>466725</xdr:colOff>
      <xdr:row>15</xdr:row>
      <xdr:rowOff>28575</xdr:rowOff>
    </xdr:from>
    <xdr:ext cx="718082" cy="264560"/>
    <xdr:sp macro="" textlink="">
      <xdr:nvSpPr>
        <xdr:cNvPr id="21" name="TextBox 20"/>
        <xdr:cNvSpPr txBox="1"/>
      </xdr:nvSpPr>
      <xdr:spPr>
        <a:xfrm>
          <a:off x="13192125" y="2762250"/>
          <a:ext cx="71808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Frankfurt</a:t>
          </a:r>
          <a:endParaRPr lang="ur-PK" sz="1100"/>
        </a:p>
      </xdr:txBody>
    </xdr:sp>
    <xdr:clientData/>
  </xdr:oneCellAnchor>
  <xdr:oneCellAnchor>
    <xdr:from>
      <xdr:col>20</xdr:col>
      <xdr:colOff>666750</xdr:colOff>
      <xdr:row>11</xdr:row>
      <xdr:rowOff>133350</xdr:rowOff>
    </xdr:from>
    <xdr:ext cx="869405" cy="264560"/>
    <xdr:sp macro="" textlink="">
      <xdr:nvSpPr>
        <xdr:cNvPr id="22" name="TextBox 21"/>
        <xdr:cNvSpPr txBox="1"/>
      </xdr:nvSpPr>
      <xdr:spPr>
        <a:xfrm>
          <a:off x="17506950" y="2143125"/>
          <a:ext cx="86940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Duesseldorf</a:t>
          </a:r>
          <a:endParaRPr lang="ur-PK" sz="1100"/>
        </a:p>
      </xdr:txBody>
    </xdr:sp>
    <xdr:clientData/>
  </xdr:oneCellAnchor>
  <xdr:oneCellAnchor>
    <xdr:from>
      <xdr:col>24</xdr:col>
      <xdr:colOff>47625</xdr:colOff>
      <xdr:row>17</xdr:row>
      <xdr:rowOff>114300</xdr:rowOff>
    </xdr:from>
    <xdr:ext cx="733085" cy="264560"/>
    <xdr:sp macro="" textlink="">
      <xdr:nvSpPr>
        <xdr:cNvPr id="23" name="TextBox 22"/>
        <xdr:cNvSpPr txBox="1"/>
      </xdr:nvSpPr>
      <xdr:spPr>
        <a:xfrm>
          <a:off x="19631025" y="3209925"/>
          <a:ext cx="7330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Nurnberg</a:t>
          </a:r>
          <a:endParaRPr lang="ur-PK" sz="1100"/>
        </a:p>
      </xdr:txBody>
    </xdr:sp>
    <xdr:clientData/>
  </xdr:oneCellAnchor>
  <xdr:oneCellAnchor>
    <xdr:from>
      <xdr:col>16</xdr:col>
      <xdr:colOff>0</xdr:colOff>
      <xdr:row>17</xdr:row>
      <xdr:rowOff>85725</xdr:rowOff>
    </xdr:from>
    <xdr:ext cx="733085" cy="264560"/>
    <xdr:sp macro="" textlink="">
      <xdr:nvSpPr>
        <xdr:cNvPr id="24" name="TextBox 23"/>
        <xdr:cNvSpPr txBox="1"/>
      </xdr:nvSpPr>
      <xdr:spPr>
        <a:xfrm>
          <a:off x="14097000" y="3181350"/>
          <a:ext cx="7330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Nurnberg</a:t>
          </a:r>
          <a:endParaRPr lang="ur-PK" sz="1100"/>
        </a:p>
      </xdr:txBody>
    </xdr:sp>
    <xdr:clientData/>
  </xdr:oneCellAnchor>
  <xdr:oneCellAnchor>
    <xdr:from>
      <xdr:col>14</xdr:col>
      <xdr:colOff>314325</xdr:colOff>
      <xdr:row>19</xdr:row>
      <xdr:rowOff>9525</xdr:rowOff>
    </xdr:from>
    <xdr:ext cx="695832" cy="264560"/>
    <xdr:sp macro="" textlink="">
      <xdr:nvSpPr>
        <xdr:cNvPr id="25" name="TextBox 24"/>
        <xdr:cNvSpPr txBox="1"/>
      </xdr:nvSpPr>
      <xdr:spPr>
        <a:xfrm>
          <a:off x="13039725" y="3467100"/>
          <a:ext cx="69583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Stuttgart</a:t>
          </a:r>
          <a:endParaRPr lang="ur-PK" sz="1100"/>
        </a:p>
      </xdr:txBody>
    </xdr:sp>
    <xdr:clientData/>
  </xdr:oneCellAnchor>
  <xdr:oneCellAnchor>
    <xdr:from>
      <xdr:col>15</xdr:col>
      <xdr:colOff>180975</xdr:colOff>
      <xdr:row>23</xdr:row>
      <xdr:rowOff>47625</xdr:rowOff>
    </xdr:from>
    <xdr:ext cx="420243" cy="264560"/>
    <xdr:sp macro="" textlink="">
      <xdr:nvSpPr>
        <xdr:cNvPr id="26" name="TextBox 25"/>
        <xdr:cNvSpPr txBox="1"/>
      </xdr:nvSpPr>
      <xdr:spPr>
        <a:xfrm>
          <a:off x="13592175" y="4229100"/>
          <a:ext cx="42024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Ulm</a:t>
          </a:r>
          <a:endParaRPr lang="ur-PK" sz="1100"/>
        </a:p>
      </xdr:txBody>
    </xdr:sp>
    <xdr:clientData/>
  </xdr:oneCellAnchor>
  <xdr:oneCellAnchor>
    <xdr:from>
      <xdr:col>23</xdr:col>
      <xdr:colOff>238125</xdr:colOff>
      <xdr:row>23</xdr:row>
      <xdr:rowOff>28575</xdr:rowOff>
    </xdr:from>
    <xdr:ext cx="420243" cy="264560"/>
    <xdr:sp macro="" textlink="">
      <xdr:nvSpPr>
        <xdr:cNvPr id="27" name="TextBox 26"/>
        <xdr:cNvSpPr txBox="1"/>
      </xdr:nvSpPr>
      <xdr:spPr>
        <a:xfrm>
          <a:off x="19135725" y="4210050"/>
          <a:ext cx="42024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Ulm</a:t>
          </a:r>
          <a:endParaRPr lang="ur-PK" sz="1100"/>
        </a:p>
      </xdr:txBody>
    </xdr:sp>
    <xdr:clientData/>
  </xdr:oneCellAnchor>
  <xdr:oneCellAnchor>
    <xdr:from>
      <xdr:col>22</xdr:col>
      <xdr:colOff>171450</xdr:colOff>
      <xdr:row>19</xdr:row>
      <xdr:rowOff>95250</xdr:rowOff>
    </xdr:from>
    <xdr:ext cx="695832" cy="264560"/>
    <xdr:sp macro="" textlink="">
      <xdr:nvSpPr>
        <xdr:cNvPr id="28" name="TextBox 27"/>
        <xdr:cNvSpPr txBox="1"/>
      </xdr:nvSpPr>
      <xdr:spPr>
        <a:xfrm>
          <a:off x="18383250" y="3552825"/>
          <a:ext cx="69583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Stuttgart</a:t>
          </a:r>
          <a:endParaRPr lang="ur-PK" sz="1100"/>
        </a:p>
      </xdr:txBody>
    </xdr:sp>
    <xdr:clientData/>
  </xdr:oneCellAnchor>
  <xdr:oneCellAnchor>
    <xdr:from>
      <xdr:col>24</xdr:col>
      <xdr:colOff>457200</xdr:colOff>
      <xdr:row>22</xdr:row>
      <xdr:rowOff>85725</xdr:rowOff>
    </xdr:from>
    <xdr:ext cx="619657" cy="264560"/>
    <xdr:sp macro="" textlink="">
      <xdr:nvSpPr>
        <xdr:cNvPr id="29" name="TextBox 28"/>
        <xdr:cNvSpPr txBox="1"/>
      </xdr:nvSpPr>
      <xdr:spPr>
        <a:xfrm>
          <a:off x="20040600" y="4086225"/>
          <a:ext cx="61965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Munich</a:t>
          </a:r>
          <a:endParaRPr lang="ur-PK" sz="1100"/>
        </a:p>
      </xdr:txBody>
    </xdr:sp>
    <xdr:clientData/>
  </xdr:oneCellAnchor>
  <xdr:oneCellAnchor>
    <xdr:from>
      <xdr:col>16</xdr:col>
      <xdr:colOff>476250</xdr:colOff>
      <xdr:row>22</xdr:row>
      <xdr:rowOff>66675</xdr:rowOff>
    </xdr:from>
    <xdr:ext cx="619657" cy="264560"/>
    <xdr:sp macro="" textlink="">
      <xdr:nvSpPr>
        <xdr:cNvPr id="30" name="TextBox 29"/>
        <xdr:cNvSpPr txBox="1"/>
      </xdr:nvSpPr>
      <xdr:spPr>
        <a:xfrm>
          <a:off x="14573250" y="4067175"/>
          <a:ext cx="61965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Munich</a:t>
          </a:r>
          <a:endParaRPr lang="ur-PK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93</xdr:row>
      <xdr:rowOff>38100</xdr:rowOff>
    </xdr:from>
    <xdr:to>
      <xdr:col>18</xdr:col>
      <xdr:colOff>10583</xdr:colOff>
      <xdr:row>117</xdr:row>
      <xdr:rowOff>137583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657222</xdr:colOff>
      <xdr:row>61</xdr:row>
      <xdr:rowOff>76201</xdr:rowOff>
    </xdr:from>
    <xdr:to>
      <xdr:col>18</xdr:col>
      <xdr:colOff>10582</xdr:colOff>
      <xdr:row>84</xdr:row>
      <xdr:rowOff>9526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1185334</xdr:colOff>
      <xdr:row>38</xdr:row>
      <xdr:rowOff>120649</xdr:rowOff>
    </xdr:from>
    <xdr:to>
      <xdr:col>25</xdr:col>
      <xdr:colOff>412751</xdr:colOff>
      <xdr:row>55</xdr:row>
      <xdr:rowOff>10583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93</xdr:row>
      <xdr:rowOff>38100</xdr:rowOff>
    </xdr:from>
    <xdr:to>
      <xdr:col>18</xdr:col>
      <xdr:colOff>10583</xdr:colOff>
      <xdr:row>117</xdr:row>
      <xdr:rowOff>137583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657222</xdr:colOff>
      <xdr:row>61</xdr:row>
      <xdr:rowOff>76201</xdr:rowOff>
    </xdr:from>
    <xdr:to>
      <xdr:col>18</xdr:col>
      <xdr:colOff>10582</xdr:colOff>
      <xdr:row>84</xdr:row>
      <xdr:rowOff>9526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1185334</xdr:colOff>
      <xdr:row>38</xdr:row>
      <xdr:rowOff>120649</xdr:rowOff>
    </xdr:from>
    <xdr:to>
      <xdr:col>25</xdr:col>
      <xdr:colOff>412751</xdr:colOff>
      <xdr:row>55</xdr:row>
      <xdr:rowOff>10583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940594</xdr:colOff>
      <xdr:row>60</xdr:row>
      <xdr:rowOff>152400</xdr:rowOff>
    </xdr:from>
    <xdr:to>
      <xdr:col>15</xdr:col>
      <xdr:colOff>1809751</xdr:colOff>
      <xdr:row>77</xdr:row>
      <xdr:rowOff>61912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567531</xdr:colOff>
      <xdr:row>14</xdr:row>
      <xdr:rowOff>116682</xdr:rowOff>
    </xdr:from>
    <xdr:to>
      <xdr:col>10</xdr:col>
      <xdr:colOff>244929</xdr:colOff>
      <xdr:row>29</xdr:row>
      <xdr:rowOff>121444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694531</xdr:colOff>
      <xdr:row>13</xdr:row>
      <xdr:rowOff>169598</xdr:rowOff>
    </xdr:from>
    <xdr:to>
      <xdr:col>8</xdr:col>
      <xdr:colOff>162719</xdr:colOff>
      <xdr:row>28</xdr:row>
      <xdr:rowOff>174360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17574</xdr:colOff>
      <xdr:row>20</xdr:row>
      <xdr:rowOff>46378</xdr:rowOff>
    </xdr:from>
    <xdr:to>
      <xdr:col>9</xdr:col>
      <xdr:colOff>476250</xdr:colOff>
      <xdr:row>35</xdr:row>
      <xdr:rowOff>64747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126431</xdr:colOff>
      <xdr:row>32</xdr:row>
      <xdr:rowOff>141627</xdr:rowOff>
    </xdr:from>
    <xdr:to>
      <xdr:col>19</xdr:col>
      <xdr:colOff>205239</xdr:colOff>
      <xdr:row>47</xdr:row>
      <xdr:rowOff>132783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57150</xdr:rowOff>
    </xdr:from>
    <xdr:to>
      <xdr:col>8</xdr:col>
      <xdr:colOff>964406</xdr:colOff>
      <xdr:row>15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595312</xdr:colOff>
      <xdr:row>16</xdr:row>
      <xdr:rowOff>188119</xdr:rowOff>
    </xdr:from>
    <xdr:to>
      <xdr:col>8</xdr:col>
      <xdr:colOff>952499</xdr:colOff>
      <xdr:row>31</xdr:row>
      <xdr:rowOff>61913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83345</xdr:colOff>
      <xdr:row>34</xdr:row>
      <xdr:rowOff>0</xdr:rowOff>
    </xdr:from>
    <xdr:to>
      <xdr:col>12</xdr:col>
      <xdr:colOff>1309689</xdr:colOff>
      <xdr:row>48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71437</xdr:colOff>
      <xdr:row>49</xdr:row>
      <xdr:rowOff>142875</xdr:rowOff>
    </xdr:from>
    <xdr:to>
      <xdr:col>12</xdr:col>
      <xdr:colOff>1297782</xdr:colOff>
      <xdr:row>64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35719</xdr:colOff>
      <xdr:row>65</xdr:row>
      <xdr:rowOff>95250</xdr:rowOff>
    </xdr:from>
    <xdr:to>
      <xdr:col>12</xdr:col>
      <xdr:colOff>1262064</xdr:colOff>
      <xdr:row>79</xdr:row>
      <xdr:rowOff>180975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178594</xdr:colOff>
      <xdr:row>74</xdr:row>
      <xdr:rowOff>142875</xdr:rowOff>
    </xdr:from>
    <xdr:to>
      <xdr:col>5</xdr:col>
      <xdr:colOff>142875</xdr:colOff>
      <xdr:row>89</xdr:row>
      <xdr:rowOff>28575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93</xdr:row>
      <xdr:rowOff>38100</xdr:rowOff>
    </xdr:from>
    <xdr:to>
      <xdr:col>16</xdr:col>
      <xdr:colOff>10583</xdr:colOff>
      <xdr:row>117</xdr:row>
      <xdr:rowOff>137583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657222</xdr:colOff>
      <xdr:row>61</xdr:row>
      <xdr:rowOff>76201</xdr:rowOff>
    </xdr:from>
    <xdr:to>
      <xdr:col>16</xdr:col>
      <xdr:colOff>10582</xdr:colOff>
      <xdr:row>84</xdr:row>
      <xdr:rowOff>9526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418041</xdr:colOff>
      <xdr:row>3</xdr:row>
      <xdr:rowOff>13230</xdr:rowOff>
    </xdr:from>
    <xdr:to>
      <xdr:col>41</xdr:col>
      <xdr:colOff>463020</xdr:colOff>
      <xdr:row>19</xdr:row>
      <xdr:rowOff>83079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93</xdr:row>
      <xdr:rowOff>38100</xdr:rowOff>
    </xdr:from>
    <xdr:to>
      <xdr:col>16</xdr:col>
      <xdr:colOff>10583</xdr:colOff>
      <xdr:row>117</xdr:row>
      <xdr:rowOff>137583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657222</xdr:colOff>
      <xdr:row>61</xdr:row>
      <xdr:rowOff>76201</xdr:rowOff>
    </xdr:from>
    <xdr:to>
      <xdr:col>16</xdr:col>
      <xdr:colOff>10582</xdr:colOff>
      <xdr:row>84</xdr:row>
      <xdr:rowOff>9526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7</xdr:row>
      <xdr:rowOff>37306</xdr:rowOff>
    </xdr:from>
    <xdr:to>
      <xdr:col>42</xdr:col>
      <xdr:colOff>52916</xdr:colOff>
      <xdr:row>22</xdr:row>
      <xdr:rowOff>129381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93</xdr:row>
      <xdr:rowOff>38100</xdr:rowOff>
    </xdr:from>
    <xdr:to>
      <xdr:col>17</xdr:col>
      <xdr:colOff>10583</xdr:colOff>
      <xdr:row>117</xdr:row>
      <xdr:rowOff>137583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657222</xdr:colOff>
      <xdr:row>61</xdr:row>
      <xdr:rowOff>76201</xdr:rowOff>
    </xdr:from>
    <xdr:to>
      <xdr:col>17</xdr:col>
      <xdr:colOff>10582</xdr:colOff>
      <xdr:row>84</xdr:row>
      <xdr:rowOff>9526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547687</xdr:colOff>
      <xdr:row>3</xdr:row>
      <xdr:rowOff>96836</xdr:rowOff>
    </xdr:from>
    <xdr:to>
      <xdr:col>42</xdr:col>
      <xdr:colOff>5291</xdr:colOff>
      <xdr:row>18</xdr:row>
      <xdr:rowOff>177005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93</xdr:row>
      <xdr:rowOff>38100</xdr:rowOff>
    </xdr:from>
    <xdr:to>
      <xdr:col>17</xdr:col>
      <xdr:colOff>10583</xdr:colOff>
      <xdr:row>117</xdr:row>
      <xdr:rowOff>137583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657222</xdr:colOff>
      <xdr:row>61</xdr:row>
      <xdr:rowOff>76201</xdr:rowOff>
    </xdr:from>
    <xdr:to>
      <xdr:col>17</xdr:col>
      <xdr:colOff>10582</xdr:colOff>
      <xdr:row>84</xdr:row>
      <xdr:rowOff>9526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482865</xdr:colOff>
      <xdr:row>31</xdr:row>
      <xdr:rowOff>25398</xdr:rowOff>
    </xdr:from>
    <xdr:to>
      <xdr:col>24</xdr:col>
      <xdr:colOff>1</xdr:colOff>
      <xdr:row>47</xdr:row>
      <xdr:rowOff>70114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93</xdr:row>
      <xdr:rowOff>38100</xdr:rowOff>
    </xdr:from>
    <xdr:to>
      <xdr:col>18</xdr:col>
      <xdr:colOff>10583</xdr:colOff>
      <xdr:row>117</xdr:row>
      <xdr:rowOff>137583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657222</xdr:colOff>
      <xdr:row>61</xdr:row>
      <xdr:rowOff>76201</xdr:rowOff>
    </xdr:from>
    <xdr:to>
      <xdr:col>18</xdr:col>
      <xdr:colOff>10582</xdr:colOff>
      <xdr:row>84</xdr:row>
      <xdr:rowOff>9526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1185334</xdr:colOff>
      <xdr:row>38</xdr:row>
      <xdr:rowOff>120649</xdr:rowOff>
    </xdr:from>
    <xdr:to>
      <xdr:col>25</xdr:col>
      <xdr:colOff>412751</xdr:colOff>
      <xdr:row>55</xdr:row>
      <xdr:rowOff>10583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502443</xdr:colOff>
      <xdr:row>51</xdr:row>
      <xdr:rowOff>150018</xdr:rowOff>
    </xdr:from>
    <xdr:to>
      <xdr:col>22</xdr:col>
      <xdr:colOff>250030</xdr:colOff>
      <xdr:row>69</xdr:row>
      <xdr:rowOff>140493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93</xdr:row>
      <xdr:rowOff>38100</xdr:rowOff>
    </xdr:from>
    <xdr:to>
      <xdr:col>18</xdr:col>
      <xdr:colOff>10583</xdr:colOff>
      <xdr:row>117</xdr:row>
      <xdr:rowOff>137583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657222</xdr:colOff>
      <xdr:row>61</xdr:row>
      <xdr:rowOff>76201</xdr:rowOff>
    </xdr:from>
    <xdr:to>
      <xdr:col>18</xdr:col>
      <xdr:colOff>10582</xdr:colOff>
      <xdr:row>84</xdr:row>
      <xdr:rowOff>9526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1185334</xdr:colOff>
      <xdr:row>38</xdr:row>
      <xdr:rowOff>120649</xdr:rowOff>
    </xdr:from>
    <xdr:to>
      <xdr:col>25</xdr:col>
      <xdr:colOff>412751</xdr:colOff>
      <xdr:row>55</xdr:row>
      <xdr:rowOff>10583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93</xdr:row>
      <xdr:rowOff>38100</xdr:rowOff>
    </xdr:from>
    <xdr:to>
      <xdr:col>18</xdr:col>
      <xdr:colOff>10583</xdr:colOff>
      <xdr:row>117</xdr:row>
      <xdr:rowOff>137583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657222</xdr:colOff>
      <xdr:row>61</xdr:row>
      <xdr:rowOff>76201</xdr:rowOff>
    </xdr:from>
    <xdr:to>
      <xdr:col>18</xdr:col>
      <xdr:colOff>10582</xdr:colOff>
      <xdr:row>84</xdr:row>
      <xdr:rowOff>9526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1185334</xdr:colOff>
      <xdr:row>38</xdr:row>
      <xdr:rowOff>120649</xdr:rowOff>
    </xdr:from>
    <xdr:to>
      <xdr:col>25</xdr:col>
      <xdr:colOff>412751</xdr:colOff>
      <xdr:row>55</xdr:row>
      <xdr:rowOff>10583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638" displayName="Table638" ref="A3:C4" totalsRowShown="0" headerRowDxfId="14" dataDxfId="12" headerRowBorderDxfId="13" headerRowCellStyle="Neutral" dataCellStyle="Comma">
  <tableColumns count="3">
    <tableColumn id="1" name="IP Links" dataDxfId="11" dataCellStyle="Comma"/>
    <tableColumn id="2" name="Working capacity of IP link e [Gbit/s]:" dataDxfId="10" dataCellStyle="Comma"/>
    <tableColumn id="4" name="Spare capacity of IP link e [Gbit/s]:" dataDxfId="9" dataCellStyle="Comma">
      <calculatedColumnFormula>D4-B4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3"/>
  <sheetViews>
    <sheetView workbookViewId="0">
      <selection activeCell="R7" sqref="R7"/>
    </sheetView>
  </sheetViews>
  <sheetFormatPr defaultRowHeight="15"/>
  <cols>
    <col min="2" max="2" width="16.140625" customWidth="1"/>
    <col min="3" max="3" width="12.5703125" customWidth="1"/>
    <col min="4" max="4" width="11.42578125" customWidth="1"/>
    <col min="5" max="5" width="16.42578125" customWidth="1"/>
    <col min="7" max="7" width="13.140625" customWidth="1"/>
    <col min="8" max="8" width="15.7109375" customWidth="1"/>
    <col min="9" max="9" width="13.28515625" customWidth="1"/>
    <col min="10" max="10" width="14.85546875" customWidth="1"/>
    <col min="11" max="11" width="15.28515625" customWidth="1"/>
    <col min="12" max="12" width="13.28515625" customWidth="1"/>
    <col min="13" max="13" width="14" customWidth="1"/>
    <col min="14" max="14" width="15.7109375" customWidth="1"/>
  </cols>
  <sheetData>
    <row r="1" spans="1:15">
      <c r="A1" s="22"/>
      <c r="B1" s="22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15">
      <c r="A2" s="22"/>
      <c r="B2" s="52" t="s">
        <v>81</v>
      </c>
      <c r="C2" s="34" t="s">
        <v>82</v>
      </c>
      <c r="D2" s="34" t="s">
        <v>82</v>
      </c>
      <c r="E2" s="34" t="s">
        <v>82</v>
      </c>
      <c r="F2" s="34" t="s">
        <v>82</v>
      </c>
      <c r="G2" s="34" t="s">
        <v>82</v>
      </c>
      <c r="H2" s="34" t="s">
        <v>82</v>
      </c>
      <c r="I2" s="34" t="s">
        <v>82</v>
      </c>
      <c r="J2" s="34" t="s">
        <v>82</v>
      </c>
      <c r="K2" s="34" t="s">
        <v>82</v>
      </c>
      <c r="L2" s="34" t="s">
        <v>82</v>
      </c>
      <c r="M2" s="34" t="s">
        <v>82</v>
      </c>
      <c r="N2" s="34" t="s">
        <v>82</v>
      </c>
      <c r="O2" s="36"/>
    </row>
    <row r="3" spans="1:15">
      <c r="A3" s="22"/>
      <c r="B3" s="33" t="s">
        <v>83</v>
      </c>
      <c r="C3" s="35" t="s">
        <v>84</v>
      </c>
      <c r="D3" s="35" t="s">
        <v>85</v>
      </c>
      <c r="E3" s="35" t="s">
        <v>86</v>
      </c>
      <c r="F3" s="35" t="s">
        <v>87</v>
      </c>
      <c r="G3" s="35" t="s">
        <v>88</v>
      </c>
      <c r="H3" s="35" t="s">
        <v>89</v>
      </c>
      <c r="I3" s="35" t="s">
        <v>90</v>
      </c>
      <c r="J3" s="35" t="s">
        <v>91</v>
      </c>
      <c r="K3" s="35" t="s">
        <v>92</v>
      </c>
      <c r="L3" s="35" t="s">
        <v>93</v>
      </c>
      <c r="M3" s="35" t="s">
        <v>94</v>
      </c>
      <c r="N3" s="35" t="s">
        <v>95</v>
      </c>
      <c r="O3" s="36"/>
    </row>
    <row r="4" spans="1:15">
      <c r="A4" s="24" t="s">
        <v>96</v>
      </c>
      <c r="B4" s="23" t="s">
        <v>97</v>
      </c>
      <c r="C4" s="40">
        <v>0</v>
      </c>
      <c r="D4" s="41">
        <v>46014</v>
      </c>
      <c r="E4" s="41">
        <v>8457</v>
      </c>
      <c r="F4" s="41">
        <v>160501</v>
      </c>
      <c r="G4" s="41">
        <v>30828</v>
      </c>
      <c r="H4" s="41">
        <v>10992</v>
      </c>
      <c r="I4" s="41">
        <v>3859</v>
      </c>
      <c r="J4" s="41">
        <v>16578</v>
      </c>
      <c r="K4" s="41">
        <v>31065</v>
      </c>
      <c r="L4" s="41">
        <v>62829</v>
      </c>
      <c r="M4" s="41">
        <v>11073</v>
      </c>
      <c r="N4" s="42">
        <v>2825</v>
      </c>
      <c r="O4" s="43"/>
    </row>
    <row r="5" spans="1:15">
      <c r="A5" s="22"/>
      <c r="B5" s="56" t="s">
        <v>98</v>
      </c>
      <c r="C5" s="44"/>
      <c r="D5" s="25" t="s">
        <v>99</v>
      </c>
      <c r="E5" s="37" t="s">
        <v>100</v>
      </c>
      <c r="F5" s="37" t="s">
        <v>101</v>
      </c>
      <c r="G5" s="37" t="s">
        <v>102</v>
      </c>
      <c r="H5" s="37" t="s">
        <v>103</v>
      </c>
      <c r="I5" s="37" t="s">
        <v>104</v>
      </c>
      <c r="J5" s="37" t="s">
        <v>105</v>
      </c>
      <c r="K5" s="37" t="s">
        <v>106</v>
      </c>
      <c r="L5" s="37" t="s">
        <v>107</v>
      </c>
      <c r="M5" s="37" t="s">
        <v>108</v>
      </c>
      <c r="N5" s="38" t="s">
        <v>109</v>
      </c>
      <c r="O5" s="34"/>
    </row>
    <row r="6" spans="1:15">
      <c r="A6" s="22"/>
      <c r="B6" s="56" t="s">
        <v>110</v>
      </c>
      <c r="C6" s="44"/>
      <c r="D6" s="37" t="s">
        <v>111</v>
      </c>
      <c r="E6" s="37" t="s">
        <v>112</v>
      </c>
      <c r="F6" s="25"/>
      <c r="G6" s="25"/>
      <c r="H6" s="25"/>
      <c r="I6" s="37" t="s">
        <v>113</v>
      </c>
      <c r="J6" s="25"/>
      <c r="K6" s="37" t="s">
        <v>114</v>
      </c>
      <c r="L6" s="37" t="s">
        <v>115</v>
      </c>
      <c r="M6" s="37" t="s">
        <v>116</v>
      </c>
      <c r="N6" s="38" t="s">
        <v>117</v>
      </c>
      <c r="O6" s="43"/>
    </row>
    <row r="7" spans="1:15">
      <c r="A7" s="22"/>
      <c r="B7" s="54" t="s">
        <v>118</v>
      </c>
      <c r="C7" s="44"/>
      <c r="D7" s="37" t="s">
        <v>119</v>
      </c>
      <c r="E7" s="25"/>
      <c r="F7" s="25"/>
      <c r="G7" s="25"/>
      <c r="H7" s="25"/>
      <c r="I7" s="25"/>
      <c r="J7" s="25"/>
      <c r="K7" s="25"/>
      <c r="L7" s="25"/>
      <c r="M7" s="25"/>
      <c r="N7" s="45"/>
      <c r="O7" s="43"/>
    </row>
    <row r="8" spans="1:15">
      <c r="A8" s="22"/>
      <c r="B8" s="54" t="s">
        <v>120</v>
      </c>
      <c r="C8" s="44"/>
      <c r="D8" s="37" t="s">
        <v>121</v>
      </c>
      <c r="E8" s="39"/>
      <c r="F8" s="25"/>
      <c r="G8" s="25"/>
      <c r="H8" s="25"/>
      <c r="I8" s="25"/>
      <c r="J8" s="25"/>
      <c r="K8" s="25"/>
      <c r="L8" s="25"/>
      <c r="M8" s="25"/>
      <c r="N8" s="45"/>
      <c r="O8" s="43"/>
    </row>
    <row r="9" spans="1:15">
      <c r="A9" s="22"/>
      <c r="B9" s="53"/>
      <c r="C9" s="44"/>
      <c r="D9" s="39"/>
      <c r="E9" s="39"/>
      <c r="F9" s="25"/>
      <c r="G9" s="25"/>
      <c r="H9" s="25"/>
      <c r="I9" s="25"/>
      <c r="J9" s="25"/>
      <c r="K9" s="25"/>
      <c r="L9" s="25"/>
      <c r="M9" s="25"/>
      <c r="N9" s="45"/>
      <c r="O9" s="43"/>
    </row>
    <row r="10" spans="1:15">
      <c r="A10" s="24" t="s">
        <v>96</v>
      </c>
      <c r="B10" s="23" t="s">
        <v>122</v>
      </c>
      <c r="C10" s="46">
        <v>66416</v>
      </c>
      <c r="D10" s="47">
        <v>0</v>
      </c>
      <c r="E10" s="47">
        <v>289284</v>
      </c>
      <c r="F10" s="47">
        <v>153338</v>
      </c>
      <c r="G10" s="47">
        <v>129031</v>
      </c>
      <c r="H10" s="47">
        <v>288209</v>
      </c>
      <c r="I10" s="47">
        <v>202853</v>
      </c>
      <c r="J10" s="47">
        <v>94177</v>
      </c>
      <c r="K10" s="47">
        <v>57798</v>
      </c>
      <c r="L10" s="47">
        <v>33491</v>
      </c>
      <c r="M10" s="47">
        <v>61408</v>
      </c>
      <c r="N10" s="48">
        <v>9404</v>
      </c>
      <c r="O10" s="43"/>
    </row>
    <row r="11" spans="1:15">
      <c r="A11" s="22"/>
      <c r="B11" s="56" t="s">
        <v>98</v>
      </c>
      <c r="C11" s="29" t="s">
        <v>123</v>
      </c>
      <c r="D11" s="28"/>
      <c r="E11" s="26" t="s">
        <v>124</v>
      </c>
      <c r="F11" s="26" t="s">
        <v>125</v>
      </c>
      <c r="G11" s="26" t="s">
        <v>126</v>
      </c>
      <c r="H11" s="26" t="s">
        <v>127</v>
      </c>
      <c r="I11" s="26" t="s">
        <v>128</v>
      </c>
      <c r="J11" s="26" t="s">
        <v>129</v>
      </c>
      <c r="K11" s="26" t="s">
        <v>130</v>
      </c>
      <c r="L11" s="26" t="s">
        <v>131</v>
      </c>
      <c r="M11" s="26" t="s">
        <v>132</v>
      </c>
      <c r="N11" s="27" t="s">
        <v>133</v>
      </c>
      <c r="O11" s="34"/>
    </row>
    <row r="12" spans="1:15">
      <c r="A12" s="22"/>
      <c r="B12" s="56" t="s">
        <v>110</v>
      </c>
      <c r="C12" s="29" t="s">
        <v>134</v>
      </c>
      <c r="D12" s="28"/>
      <c r="E12" s="28"/>
      <c r="F12" s="28"/>
      <c r="G12" s="28"/>
      <c r="H12" s="28"/>
      <c r="I12" s="28"/>
      <c r="J12" s="28"/>
      <c r="K12" s="28"/>
      <c r="L12" s="26" t="s">
        <v>135</v>
      </c>
      <c r="M12" s="26" t="s">
        <v>136</v>
      </c>
      <c r="N12" s="27" t="s">
        <v>137</v>
      </c>
      <c r="O12" s="43"/>
    </row>
    <row r="13" spans="1:15">
      <c r="A13" s="22"/>
      <c r="B13" s="54" t="s">
        <v>118</v>
      </c>
      <c r="C13" s="29" t="s">
        <v>138</v>
      </c>
      <c r="D13" s="28"/>
      <c r="E13" s="28"/>
      <c r="F13" s="28"/>
      <c r="G13" s="28"/>
      <c r="H13" s="28"/>
      <c r="I13" s="28"/>
      <c r="J13" s="28"/>
      <c r="K13" s="28"/>
      <c r="L13" s="28"/>
      <c r="M13" s="26" t="s">
        <v>139</v>
      </c>
      <c r="N13" s="30"/>
      <c r="O13" s="43"/>
    </row>
    <row r="14" spans="1:15">
      <c r="A14" s="22"/>
      <c r="B14" s="54" t="s">
        <v>120</v>
      </c>
      <c r="C14" s="29" t="s">
        <v>140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30"/>
      <c r="O14" s="43"/>
    </row>
    <row r="15" spans="1:15">
      <c r="A15" s="22"/>
      <c r="B15" s="22"/>
      <c r="C15" s="31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30"/>
      <c r="O15" s="43"/>
    </row>
    <row r="16" spans="1:15">
      <c r="A16" s="24" t="s">
        <v>96</v>
      </c>
      <c r="B16" s="23" t="s">
        <v>141</v>
      </c>
      <c r="C16" s="46">
        <v>1300</v>
      </c>
      <c r="D16" s="47">
        <v>20517</v>
      </c>
      <c r="E16" s="47">
        <v>0</v>
      </c>
      <c r="F16" s="47">
        <v>30950</v>
      </c>
      <c r="G16" s="47">
        <v>2570</v>
      </c>
      <c r="H16" s="47">
        <v>1392</v>
      </c>
      <c r="I16" s="47">
        <v>2056</v>
      </c>
      <c r="J16" s="47">
        <v>1381</v>
      </c>
      <c r="K16" s="47">
        <v>4927</v>
      </c>
      <c r="L16" s="47">
        <v>1987</v>
      </c>
      <c r="M16" s="47">
        <v>3137</v>
      </c>
      <c r="N16" s="48">
        <v>959</v>
      </c>
      <c r="O16" s="43"/>
    </row>
    <row r="17" spans="1:15">
      <c r="A17" s="22"/>
      <c r="B17" s="56" t="s">
        <v>98</v>
      </c>
      <c r="C17" s="32" t="s">
        <v>142</v>
      </c>
      <c r="D17" s="28" t="s">
        <v>143</v>
      </c>
      <c r="E17" s="28"/>
      <c r="F17" s="28" t="s">
        <v>144</v>
      </c>
      <c r="G17" s="28" t="s">
        <v>145</v>
      </c>
      <c r="H17" s="28" t="s">
        <v>146</v>
      </c>
      <c r="I17" s="28" t="s">
        <v>147</v>
      </c>
      <c r="J17" s="28" t="s">
        <v>148</v>
      </c>
      <c r="K17" s="28" t="s">
        <v>149</v>
      </c>
      <c r="L17" s="28" t="s">
        <v>150</v>
      </c>
      <c r="M17" s="28" t="s">
        <v>151</v>
      </c>
      <c r="N17" s="30" t="s">
        <v>152</v>
      </c>
      <c r="O17" s="43"/>
    </row>
    <row r="18" spans="1:15">
      <c r="A18" s="22"/>
      <c r="B18" s="56" t="s">
        <v>110</v>
      </c>
      <c r="C18" s="32" t="s">
        <v>153</v>
      </c>
      <c r="D18" s="28"/>
      <c r="E18" s="28"/>
      <c r="F18" s="28"/>
      <c r="G18" s="28"/>
      <c r="H18" s="28" t="s">
        <v>154</v>
      </c>
      <c r="I18" s="28" t="s">
        <v>155</v>
      </c>
      <c r="J18" s="28" t="s">
        <v>156</v>
      </c>
      <c r="K18" s="28" t="s">
        <v>157</v>
      </c>
      <c r="L18" s="28"/>
      <c r="M18" s="28"/>
      <c r="N18" s="30"/>
      <c r="O18" s="43"/>
    </row>
    <row r="19" spans="1:15">
      <c r="A19" s="22"/>
      <c r="B19" s="54" t="s">
        <v>118</v>
      </c>
      <c r="C19" s="32"/>
      <c r="D19" s="28"/>
      <c r="E19" s="28"/>
      <c r="F19" s="28"/>
      <c r="G19" s="28"/>
      <c r="H19" s="28" t="s">
        <v>158</v>
      </c>
      <c r="I19" s="28" t="s">
        <v>159</v>
      </c>
      <c r="J19" s="28" t="s">
        <v>160</v>
      </c>
      <c r="K19" s="28"/>
      <c r="L19" s="28"/>
      <c r="M19" s="28"/>
      <c r="N19" s="30"/>
      <c r="O19" s="43"/>
    </row>
    <row r="20" spans="1:15">
      <c r="A20" s="22"/>
      <c r="B20" s="55"/>
      <c r="C20" s="32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30"/>
      <c r="O20" s="43"/>
    </row>
    <row r="21" spans="1:15">
      <c r="A21" s="24" t="s">
        <v>96</v>
      </c>
      <c r="B21" s="23" t="s">
        <v>161</v>
      </c>
      <c r="C21" s="46">
        <v>326552</v>
      </c>
      <c r="D21" s="47">
        <v>187586</v>
      </c>
      <c r="E21" s="47">
        <v>248705</v>
      </c>
      <c r="F21" s="47">
        <v>0</v>
      </c>
      <c r="G21" s="47">
        <v>585106</v>
      </c>
      <c r="H21" s="47">
        <v>251547</v>
      </c>
      <c r="I21" s="47">
        <v>197741</v>
      </c>
      <c r="J21" s="47">
        <v>437475</v>
      </c>
      <c r="K21" s="47">
        <v>815546</v>
      </c>
      <c r="L21" s="47">
        <v>573542</v>
      </c>
      <c r="M21" s="47">
        <v>726204</v>
      </c>
      <c r="N21" s="48">
        <v>162990</v>
      </c>
      <c r="O21" s="43"/>
    </row>
    <row r="22" spans="1:15">
      <c r="A22" s="22"/>
      <c r="B22" s="57" t="s">
        <v>98</v>
      </c>
      <c r="C22" s="32" t="s">
        <v>162</v>
      </c>
      <c r="D22" s="28" t="s">
        <v>163</v>
      </c>
      <c r="E22" s="28" t="s">
        <v>164</v>
      </c>
      <c r="F22" s="28"/>
      <c r="G22" s="28" t="s">
        <v>165</v>
      </c>
      <c r="H22" s="28" t="s">
        <v>166</v>
      </c>
      <c r="I22" s="28" t="s">
        <v>167</v>
      </c>
      <c r="J22" s="28" t="s">
        <v>168</v>
      </c>
      <c r="K22" s="28" t="s">
        <v>169</v>
      </c>
      <c r="L22" s="28" t="s">
        <v>170</v>
      </c>
      <c r="M22" s="28" t="s">
        <v>171</v>
      </c>
      <c r="N22" s="30" t="s">
        <v>172</v>
      </c>
      <c r="O22" s="43"/>
    </row>
    <row r="23" spans="1:15">
      <c r="A23" s="22"/>
      <c r="B23" s="23"/>
      <c r="C23" s="32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30"/>
      <c r="O23" s="43"/>
    </row>
    <row r="24" spans="1:15">
      <c r="A24" s="24" t="s">
        <v>96</v>
      </c>
      <c r="B24" s="23" t="s">
        <v>173</v>
      </c>
      <c r="C24" s="46">
        <v>65451</v>
      </c>
      <c r="D24" s="47">
        <v>17912</v>
      </c>
      <c r="E24" s="47">
        <v>7330</v>
      </c>
      <c r="F24" s="47">
        <v>37049</v>
      </c>
      <c r="G24" s="47">
        <v>0</v>
      </c>
      <c r="H24" s="47">
        <v>20275</v>
      </c>
      <c r="I24" s="47">
        <v>7220</v>
      </c>
      <c r="J24" s="47">
        <v>4477</v>
      </c>
      <c r="K24" s="47">
        <v>11310</v>
      </c>
      <c r="L24" s="47">
        <v>4413</v>
      </c>
      <c r="M24" s="47">
        <v>7492</v>
      </c>
      <c r="N24" s="48">
        <v>1652</v>
      </c>
      <c r="O24" s="43"/>
    </row>
    <row r="25" spans="1:15">
      <c r="A25" s="22"/>
      <c r="B25" s="56" t="s">
        <v>98</v>
      </c>
      <c r="C25" s="32" t="s">
        <v>174</v>
      </c>
      <c r="D25" s="28" t="s">
        <v>175</v>
      </c>
      <c r="E25" s="28" t="s">
        <v>176</v>
      </c>
      <c r="F25" s="28" t="s">
        <v>177</v>
      </c>
      <c r="G25" s="28"/>
      <c r="H25" s="28" t="s">
        <v>178</v>
      </c>
      <c r="I25" s="28" t="s">
        <v>179</v>
      </c>
      <c r="J25" s="28" t="s">
        <v>180</v>
      </c>
      <c r="K25" s="28" t="s">
        <v>181</v>
      </c>
      <c r="L25" s="28" t="s">
        <v>182</v>
      </c>
      <c r="M25" s="28" t="s">
        <v>183</v>
      </c>
      <c r="N25" s="30" t="s">
        <v>184</v>
      </c>
      <c r="O25" s="43"/>
    </row>
    <row r="26" spans="1:15">
      <c r="A26" s="22"/>
      <c r="B26" s="56" t="s">
        <v>110</v>
      </c>
      <c r="C26" s="32"/>
      <c r="D26" s="28"/>
      <c r="E26" s="28"/>
      <c r="F26" s="28"/>
      <c r="G26" s="28"/>
      <c r="H26" s="28"/>
      <c r="I26" s="28"/>
      <c r="J26" s="28"/>
      <c r="K26" s="28" t="s">
        <v>185</v>
      </c>
      <c r="L26" s="28" t="s">
        <v>186</v>
      </c>
      <c r="M26" s="28" t="s">
        <v>187</v>
      </c>
      <c r="N26" s="30" t="s">
        <v>188</v>
      </c>
      <c r="O26" s="43"/>
    </row>
    <row r="27" spans="1:15">
      <c r="A27" s="22"/>
      <c r="B27" s="54" t="s">
        <v>118</v>
      </c>
      <c r="C27" s="32"/>
      <c r="D27" s="28"/>
      <c r="E27" s="28"/>
      <c r="F27" s="28"/>
      <c r="G27" s="28"/>
      <c r="H27" s="28"/>
      <c r="I27" s="28"/>
      <c r="J27" s="28"/>
      <c r="K27" s="28" t="s">
        <v>189</v>
      </c>
      <c r="L27" s="28"/>
      <c r="M27" s="28"/>
      <c r="N27" s="30"/>
      <c r="O27" s="43"/>
    </row>
    <row r="28" spans="1:15">
      <c r="A28" s="22"/>
      <c r="B28" s="23"/>
      <c r="C28" s="32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30"/>
      <c r="O28" s="43"/>
    </row>
    <row r="29" spans="1:15">
      <c r="A29" s="24" t="s">
        <v>96</v>
      </c>
      <c r="B29" s="23" t="s">
        <v>190</v>
      </c>
      <c r="C29" s="46">
        <v>40659</v>
      </c>
      <c r="D29" s="47">
        <v>64446</v>
      </c>
      <c r="E29" s="47">
        <v>12488</v>
      </c>
      <c r="F29" s="47">
        <v>107971</v>
      </c>
      <c r="G29" s="47">
        <v>51646</v>
      </c>
      <c r="H29" s="47">
        <v>0</v>
      </c>
      <c r="I29" s="47">
        <v>9051</v>
      </c>
      <c r="J29" s="47">
        <v>29511</v>
      </c>
      <c r="K29" s="47">
        <v>31521</v>
      </c>
      <c r="L29" s="47">
        <v>19068</v>
      </c>
      <c r="M29" s="47">
        <v>22522</v>
      </c>
      <c r="N29" s="48">
        <v>3887</v>
      </c>
      <c r="O29" s="43"/>
    </row>
    <row r="30" spans="1:15">
      <c r="A30" s="22"/>
      <c r="B30" s="56" t="s">
        <v>98</v>
      </c>
      <c r="C30" s="32" t="s">
        <v>191</v>
      </c>
      <c r="D30" s="28" t="s">
        <v>192</v>
      </c>
      <c r="E30" s="28" t="s">
        <v>193</v>
      </c>
      <c r="F30" s="28" t="s">
        <v>194</v>
      </c>
      <c r="G30" s="28" t="s">
        <v>195</v>
      </c>
      <c r="H30" s="28"/>
      <c r="I30" s="28" t="s">
        <v>196</v>
      </c>
      <c r="J30" s="28" t="s">
        <v>197</v>
      </c>
      <c r="K30" s="28" t="s">
        <v>198</v>
      </c>
      <c r="L30" s="28" t="s">
        <v>199</v>
      </c>
      <c r="M30" s="28" t="s">
        <v>200</v>
      </c>
      <c r="N30" s="30" t="s">
        <v>201</v>
      </c>
      <c r="O30" s="43"/>
    </row>
    <row r="31" spans="1:15">
      <c r="A31" s="22"/>
      <c r="B31" s="56" t="s">
        <v>110</v>
      </c>
      <c r="C31" s="32"/>
      <c r="D31" s="28"/>
      <c r="E31" s="28" t="s">
        <v>202</v>
      </c>
      <c r="F31" s="28"/>
      <c r="G31" s="28"/>
      <c r="H31" s="28"/>
      <c r="I31" s="28" t="s">
        <v>203</v>
      </c>
      <c r="J31" s="28"/>
      <c r="K31" s="28" t="s">
        <v>204</v>
      </c>
      <c r="L31" s="28" t="s">
        <v>205</v>
      </c>
      <c r="M31" s="28" t="s">
        <v>206</v>
      </c>
      <c r="N31" s="30" t="s">
        <v>207</v>
      </c>
      <c r="O31" s="43"/>
    </row>
    <row r="32" spans="1:15">
      <c r="A32" s="22"/>
      <c r="B32" s="54" t="s">
        <v>118</v>
      </c>
      <c r="C32" s="32"/>
      <c r="D32" s="28"/>
      <c r="E32" s="28" t="s">
        <v>208</v>
      </c>
      <c r="F32" s="28"/>
      <c r="G32" s="28"/>
      <c r="H32" s="28"/>
      <c r="I32" s="28" t="s">
        <v>209</v>
      </c>
      <c r="J32" s="28"/>
      <c r="K32" s="28" t="s">
        <v>210</v>
      </c>
      <c r="L32" s="28"/>
      <c r="M32" s="28"/>
      <c r="N32" s="30"/>
      <c r="O32" s="43"/>
    </row>
    <row r="33" spans="1:15">
      <c r="A33" s="22"/>
      <c r="B33" s="23"/>
      <c r="C33" s="32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30"/>
      <c r="O33" s="43"/>
    </row>
    <row r="34" spans="1:15">
      <c r="A34" s="24" t="s">
        <v>96</v>
      </c>
      <c r="B34" s="23" t="s">
        <v>211</v>
      </c>
      <c r="C34" s="46">
        <v>1519</v>
      </c>
      <c r="D34" s="47">
        <v>16110</v>
      </c>
      <c r="E34" s="47">
        <v>2888</v>
      </c>
      <c r="F34" s="47">
        <v>29009</v>
      </c>
      <c r="G34" s="47">
        <v>3951</v>
      </c>
      <c r="H34" s="47">
        <v>2316</v>
      </c>
      <c r="I34" s="47">
        <v>0</v>
      </c>
      <c r="J34" s="47">
        <v>2270</v>
      </c>
      <c r="K34" s="47">
        <v>5667</v>
      </c>
      <c r="L34" s="47">
        <v>2235</v>
      </c>
      <c r="M34" s="47">
        <v>4199</v>
      </c>
      <c r="N34" s="48">
        <v>1109</v>
      </c>
      <c r="O34" s="43"/>
    </row>
    <row r="35" spans="1:15">
      <c r="A35" s="22"/>
      <c r="B35" s="56" t="s">
        <v>98</v>
      </c>
      <c r="C35" s="32" t="s">
        <v>212</v>
      </c>
      <c r="D35" s="28" t="s">
        <v>213</v>
      </c>
      <c r="E35" s="28" t="s">
        <v>214</v>
      </c>
      <c r="F35" s="28" t="s">
        <v>215</v>
      </c>
      <c r="G35" s="25" t="s">
        <v>216</v>
      </c>
      <c r="H35" s="28" t="s">
        <v>217</v>
      </c>
      <c r="I35" s="28"/>
      <c r="J35" s="28" t="s">
        <v>218</v>
      </c>
      <c r="K35" s="28" t="s">
        <v>219</v>
      </c>
      <c r="L35" s="28" t="s">
        <v>220</v>
      </c>
      <c r="M35" s="28" t="s">
        <v>221</v>
      </c>
      <c r="N35" s="30" t="s">
        <v>222</v>
      </c>
      <c r="O35" s="43"/>
    </row>
    <row r="36" spans="1:15">
      <c r="A36" s="22"/>
      <c r="B36" s="56" t="s">
        <v>110</v>
      </c>
      <c r="C36" s="32" t="s">
        <v>223</v>
      </c>
      <c r="D36" s="28"/>
      <c r="E36" s="28" t="s">
        <v>224</v>
      </c>
      <c r="F36" s="28"/>
      <c r="G36" s="28"/>
      <c r="H36" s="28" t="s">
        <v>225</v>
      </c>
      <c r="I36" s="28"/>
      <c r="J36" s="28" t="s">
        <v>226</v>
      </c>
      <c r="K36" s="28" t="s">
        <v>227</v>
      </c>
      <c r="L36" s="28"/>
      <c r="M36" s="28"/>
      <c r="N36" s="30"/>
      <c r="O36" s="43"/>
    </row>
    <row r="37" spans="1:15">
      <c r="A37" s="22"/>
      <c r="B37" s="54" t="s">
        <v>118</v>
      </c>
      <c r="C37" s="32"/>
      <c r="D37" s="28"/>
      <c r="E37" s="28" t="s">
        <v>228</v>
      </c>
      <c r="F37" s="28"/>
      <c r="G37" s="28"/>
      <c r="H37" s="28" t="s">
        <v>229</v>
      </c>
      <c r="I37" s="28"/>
      <c r="J37" s="28" t="s">
        <v>230</v>
      </c>
      <c r="K37" s="28"/>
      <c r="L37" s="28"/>
      <c r="M37" s="28"/>
      <c r="N37" s="30"/>
      <c r="O37" s="43"/>
    </row>
    <row r="38" spans="1:15">
      <c r="A38" s="22"/>
      <c r="B38" s="23"/>
      <c r="C38" s="32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30"/>
      <c r="O38" s="43"/>
    </row>
    <row r="39" spans="1:15">
      <c r="A39" s="24" t="s">
        <v>96</v>
      </c>
      <c r="B39" s="23" t="s">
        <v>231</v>
      </c>
      <c r="C39" s="46">
        <v>50190</v>
      </c>
      <c r="D39" s="47">
        <v>11570</v>
      </c>
      <c r="E39" s="47">
        <v>7769</v>
      </c>
      <c r="F39" s="47">
        <v>47897</v>
      </c>
      <c r="G39" s="47">
        <v>14302</v>
      </c>
      <c r="H39" s="47">
        <v>15278</v>
      </c>
      <c r="I39" s="47">
        <v>6891</v>
      </c>
      <c r="J39" s="47">
        <v>0</v>
      </c>
      <c r="K39" s="47">
        <v>30372</v>
      </c>
      <c r="L39" s="47">
        <v>16226</v>
      </c>
      <c r="M39" s="47">
        <v>13667</v>
      </c>
      <c r="N39" s="48">
        <v>3142</v>
      </c>
      <c r="O39" s="43"/>
    </row>
    <row r="40" spans="1:15">
      <c r="A40" s="22"/>
      <c r="B40" s="56" t="s">
        <v>98</v>
      </c>
      <c r="C40" s="32" t="s">
        <v>232</v>
      </c>
      <c r="D40" s="28" t="s">
        <v>233</v>
      </c>
      <c r="E40" s="28" t="s">
        <v>234</v>
      </c>
      <c r="F40" s="28" t="s">
        <v>235</v>
      </c>
      <c r="G40" s="28" t="s">
        <v>236</v>
      </c>
      <c r="H40" s="28" t="s">
        <v>237</v>
      </c>
      <c r="I40" s="28" t="s">
        <v>238</v>
      </c>
      <c r="J40" s="28"/>
      <c r="K40" s="28" t="s">
        <v>239</v>
      </c>
      <c r="L40" s="28" t="s">
        <v>240</v>
      </c>
      <c r="M40" s="28" t="s">
        <v>241</v>
      </c>
      <c r="N40" s="30" t="s">
        <v>242</v>
      </c>
      <c r="O40" s="43"/>
    </row>
    <row r="41" spans="1:15">
      <c r="A41" s="22"/>
      <c r="B41" s="56" t="s">
        <v>110</v>
      </c>
      <c r="C41" s="32"/>
      <c r="D41" s="28"/>
      <c r="E41" s="28" t="s">
        <v>243</v>
      </c>
      <c r="F41" s="28"/>
      <c r="G41" s="28"/>
      <c r="H41" s="28"/>
      <c r="I41" s="28" t="s">
        <v>244</v>
      </c>
      <c r="J41" s="28"/>
      <c r="K41" s="28"/>
      <c r="L41" s="28"/>
      <c r="M41" s="28"/>
      <c r="N41" s="30"/>
      <c r="O41" s="43"/>
    </row>
    <row r="42" spans="1:15">
      <c r="A42" s="22"/>
      <c r="B42" s="54" t="s">
        <v>118</v>
      </c>
      <c r="C42" s="32"/>
      <c r="D42" s="28"/>
      <c r="E42" s="28" t="s">
        <v>245</v>
      </c>
      <c r="F42" s="28"/>
      <c r="G42" s="28"/>
      <c r="H42" s="28"/>
      <c r="I42" s="28" t="s">
        <v>246</v>
      </c>
      <c r="J42" s="28"/>
      <c r="K42" s="28"/>
      <c r="L42" s="28"/>
      <c r="M42" s="28"/>
      <c r="N42" s="30"/>
      <c r="O42" s="43"/>
    </row>
    <row r="43" spans="1:15">
      <c r="A43" s="22"/>
      <c r="B43" s="23"/>
      <c r="C43" s="32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30"/>
      <c r="O43" s="43"/>
    </row>
    <row r="44" spans="1:15">
      <c r="A44" s="24" t="s">
        <v>96</v>
      </c>
      <c r="B44" s="23" t="s">
        <v>247</v>
      </c>
      <c r="C44" s="46">
        <v>23902</v>
      </c>
      <c r="D44" s="47">
        <v>49682</v>
      </c>
      <c r="E44" s="47">
        <v>16896</v>
      </c>
      <c r="F44" s="47">
        <v>193599</v>
      </c>
      <c r="G44" s="47">
        <v>63875</v>
      </c>
      <c r="H44" s="47">
        <v>49388</v>
      </c>
      <c r="I44" s="47">
        <v>37546</v>
      </c>
      <c r="J44" s="47">
        <v>35882</v>
      </c>
      <c r="K44" s="47">
        <v>0</v>
      </c>
      <c r="L44" s="47">
        <v>33687</v>
      </c>
      <c r="M44" s="47">
        <v>64169</v>
      </c>
      <c r="N44" s="48">
        <v>19668</v>
      </c>
      <c r="O44" s="43"/>
    </row>
    <row r="45" spans="1:15">
      <c r="A45" s="22"/>
      <c r="B45" s="56" t="s">
        <v>98</v>
      </c>
      <c r="C45" s="32" t="s">
        <v>248</v>
      </c>
      <c r="D45" s="28" t="s">
        <v>249</v>
      </c>
      <c r="E45" s="28" t="s">
        <v>250</v>
      </c>
      <c r="F45" s="28" t="s">
        <v>251</v>
      </c>
      <c r="G45" s="28" t="s">
        <v>252</v>
      </c>
      <c r="H45" s="28" t="s">
        <v>253</v>
      </c>
      <c r="I45" s="28" t="s">
        <v>254</v>
      </c>
      <c r="J45" s="28" t="s">
        <v>255</v>
      </c>
      <c r="K45" s="28"/>
      <c r="L45" s="28" t="s">
        <v>256</v>
      </c>
      <c r="M45" s="28" t="s">
        <v>257</v>
      </c>
      <c r="N45" s="30" t="s">
        <v>258</v>
      </c>
      <c r="O45" s="43"/>
    </row>
    <row r="46" spans="1:15">
      <c r="A46" s="22"/>
      <c r="B46" s="56" t="s">
        <v>110</v>
      </c>
      <c r="C46" s="32" t="s">
        <v>259</v>
      </c>
      <c r="D46" s="28"/>
      <c r="E46" s="28" t="s">
        <v>260</v>
      </c>
      <c r="F46" s="28"/>
      <c r="G46" s="28" t="s">
        <v>261</v>
      </c>
      <c r="H46" s="28" t="s">
        <v>262</v>
      </c>
      <c r="I46" s="28" t="s">
        <v>263</v>
      </c>
      <c r="J46" s="28"/>
      <c r="K46" s="28"/>
      <c r="L46" s="28" t="s">
        <v>264</v>
      </c>
      <c r="M46" s="28"/>
      <c r="N46" s="30" t="s">
        <v>265</v>
      </c>
      <c r="O46" s="43"/>
    </row>
    <row r="47" spans="1:15">
      <c r="A47" s="22"/>
      <c r="B47" s="54" t="s">
        <v>118</v>
      </c>
      <c r="C47" s="32"/>
      <c r="D47" s="28"/>
      <c r="E47" s="28"/>
      <c r="F47" s="28"/>
      <c r="G47" s="28" t="s">
        <v>266</v>
      </c>
      <c r="H47" s="28" t="s">
        <v>267</v>
      </c>
      <c r="I47" s="28"/>
      <c r="J47" s="28"/>
      <c r="K47" s="28"/>
      <c r="L47" s="28" t="s">
        <v>268</v>
      </c>
      <c r="M47" s="28"/>
      <c r="N47" s="30"/>
      <c r="O47" s="43"/>
    </row>
    <row r="48" spans="1:15">
      <c r="A48" s="22"/>
      <c r="B48" s="23"/>
      <c r="C48" s="32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30"/>
      <c r="O48" s="43"/>
    </row>
    <row r="49" spans="1:15">
      <c r="A49" s="24" t="s">
        <v>96</v>
      </c>
      <c r="B49" s="23" t="s">
        <v>269</v>
      </c>
      <c r="C49" s="46">
        <v>2241</v>
      </c>
      <c r="D49" s="47">
        <v>2068</v>
      </c>
      <c r="E49" s="47">
        <v>3518</v>
      </c>
      <c r="F49" s="47">
        <v>108572</v>
      </c>
      <c r="G49" s="47">
        <v>6689</v>
      </c>
      <c r="H49" s="47">
        <v>4159</v>
      </c>
      <c r="I49" s="47">
        <v>3148</v>
      </c>
      <c r="J49" s="47">
        <v>12367</v>
      </c>
      <c r="K49" s="47">
        <v>15556</v>
      </c>
      <c r="L49" s="47">
        <v>0</v>
      </c>
      <c r="M49" s="47">
        <v>6077</v>
      </c>
      <c r="N49" s="48">
        <v>2524</v>
      </c>
      <c r="O49" s="43"/>
    </row>
    <row r="50" spans="1:15">
      <c r="A50" s="22"/>
      <c r="B50" s="56" t="s">
        <v>98</v>
      </c>
      <c r="C50" s="32" t="s">
        <v>270</v>
      </c>
      <c r="D50" s="28" t="s">
        <v>271</v>
      </c>
      <c r="E50" s="28" t="s">
        <v>272</v>
      </c>
      <c r="F50" s="28" t="s">
        <v>273</v>
      </c>
      <c r="G50" s="28" t="s">
        <v>274</v>
      </c>
      <c r="H50" s="28" t="s">
        <v>275</v>
      </c>
      <c r="I50" s="28" t="s">
        <v>276</v>
      </c>
      <c r="J50" s="28" t="s">
        <v>277</v>
      </c>
      <c r="K50" s="28" t="s">
        <v>278</v>
      </c>
      <c r="L50" s="28"/>
      <c r="M50" s="28" t="s">
        <v>279</v>
      </c>
      <c r="N50" s="30" t="s">
        <v>280</v>
      </c>
      <c r="O50" s="43"/>
    </row>
    <row r="51" spans="1:15">
      <c r="A51" s="22"/>
      <c r="B51" s="56" t="s">
        <v>110</v>
      </c>
      <c r="C51" s="32" t="s">
        <v>281</v>
      </c>
      <c r="D51" s="28" t="s">
        <v>282</v>
      </c>
      <c r="E51" s="28"/>
      <c r="F51" s="28"/>
      <c r="G51" s="28" t="s">
        <v>283</v>
      </c>
      <c r="H51" s="28" t="s">
        <v>284</v>
      </c>
      <c r="I51" s="28"/>
      <c r="J51" s="28"/>
      <c r="K51" s="28" t="s">
        <v>285</v>
      </c>
      <c r="L51" s="28"/>
      <c r="M51" s="28"/>
      <c r="N51" s="30" t="s">
        <v>286</v>
      </c>
      <c r="O51" s="43"/>
    </row>
    <row r="52" spans="1:15">
      <c r="A52" s="22"/>
      <c r="B52" s="54" t="s">
        <v>118</v>
      </c>
      <c r="C52" s="32"/>
      <c r="D52" s="28"/>
      <c r="E52" s="28"/>
      <c r="F52" s="28"/>
      <c r="G52" s="28"/>
      <c r="H52" s="28"/>
      <c r="I52" s="28"/>
      <c r="J52" s="28"/>
      <c r="K52" s="28" t="s">
        <v>287</v>
      </c>
      <c r="L52" s="28"/>
      <c r="M52" s="28"/>
      <c r="N52" s="30"/>
      <c r="O52" s="43"/>
    </row>
    <row r="53" spans="1:15">
      <c r="A53" s="22"/>
      <c r="B53" s="22"/>
      <c r="C53" s="32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30"/>
      <c r="O53" s="43"/>
    </row>
    <row r="54" spans="1:15">
      <c r="A54" s="24" t="s">
        <v>96</v>
      </c>
      <c r="B54" s="23" t="s">
        <v>288</v>
      </c>
      <c r="C54" s="46">
        <v>5141</v>
      </c>
      <c r="D54" s="47">
        <v>4049</v>
      </c>
      <c r="E54" s="47">
        <v>3968</v>
      </c>
      <c r="F54" s="47">
        <v>85524</v>
      </c>
      <c r="G54" s="47">
        <v>9791</v>
      </c>
      <c r="H54" s="47">
        <v>6989</v>
      </c>
      <c r="I54" s="47">
        <v>4852</v>
      </c>
      <c r="J54" s="47">
        <v>15631</v>
      </c>
      <c r="K54" s="47">
        <v>34473</v>
      </c>
      <c r="L54" s="47">
        <v>10807</v>
      </c>
      <c r="M54" s="47">
        <v>0</v>
      </c>
      <c r="N54" s="48">
        <v>3680</v>
      </c>
      <c r="O54" s="43"/>
    </row>
    <row r="55" spans="1:15">
      <c r="A55" s="22"/>
      <c r="B55" s="56" t="s">
        <v>98</v>
      </c>
      <c r="C55" s="32" t="s">
        <v>289</v>
      </c>
      <c r="D55" s="28" t="s">
        <v>290</v>
      </c>
      <c r="E55" s="28" t="s">
        <v>291</v>
      </c>
      <c r="F55" s="28" t="s">
        <v>292</v>
      </c>
      <c r="G55" s="28" t="s">
        <v>293</v>
      </c>
      <c r="H55" s="28" t="s">
        <v>294</v>
      </c>
      <c r="I55" s="28" t="s">
        <v>295</v>
      </c>
      <c r="J55" s="28" t="s">
        <v>296</v>
      </c>
      <c r="K55" s="28" t="s">
        <v>297</v>
      </c>
      <c r="L55" s="28" t="s">
        <v>298</v>
      </c>
      <c r="M55" s="28"/>
      <c r="N55" s="30" t="s">
        <v>299</v>
      </c>
      <c r="O55" s="43"/>
    </row>
    <row r="56" spans="1:15">
      <c r="A56" s="22"/>
      <c r="B56" s="56" t="s">
        <v>110</v>
      </c>
      <c r="C56" s="32" t="s">
        <v>300</v>
      </c>
      <c r="D56" s="28" t="s">
        <v>301</v>
      </c>
      <c r="E56" s="28"/>
      <c r="F56" s="28"/>
      <c r="G56" s="28" t="s">
        <v>302</v>
      </c>
      <c r="H56" s="28" t="s">
        <v>303</v>
      </c>
      <c r="I56" s="28"/>
      <c r="J56" s="28"/>
      <c r="K56" s="28"/>
      <c r="L56" s="28"/>
      <c r="M56" s="28"/>
      <c r="N56" s="30" t="s">
        <v>304</v>
      </c>
      <c r="O56" s="43"/>
    </row>
    <row r="57" spans="1:15">
      <c r="A57" s="22"/>
      <c r="B57" s="54" t="s">
        <v>118</v>
      </c>
      <c r="C57" s="32"/>
      <c r="D57" s="28" t="s">
        <v>305</v>
      </c>
      <c r="E57" s="28"/>
      <c r="F57" s="28"/>
      <c r="G57" s="28"/>
      <c r="H57" s="28"/>
      <c r="I57" s="28"/>
      <c r="J57" s="28"/>
      <c r="K57" s="28"/>
      <c r="L57" s="28"/>
      <c r="M57" s="28"/>
      <c r="N57" s="30"/>
      <c r="O57" s="43"/>
    </row>
    <row r="58" spans="1:15">
      <c r="A58" s="22"/>
      <c r="B58" s="23"/>
      <c r="C58" s="32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30"/>
      <c r="O58" s="43"/>
    </row>
    <row r="59" spans="1:15">
      <c r="A59" s="24" t="s">
        <v>96</v>
      </c>
      <c r="B59" s="23" t="s">
        <v>306</v>
      </c>
      <c r="C59" s="46">
        <v>2253</v>
      </c>
      <c r="D59" s="47">
        <v>2351</v>
      </c>
      <c r="E59" s="47">
        <v>2443</v>
      </c>
      <c r="F59" s="47">
        <v>27582</v>
      </c>
      <c r="G59" s="47">
        <v>4558</v>
      </c>
      <c r="H59" s="47">
        <v>2905</v>
      </c>
      <c r="I59" s="47">
        <v>2495</v>
      </c>
      <c r="J59" s="47">
        <v>6793</v>
      </c>
      <c r="K59" s="47">
        <v>7804</v>
      </c>
      <c r="L59" s="47">
        <v>2732</v>
      </c>
      <c r="M59" s="47">
        <v>6215</v>
      </c>
      <c r="N59" s="48">
        <v>0</v>
      </c>
      <c r="O59" s="43"/>
    </row>
    <row r="60" spans="1:15">
      <c r="A60" s="22"/>
      <c r="B60" s="56" t="s">
        <v>98</v>
      </c>
      <c r="C60" s="32" t="s">
        <v>307</v>
      </c>
      <c r="D60" s="28" t="s">
        <v>308</v>
      </c>
      <c r="E60" s="28" t="s">
        <v>309</v>
      </c>
      <c r="F60" s="28" t="s">
        <v>310</v>
      </c>
      <c r="G60" s="28" t="s">
        <v>311</v>
      </c>
      <c r="H60" s="28" t="s">
        <v>312</v>
      </c>
      <c r="I60" s="28" t="s">
        <v>313</v>
      </c>
      <c r="J60" s="28" t="s">
        <v>314</v>
      </c>
      <c r="K60" s="28" t="s">
        <v>315</v>
      </c>
      <c r="L60" s="28" t="s">
        <v>316</v>
      </c>
      <c r="M60" s="28" t="s">
        <v>317</v>
      </c>
      <c r="N60" s="30"/>
      <c r="O60" s="34"/>
    </row>
    <row r="61" spans="1:15">
      <c r="A61" s="22"/>
      <c r="B61" s="56" t="s">
        <v>110</v>
      </c>
      <c r="C61" s="49" t="s">
        <v>318</v>
      </c>
      <c r="D61" s="50" t="s">
        <v>319</v>
      </c>
      <c r="E61" s="50"/>
      <c r="F61" s="50"/>
      <c r="G61" s="50" t="s">
        <v>320</v>
      </c>
      <c r="H61" s="50" t="s">
        <v>321</v>
      </c>
      <c r="I61" s="50"/>
      <c r="J61" s="50"/>
      <c r="K61" s="50" t="s">
        <v>322</v>
      </c>
      <c r="L61" s="50" t="s">
        <v>323</v>
      </c>
      <c r="M61" s="50" t="s">
        <v>324</v>
      </c>
      <c r="N61" s="51"/>
      <c r="O61" s="34"/>
    </row>
    <row r="62" spans="1:15">
      <c r="A62" s="22"/>
      <c r="B62" s="54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4"/>
    </row>
    <row r="63" spans="1:15">
      <c r="A63" s="22"/>
      <c r="B63" s="22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4"/>
    </row>
    <row r="64" spans="1:15">
      <c r="A64" s="22"/>
      <c r="B64" s="22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4"/>
    </row>
    <row r="65" spans="3:15"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</row>
    <row r="66" spans="3:15"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</row>
    <row r="67" spans="3:15"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</row>
    <row r="68" spans="3:15"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</row>
    <row r="69" spans="3:15"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</row>
    <row r="70" spans="3:15"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</row>
    <row r="71" spans="3:15"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</row>
    <row r="72" spans="3:15"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</row>
    <row r="73" spans="3:15"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</row>
    <row r="74" spans="3:15"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</row>
    <row r="75" spans="3:15"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</row>
    <row r="76" spans="3:15"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</row>
    <row r="77" spans="3:15"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</row>
    <row r="78" spans="3:15"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</row>
    <row r="79" spans="3:15"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</row>
    <row r="80" spans="3:15"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</row>
    <row r="81" spans="3:15"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</row>
    <row r="82" spans="3:15"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</row>
    <row r="83" spans="3:15"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</row>
    <row r="84" spans="3:15"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</row>
    <row r="85" spans="3:15"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</row>
    <row r="86" spans="3:15"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</row>
    <row r="87" spans="3:15"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</row>
    <row r="88" spans="3:15"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</row>
    <row r="89" spans="3:15"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</row>
    <row r="90" spans="3:15"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</row>
    <row r="91" spans="3:15"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</row>
    <row r="92" spans="3:15"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</row>
    <row r="93" spans="3:15"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</row>
    <row r="94" spans="3:15"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</row>
    <row r="95" spans="3:15"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</row>
    <row r="96" spans="3:15"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</row>
    <row r="97" spans="3:15"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</row>
    <row r="98" spans="3:15"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</row>
    <row r="99" spans="3:15"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</row>
    <row r="100" spans="3:15"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</row>
    <row r="101" spans="3:15"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</row>
    <row r="102" spans="3:15"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</row>
    <row r="103" spans="3:15"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</row>
    <row r="104" spans="3:15"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</row>
    <row r="105" spans="3:15"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</row>
    <row r="106" spans="3:15"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</row>
    <row r="107" spans="3:15"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</row>
    <row r="108" spans="3:15"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</row>
    <row r="109" spans="3:15"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</row>
    <row r="110" spans="3:15"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</row>
    <row r="111" spans="3:15"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</row>
    <row r="112" spans="3:15"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</row>
    <row r="113" spans="3:15"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</row>
    <row r="114" spans="3:15"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</row>
    <row r="115" spans="3:15"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</row>
    <row r="116" spans="3:15"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</row>
    <row r="117" spans="3:15"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</row>
    <row r="118" spans="3:15"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</row>
    <row r="119" spans="3:15"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</row>
    <row r="120" spans="3:15"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</row>
    <row r="121" spans="3:15"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</row>
    <row r="122" spans="3:15"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</row>
    <row r="123" spans="3:15"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</row>
    <row r="124" spans="3:15"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</row>
    <row r="125" spans="3:15"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</row>
    <row r="126" spans="3:15"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</row>
    <row r="127" spans="3:15"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</row>
    <row r="128" spans="3:15"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</row>
    <row r="129" spans="3:15"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</row>
    <row r="130" spans="3:15"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</row>
    <row r="131" spans="3:15"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</row>
    <row r="132" spans="3:15"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</row>
    <row r="133" spans="3:15"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</row>
    <row r="134" spans="3:15"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</row>
    <row r="135" spans="3:15"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</row>
    <row r="136" spans="3:15"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</row>
    <row r="137" spans="3:15"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</row>
    <row r="138" spans="3:15"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</row>
    <row r="139" spans="3:15"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</row>
    <row r="140" spans="3:15"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</row>
    <row r="141" spans="3:15"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</row>
    <row r="142" spans="3:15"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</row>
    <row r="143" spans="3:15"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</row>
    <row r="144" spans="3:15"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</row>
    <row r="145" spans="3:15"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</row>
    <row r="146" spans="3:15"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</row>
    <row r="147" spans="3:15"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</row>
    <row r="148" spans="3:15"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</row>
    <row r="149" spans="3:15"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</row>
    <row r="150" spans="3:15"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</row>
    <row r="151" spans="3:15"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</row>
    <row r="152" spans="3:15"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</row>
    <row r="153" spans="3:15"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9"/>
  <sheetViews>
    <sheetView topLeftCell="Q1" zoomScale="80" zoomScaleNormal="80" workbookViewId="0">
      <selection activeCell="AE46" sqref="AE46"/>
    </sheetView>
  </sheetViews>
  <sheetFormatPr defaultColWidth="9" defaultRowHeight="12.75"/>
  <cols>
    <col min="1" max="1" width="13.42578125" style="5" customWidth="1"/>
    <col min="2" max="2" width="22.7109375" style="63" customWidth="1"/>
    <col min="3" max="3" width="26.7109375" style="59" customWidth="1"/>
    <col min="4" max="4" width="16.85546875" style="59" customWidth="1"/>
    <col min="5" max="5" width="16.7109375" style="62" customWidth="1"/>
    <col min="6" max="6" width="23.7109375" style="61" customWidth="1"/>
    <col min="7" max="7" width="15.42578125" style="61" customWidth="1"/>
    <col min="8" max="8" width="23.7109375" style="61" customWidth="1"/>
    <col min="9" max="10" width="16.140625" style="59" customWidth="1"/>
    <col min="11" max="11" width="28.85546875" style="59" customWidth="1"/>
    <col min="12" max="12" width="17.7109375" style="59" customWidth="1"/>
    <col min="13" max="13" width="16.140625" style="59" customWidth="1"/>
    <col min="14" max="14" width="17.7109375" style="59" customWidth="1"/>
    <col min="15" max="15" width="23.28515625" style="59" customWidth="1"/>
    <col min="16" max="16" width="17.5703125" style="62" customWidth="1"/>
    <col min="17" max="17" width="26.5703125" style="10" customWidth="1"/>
    <col min="18" max="18" width="35.140625" style="59" customWidth="1"/>
    <col min="19" max="19" width="23" style="58" customWidth="1"/>
    <col min="20" max="20" width="22.85546875" style="5" customWidth="1"/>
    <col min="21" max="21" width="23.7109375" style="5" customWidth="1"/>
    <col min="22" max="22" width="21.5703125" style="5" customWidth="1"/>
    <col min="23" max="16384" width="9" style="5"/>
  </cols>
  <sheetData>
    <row r="1" spans="1:38" ht="14.25" customHeight="1">
      <c r="A1" s="355"/>
      <c r="B1" s="200"/>
      <c r="C1" s="516" t="s">
        <v>453</v>
      </c>
      <c r="D1" s="517"/>
      <c r="E1" s="517"/>
      <c r="F1" s="517"/>
      <c r="G1" s="517"/>
      <c r="H1" s="517"/>
      <c r="I1" s="518"/>
      <c r="J1" s="354"/>
      <c r="K1" s="521" t="s">
        <v>452</v>
      </c>
      <c r="L1" s="522"/>
      <c r="M1" s="522"/>
      <c r="N1" s="522"/>
      <c r="O1" s="522"/>
      <c r="P1" s="552"/>
      <c r="Q1" s="7"/>
      <c r="R1" s="7"/>
    </row>
    <row r="2" spans="1:38" ht="13.5" thickBot="1">
      <c r="A2" s="355" t="s">
        <v>451</v>
      </c>
      <c r="B2" s="198" t="s">
        <v>450</v>
      </c>
      <c r="C2" s="197" t="s">
        <v>449</v>
      </c>
      <c r="D2" s="196" t="s">
        <v>34</v>
      </c>
      <c r="E2" s="196" t="s">
        <v>33</v>
      </c>
      <c r="F2" s="196" t="s">
        <v>448</v>
      </c>
      <c r="G2" s="196" t="s">
        <v>460</v>
      </c>
      <c r="H2" s="196" t="s">
        <v>461</v>
      </c>
      <c r="I2" s="196" t="s">
        <v>445</v>
      </c>
      <c r="J2" s="195" t="s">
        <v>458</v>
      </c>
      <c r="K2" s="192" t="s">
        <v>447</v>
      </c>
      <c r="L2" s="194" t="s">
        <v>34</v>
      </c>
      <c r="M2" s="194" t="s">
        <v>33</v>
      </c>
      <c r="N2" s="193" t="s">
        <v>446</v>
      </c>
      <c r="O2" s="192" t="s">
        <v>445</v>
      </c>
      <c r="P2" s="252" t="s">
        <v>457</v>
      </c>
      <c r="Q2" s="356"/>
      <c r="R2" s="357"/>
      <c r="T2" s="494" t="s">
        <v>554</v>
      </c>
      <c r="U2" s="495"/>
      <c r="V2" s="495"/>
      <c r="W2" s="495"/>
      <c r="X2" s="495"/>
      <c r="Y2" s="496"/>
      <c r="Z2" s="166"/>
      <c r="AF2" s="494" t="s">
        <v>556</v>
      </c>
      <c r="AG2" s="495"/>
      <c r="AH2" s="495"/>
      <c r="AI2" s="495"/>
      <c r="AJ2" s="495"/>
      <c r="AK2" s="496"/>
      <c r="AL2" s="166"/>
    </row>
    <row r="3" spans="1:38" ht="13.5" thickBot="1">
      <c r="A3" s="164" t="s">
        <v>439</v>
      </c>
      <c r="B3" s="186" t="s">
        <v>438</v>
      </c>
      <c r="C3" s="185" t="s">
        <v>437</v>
      </c>
      <c r="D3" s="184">
        <v>386.9</v>
      </c>
      <c r="E3" s="184">
        <v>200</v>
      </c>
      <c r="F3" s="184">
        <v>131.95400000000001</v>
      </c>
      <c r="G3" s="184">
        <v>0.5</v>
      </c>
      <c r="H3" s="184">
        <f>F3*G3</f>
        <v>65.977000000000004</v>
      </c>
      <c r="I3" s="184">
        <f>E3-H3</f>
        <v>134.023</v>
      </c>
      <c r="J3" s="183">
        <f>H3/E3*100</f>
        <v>32.988500000000002</v>
      </c>
      <c r="K3" s="180" t="s">
        <v>436</v>
      </c>
      <c r="L3" s="182">
        <v>598.85</v>
      </c>
      <c r="M3" s="182">
        <v>150</v>
      </c>
      <c r="N3" s="181">
        <f t="shared" ref="N3:N13" si="0">F3</f>
        <v>131.95400000000001</v>
      </c>
      <c r="O3" s="251">
        <f>M3-H3</f>
        <v>84.022999999999996</v>
      </c>
      <c r="P3" s="181" t="str">
        <f t="shared" ref="P3:P9" si="1">IF(O3&gt;=0,"No","Yes")</f>
        <v>No</v>
      </c>
      <c r="Q3" s="356"/>
      <c r="R3" s="356"/>
      <c r="T3" s="336" t="s">
        <v>470</v>
      </c>
      <c r="U3" s="338" t="s">
        <v>471</v>
      </c>
      <c r="V3" s="338" t="s">
        <v>472</v>
      </c>
      <c r="W3" s="337" t="s">
        <v>473</v>
      </c>
      <c r="X3" s="338" t="s">
        <v>474</v>
      </c>
      <c r="Y3" s="339" t="s">
        <v>527</v>
      </c>
      <c r="Z3" s="340" t="s">
        <v>418</v>
      </c>
      <c r="AF3" s="336" t="s">
        <v>470</v>
      </c>
      <c r="AG3" s="338" t="s">
        <v>471</v>
      </c>
      <c r="AH3" s="338" t="s">
        <v>472</v>
      </c>
      <c r="AI3" s="337" t="s">
        <v>473</v>
      </c>
      <c r="AJ3" s="338" t="s">
        <v>474</v>
      </c>
      <c r="AK3" s="339" t="s">
        <v>527</v>
      </c>
      <c r="AL3" s="340" t="s">
        <v>418</v>
      </c>
    </row>
    <row r="4" spans="1:38" ht="13.5" thickBot="1">
      <c r="A4" s="519" t="s">
        <v>44</v>
      </c>
      <c r="B4" s="179" t="s">
        <v>3</v>
      </c>
      <c r="C4" s="178" t="s">
        <v>44</v>
      </c>
      <c r="D4" s="177">
        <v>424.31</v>
      </c>
      <c r="E4" s="177">
        <v>200</v>
      </c>
      <c r="F4" s="177">
        <v>79.758499999999998</v>
      </c>
      <c r="G4" s="85">
        <v>0.5</v>
      </c>
      <c r="H4" s="85">
        <f t="shared" ref="H4:H56" si="2">F4*G4</f>
        <v>39.879249999999999</v>
      </c>
      <c r="I4" s="94">
        <f t="shared" ref="I4:I13" si="3">E4-H4</f>
        <v>160.12074999999999</v>
      </c>
      <c r="J4" s="93">
        <f t="shared" ref="J4:J13" si="4">H4/E4*100</f>
        <v>19.939624999999999</v>
      </c>
      <c r="K4" s="304" t="s">
        <v>435</v>
      </c>
      <c r="L4" s="176">
        <v>561.44000000000005</v>
      </c>
      <c r="M4" s="176">
        <v>150</v>
      </c>
      <c r="N4" s="175">
        <f t="shared" si="0"/>
        <v>79.758499999999998</v>
      </c>
      <c r="O4" s="251">
        <f t="shared" ref="O4:O13" si="5">M4-H4</f>
        <v>110.12075</v>
      </c>
      <c r="P4" s="182" t="str">
        <f t="shared" si="1"/>
        <v>No</v>
      </c>
      <c r="Q4" s="356"/>
      <c r="R4" s="356"/>
      <c r="T4" s="60" t="s">
        <v>84</v>
      </c>
      <c r="U4" s="341">
        <v>0</v>
      </c>
      <c r="V4" s="341">
        <v>0</v>
      </c>
      <c r="W4" s="342">
        <v>0</v>
      </c>
      <c r="X4" s="342">
        <v>0</v>
      </c>
      <c r="Y4" s="343">
        <v>0</v>
      </c>
      <c r="Z4" s="344">
        <f>SUM(U4:Y4)</f>
        <v>0</v>
      </c>
      <c r="AF4" s="60" t="s">
        <v>84</v>
      </c>
      <c r="AG4" s="343">
        <v>0</v>
      </c>
      <c r="AH4" s="343">
        <f>3</f>
        <v>3</v>
      </c>
      <c r="AI4" s="419">
        <f>1+1</f>
        <v>2</v>
      </c>
      <c r="AJ4" s="419">
        <f>1</f>
        <v>1</v>
      </c>
      <c r="AK4" s="343">
        <v>0</v>
      </c>
      <c r="AL4" s="344">
        <f>SUM(AG4:AK4)</f>
        <v>6</v>
      </c>
    </row>
    <row r="5" spans="1:38" ht="14.25" customHeight="1" thickBot="1">
      <c r="A5" s="499"/>
      <c r="B5" s="63" t="s">
        <v>25</v>
      </c>
      <c r="C5" s="114" t="s">
        <v>65</v>
      </c>
      <c r="D5" s="94">
        <v>645.40499999999997</v>
      </c>
      <c r="E5" s="94">
        <v>150</v>
      </c>
      <c r="F5" s="94">
        <v>101.52370000000001</v>
      </c>
      <c r="G5" s="73">
        <v>0.5</v>
      </c>
      <c r="H5" s="73">
        <f t="shared" si="2"/>
        <v>50.761850000000003</v>
      </c>
      <c r="I5" s="94">
        <f t="shared" si="3"/>
        <v>99.23814999999999</v>
      </c>
      <c r="J5" s="93">
        <f t="shared" si="4"/>
        <v>33.841233333333335</v>
      </c>
      <c r="K5" s="301" t="s">
        <v>430</v>
      </c>
      <c r="L5" s="92">
        <v>691.82</v>
      </c>
      <c r="M5" s="92">
        <v>150</v>
      </c>
      <c r="N5" s="91">
        <f t="shared" si="0"/>
        <v>101.52370000000001</v>
      </c>
      <c r="O5" s="251">
        <f t="shared" si="5"/>
        <v>99.23814999999999</v>
      </c>
      <c r="P5" s="182" t="str">
        <f t="shared" si="1"/>
        <v>No</v>
      </c>
      <c r="Q5" s="352" t="s">
        <v>441</v>
      </c>
      <c r="R5" s="352" t="s">
        <v>456</v>
      </c>
      <c r="T5" s="60" t="s">
        <v>85</v>
      </c>
      <c r="U5" s="341">
        <v>0</v>
      </c>
      <c r="V5" s="341">
        <v>0</v>
      </c>
      <c r="W5" s="341">
        <v>0</v>
      </c>
      <c r="X5" s="341">
        <v>0</v>
      </c>
      <c r="Y5" s="343">
        <v>0</v>
      </c>
      <c r="Z5" s="60">
        <f t="shared" ref="Z5:Z15" si="6">SUM(U5:Y5)</f>
        <v>0</v>
      </c>
      <c r="AF5" s="60" t="s">
        <v>85</v>
      </c>
      <c r="AG5" s="343">
        <v>0</v>
      </c>
      <c r="AH5" s="343">
        <f>2+1+1</f>
        <v>4</v>
      </c>
      <c r="AI5" s="343">
        <f>2+1</f>
        <v>3</v>
      </c>
      <c r="AJ5" s="343">
        <v>0</v>
      </c>
      <c r="AK5" s="343">
        <f>1+1</f>
        <v>2</v>
      </c>
      <c r="AL5" s="60">
        <f t="shared" ref="AL5:AL15" si="7">SUM(AG5:AK5)</f>
        <v>9</v>
      </c>
    </row>
    <row r="6" spans="1:38" ht="13.5" thickBot="1">
      <c r="A6" s="497" t="s">
        <v>434</v>
      </c>
      <c r="B6" s="87" t="s">
        <v>433</v>
      </c>
      <c r="C6" s="86" t="s">
        <v>392</v>
      </c>
      <c r="D6" s="85">
        <v>774.56</v>
      </c>
      <c r="E6" s="85">
        <v>450</v>
      </c>
      <c r="F6" s="85">
        <v>593.39</v>
      </c>
      <c r="G6" s="85">
        <v>0.5</v>
      </c>
      <c r="H6" s="85">
        <f t="shared" si="2"/>
        <v>296.69499999999999</v>
      </c>
      <c r="I6" s="85">
        <f t="shared" si="3"/>
        <v>153.30500000000001</v>
      </c>
      <c r="J6" s="84">
        <f t="shared" si="4"/>
        <v>65.932222222222222</v>
      </c>
      <c r="K6" s="100" t="s">
        <v>432</v>
      </c>
      <c r="L6" s="83">
        <v>778.62</v>
      </c>
      <c r="M6" s="83">
        <v>450</v>
      </c>
      <c r="N6" s="82">
        <f t="shared" si="0"/>
        <v>593.39</v>
      </c>
      <c r="O6" s="251">
        <f t="shared" si="5"/>
        <v>153.30500000000001</v>
      </c>
      <c r="P6" s="182" t="str">
        <f t="shared" si="1"/>
        <v>No</v>
      </c>
      <c r="Q6" s="219"/>
      <c r="R6" s="218"/>
      <c r="T6" s="60" t="s">
        <v>86</v>
      </c>
      <c r="U6" s="341">
        <v>1</v>
      </c>
      <c r="V6" s="341">
        <v>0</v>
      </c>
      <c r="W6" s="341">
        <v>0</v>
      </c>
      <c r="X6" s="341">
        <v>0</v>
      </c>
      <c r="Y6" s="343">
        <v>0</v>
      </c>
      <c r="Z6" s="60">
        <f t="shared" si="6"/>
        <v>1</v>
      </c>
      <c r="AB6" s="405" t="s">
        <v>476</v>
      </c>
      <c r="AC6" s="405" t="s">
        <v>477</v>
      </c>
      <c r="AD6" s="345" t="s">
        <v>478</v>
      </c>
      <c r="AF6" s="60" t="s">
        <v>86</v>
      </c>
      <c r="AG6" s="341">
        <v>0</v>
      </c>
      <c r="AH6" s="343">
        <v>0</v>
      </c>
      <c r="AI6" s="341">
        <f>1+1</f>
        <v>2</v>
      </c>
      <c r="AJ6" s="343">
        <v>0</v>
      </c>
      <c r="AK6" s="343">
        <f>1</f>
        <v>1</v>
      </c>
      <c r="AL6" s="60">
        <f t="shared" si="7"/>
        <v>3</v>
      </c>
    </row>
    <row r="7" spans="1:38" ht="14.25" customHeight="1" thickBot="1">
      <c r="A7" s="499"/>
      <c r="B7" s="96" t="s">
        <v>4</v>
      </c>
      <c r="C7" s="95" t="s">
        <v>45</v>
      </c>
      <c r="D7" s="108">
        <v>221.095</v>
      </c>
      <c r="E7" s="108">
        <v>250</v>
      </c>
      <c r="F7" s="108">
        <v>165.54</v>
      </c>
      <c r="G7" s="94">
        <v>0.5</v>
      </c>
      <c r="H7" s="94">
        <f t="shared" si="2"/>
        <v>82.77</v>
      </c>
      <c r="I7" s="94">
        <f t="shared" si="3"/>
        <v>167.23000000000002</v>
      </c>
      <c r="J7" s="93">
        <f t="shared" si="4"/>
        <v>33.107999999999997</v>
      </c>
      <c r="K7" s="302" t="s">
        <v>431</v>
      </c>
      <c r="L7" s="106">
        <v>904.18</v>
      </c>
      <c r="M7" s="106">
        <v>150</v>
      </c>
      <c r="N7" s="105">
        <f t="shared" si="0"/>
        <v>165.54</v>
      </c>
      <c r="O7" s="251">
        <f t="shared" si="5"/>
        <v>67.23</v>
      </c>
      <c r="P7" s="263" t="str">
        <f t="shared" si="1"/>
        <v>No</v>
      </c>
      <c r="Q7" s="262" t="s">
        <v>351</v>
      </c>
      <c r="R7" s="245" t="s">
        <v>351</v>
      </c>
      <c r="T7" s="60" t="s">
        <v>87</v>
      </c>
      <c r="U7" s="341">
        <v>1</v>
      </c>
      <c r="V7" s="341">
        <v>0</v>
      </c>
      <c r="W7" s="341">
        <v>0</v>
      </c>
      <c r="X7" s="341">
        <v>0</v>
      </c>
      <c r="Y7" s="343">
        <v>0</v>
      </c>
      <c r="Z7" s="60">
        <f t="shared" si="6"/>
        <v>1</v>
      </c>
      <c r="AB7" s="61" t="s">
        <v>471</v>
      </c>
      <c r="AC7" s="61">
        <v>100</v>
      </c>
      <c r="AD7" s="413">
        <v>15</v>
      </c>
      <c r="AF7" s="60" t="s">
        <v>87</v>
      </c>
      <c r="AG7" s="341">
        <v>0</v>
      </c>
      <c r="AH7" s="420">
        <f>3+2+2</f>
        <v>7</v>
      </c>
      <c r="AI7" s="343">
        <f>2+1+2+4+1</f>
        <v>10</v>
      </c>
      <c r="AJ7" s="343">
        <f>1+2+3</f>
        <v>6</v>
      </c>
      <c r="AK7" s="343">
        <v>0</v>
      </c>
      <c r="AL7" s="60">
        <f t="shared" si="7"/>
        <v>23</v>
      </c>
    </row>
    <row r="8" spans="1:38" ht="14.25" customHeight="1" thickBot="1">
      <c r="A8" s="499"/>
      <c r="B8" s="96" t="s">
        <v>25</v>
      </c>
      <c r="C8" s="95" t="s">
        <v>65</v>
      </c>
      <c r="D8" s="94">
        <v>645.40499999999997</v>
      </c>
      <c r="E8" s="94">
        <v>150</v>
      </c>
      <c r="F8" s="94">
        <v>101.52370000000001</v>
      </c>
      <c r="G8" s="73">
        <v>0.5</v>
      </c>
      <c r="H8" s="73">
        <f t="shared" si="2"/>
        <v>50.761850000000003</v>
      </c>
      <c r="I8" s="73">
        <f t="shared" si="3"/>
        <v>99.23814999999999</v>
      </c>
      <c r="J8" s="299">
        <f t="shared" si="4"/>
        <v>33.841233333333335</v>
      </c>
      <c r="K8" s="301" t="s">
        <v>430</v>
      </c>
      <c r="L8" s="92">
        <v>691.82</v>
      </c>
      <c r="M8" s="92">
        <v>150</v>
      </c>
      <c r="N8" s="91">
        <f t="shared" si="0"/>
        <v>101.52370000000001</v>
      </c>
      <c r="O8" s="251">
        <f t="shared" si="5"/>
        <v>99.23814999999999</v>
      </c>
      <c r="P8" s="182" t="str">
        <f t="shared" si="1"/>
        <v>No</v>
      </c>
      <c r="Q8" s="261"/>
      <c r="R8" s="245"/>
      <c r="T8" s="60" t="s">
        <v>88</v>
      </c>
      <c r="U8" s="341">
        <v>1</v>
      </c>
      <c r="V8" s="341">
        <v>0</v>
      </c>
      <c r="W8" s="341">
        <v>0</v>
      </c>
      <c r="X8" s="341">
        <v>0</v>
      </c>
      <c r="Y8" s="343">
        <v>0</v>
      </c>
      <c r="Z8" s="60">
        <f t="shared" si="6"/>
        <v>1</v>
      </c>
      <c r="AA8" s="356"/>
      <c r="AB8" s="346" t="s">
        <v>472</v>
      </c>
      <c r="AC8" s="346">
        <v>150</v>
      </c>
      <c r="AD8" s="414">
        <v>16.3689</v>
      </c>
      <c r="AF8" s="60" t="s">
        <v>88</v>
      </c>
      <c r="AG8" s="341">
        <v>0</v>
      </c>
      <c r="AH8" s="343">
        <v>0</v>
      </c>
      <c r="AI8" s="343">
        <f>1+1+1+2+1+1</f>
        <v>7</v>
      </c>
      <c r="AJ8" s="343">
        <f>1</f>
        <v>1</v>
      </c>
      <c r="AK8" s="343">
        <v>0</v>
      </c>
      <c r="AL8" s="60">
        <f t="shared" si="7"/>
        <v>8</v>
      </c>
    </row>
    <row r="9" spans="1:38" ht="13.5" thickBot="1">
      <c r="A9" s="497" t="s">
        <v>46</v>
      </c>
      <c r="B9" s="87" t="s">
        <v>5</v>
      </c>
      <c r="C9" s="86" t="s">
        <v>46</v>
      </c>
      <c r="D9" s="85">
        <v>87.444999999999993</v>
      </c>
      <c r="E9" s="85">
        <v>300</v>
      </c>
      <c r="F9" s="85">
        <v>330.03719999999998</v>
      </c>
      <c r="G9" s="85">
        <v>0.5</v>
      </c>
      <c r="H9" s="85">
        <f t="shared" si="2"/>
        <v>165.01859999999999</v>
      </c>
      <c r="I9" s="94">
        <f t="shared" si="3"/>
        <v>134.98140000000001</v>
      </c>
      <c r="J9" s="93">
        <f t="shared" si="4"/>
        <v>55.006199999999993</v>
      </c>
      <c r="K9" s="100" t="s">
        <v>429</v>
      </c>
      <c r="L9" s="83">
        <v>243.73500000000001</v>
      </c>
      <c r="M9" s="83">
        <v>250</v>
      </c>
      <c r="N9" s="82">
        <f t="shared" si="0"/>
        <v>330.03719999999998</v>
      </c>
      <c r="O9" s="251">
        <f t="shared" si="5"/>
        <v>84.981400000000008</v>
      </c>
      <c r="P9" s="181" t="str">
        <f t="shared" si="1"/>
        <v>No</v>
      </c>
      <c r="Q9" s="239"/>
      <c r="R9" s="239"/>
      <c r="S9" s="253"/>
      <c r="T9" s="60" t="s">
        <v>89</v>
      </c>
      <c r="U9" s="341">
        <v>0</v>
      </c>
      <c r="V9" s="341">
        <v>0</v>
      </c>
      <c r="W9" s="341">
        <v>0</v>
      </c>
      <c r="X9" s="341">
        <v>0</v>
      </c>
      <c r="Y9" s="343">
        <v>0</v>
      </c>
      <c r="Z9" s="60">
        <f t="shared" si="6"/>
        <v>0</v>
      </c>
      <c r="AA9" s="352"/>
      <c r="AB9" s="346" t="s">
        <v>473</v>
      </c>
      <c r="AC9" s="346">
        <v>200</v>
      </c>
      <c r="AD9" s="414">
        <v>16.746700000000001</v>
      </c>
      <c r="AF9" s="60" t="s">
        <v>89</v>
      </c>
      <c r="AG9" s="343">
        <v>0</v>
      </c>
      <c r="AH9" s="343">
        <f>2+2+1</f>
        <v>5</v>
      </c>
      <c r="AI9" s="343">
        <f>1</f>
        <v>1</v>
      </c>
      <c r="AJ9" s="343">
        <f>1</f>
        <v>1</v>
      </c>
      <c r="AK9" s="343">
        <v>0</v>
      </c>
      <c r="AL9" s="60">
        <f t="shared" si="7"/>
        <v>7</v>
      </c>
    </row>
    <row r="10" spans="1:38" ht="14.25" customHeight="1" thickBot="1">
      <c r="A10" s="499"/>
      <c r="B10" s="96" t="s">
        <v>7</v>
      </c>
      <c r="C10" s="95" t="s">
        <v>48</v>
      </c>
      <c r="D10" s="108">
        <v>457.755</v>
      </c>
      <c r="E10" s="108">
        <v>200</v>
      </c>
      <c r="F10" s="108">
        <v>200.11</v>
      </c>
      <c r="G10" s="94">
        <v>0.5</v>
      </c>
      <c r="H10" s="94">
        <f t="shared" si="2"/>
        <v>100.05500000000001</v>
      </c>
      <c r="I10" s="94">
        <f t="shared" si="3"/>
        <v>99.944999999999993</v>
      </c>
      <c r="J10" s="93">
        <f t="shared" si="4"/>
        <v>50.027500000000003</v>
      </c>
      <c r="K10" s="302" t="s">
        <v>428</v>
      </c>
      <c r="L10" s="106">
        <v>614.06500000000005</v>
      </c>
      <c r="M10" s="106">
        <v>150</v>
      </c>
      <c r="N10" s="105">
        <f t="shared" si="0"/>
        <v>200.11</v>
      </c>
      <c r="O10" s="251">
        <f t="shared" si="5"/>
        <v>49.944999999999993</v>
      </c>
      <c r="P10" s="260" t="s">
        <v>455</v>
      </c>
      <c r="Q10" s="356"/>
      <c r="R10" s="356"/>
      <c r="S10" s="253"/>
      <c r="T10" s="60" t="s">
        <v>90</v>
      </c>
      <c r="U10" s="341">
        <v>0</v>
      </c>
      <c r="V10" s="341">
        <v>0</v>
      </c>
      <c r="W10" s="341">
        <v>0</v>
      </c>
      <c r="X10" s="341">
        <v>0</v>
      </c>
      <c r="Y10" s="343">
        <v>0</v>
      </c>
      <c r="Z10" s="60">
        <f t="shared" si="6"/>
        <v>0</v>
      </c>
      <c r="AA10" s="352"/>
      <c r="AB10" s="346" t="s">
        <v>474</v>
      </c>
      <c r="AC10" s="346">
        <v>250</v>
      </c>
      <c r="AD10" s="414">
        <v>16.886600000000001</v>
      </c>
      <c r="AF10" s="60" t="s">
        <v>90</v>
      </c>
      <c r="AG10" s="341">
        <v>0</v>
      </c>
      <c r="AH10" s="341">
        <v>0</v>
      </c>
      <c r="AI10" s="341">
        <f>1</f>
        <v>1</v>
      </c>
      <c r="AJ10" s="343">
        <f>1</f>
        <v>1</v>
      </c>
      <c r="AK10" s="343">
        <f>1</f>
        <v>1</v>
      </c>
      <c r="AL10" s="60">
        <f t="shared" si="7"/>
        <v>3</v>
      </c>
    </row>
    <row r="11" spans="1:38" ht="14.25" customHeight="1" thickBot="1">
      <c r="A11" s="499"/>
      <c r="B11" s="96" t="s">
        <v>8</v>
      </c>
      <c r="C11" s="95" t="s">
        <v>74</v>
      </c>
      <c r="D11" s="108">
        <v>632.29</v>
      </c>
      <c r="E11" s="108">
        <v>300</v>
      </c>
      <c r="F11" s="108">
        <v>416.14780000000002</v>
      </c>
      <c r="G11" s="94">
        <v>0.5</v>
      </c>
      <c r="H11" s="94">
        <f t="shared" si="2"/>
        <v>208.07390000000001</v>
      </c>
      <c r="I11" s="94">
        <f t="shared" si="3"/>
        <v>91.926099999999991</v>
      </c>
      <c r="J11" s="93">
        <f t="shared" si="4"/>
        <v>69.35796666666667</v>
      </c>
      <c r="K11" s="302" t="s">
        <v>427</v>
      </c>
      <c r="L11" s="106">
        <v>692.19500000000005</v>
      </c>
      <c r="M11" s="106">
        <v>300</v>
      </c>
      <c r="N11" s="105">
        <f t="shared" si="0"/>
        <v>416.14780000000002</v>
      </c>
      <c r="O11" s="251">
        <f t="shared" si="5"/>
        <v>91.926099999999991</v>
      </c>
      <c r="P11" s="181" t="str">
        <f>IF(O11&gt;=0,"No","Yes")</f>
        <v>No</v>
      </c>
      <c r="Q11" s="356"/>
      <c r="R11" s="356"/>
      <c r="S11" s="253"/>
      <c r="T11" s="60" t="s">
        <v>91</v>
      </c>
      <c r="U11" s="341">
        <v>0</v>
      </c>
      <c r="V11" s="341">
        <v>0</v>
      </c>
      <c r="W11" s="343">
        <v>0</v>
      </c>
      <c r="X11" s="343">
        <v>0</v>
      </c>
      <c r="Y11" s="343">
        <v>0</v>
      </c>
      <c r="Z11" s="60">
        <f t="shared" si="6"/>
        <v>0</v>
      </c>
      <c r="AA11" s="356"/>
      <c r="AB11" s="347" t="s">
        <v>527</v>
      </c>
      <c r="AC11" s="347">
        <v>300</v>
      </c>
      <c r="AD11" s="415">
        <v>17</v>
      </c>
      <c r="AF11" s="60" t="s">
        <v>91</v>
      </c>
      <c r="AG11" s="341">
        <v>0</v>
      </c>
      <c r="AH11" s="341">
        <f>1+2+1+1+1+1</f>
        <v>7</v>
      </c>
      <c r="AI11" s="343">
        <f>1+1</f>
        <v>2</v>
      </c>
      <c r="AJ11" s="343">
        <f>1</f>
        <v>1</v>
      </c>
      <c r="AK11" s="343">
        <v>0</v>
      </c>
      <c r="AL11" s="60">
        <f t="shared" si="7"/>
        <v>10</v>
      </c>
    </row>
    <row r="12" spans="1:38" ht="14.25" customHeight="1" thickBot="1">
      <c r="A12" s="499"/>
      <c r="B12" s="96" t="s">
        <v>12</v>
      </c>
      <c r="C12" s="95" t="s">
        <v>52</v>
      </c>
      <c r="D12" s="108">
        <v>428.91</v>
      </c>
      <c r="E12" s="108">
        <v>200</v>
      </c>
      <c r="F12" s="108">
        <v>320.77999999999997</v>
      </c>
      <c r="G12" s="94">
        <v>0.5</v>
      </c>
      <c r="H12" s="94">
        <f t="shared" si="2"/>
        <v>160.38999999999999</v>
      </c>
      <c r="I12" s="94">
        <f t="shared" si="3"/>
        <v>39.610000000000014</v>
      </c>
      <c r="J12" s="93">
        <f t="shared" si="4"/>
        <v>80.194999999999993</v>
      </c>
      <c r="K12" s="302" t="s">
        <v>421</v>
      </c>
      <c r="L12" s="106">
        <v>440.09</v>
      </c>
      <c r="M12" s="106">
        <v>200</v>
      </c>
      <c r="N12" s="105">
        <f t="shared" si="0"/>
        <v>320.77999999999997</v>
      </c>
      <c r="O12" s="251">
        <f t="shared" si="5"/>
        <v>39.610000000000014</v>
      </c>
      <c r="P12" s="181" t="str">
        <f>IF(O12&gt;=0,"No","Yes")</f>
        <v>No</v>
      </c>
      <c r="Q12" s="356"/>
      <c r="R12" s="356"/>
      <c r="S12" s="253"/>
      <c r="T12" s="60" t="s">
        <v>92</v>
      </c>
      <c r="U12" s="343">
        <v>0</v>
      </c>
      <c r="V12" s="343">
        <v>0</v>
      </c>
      <c r="W12" s="343">
        <v>0</v>
      </c>
      <c r="X12" s="343">
        <v>0</v>
      </c>
      <c r="Y12" s="343">
        <v>0</v>
      </c>
      <c r="Z12" s="60">
        <f t="shared" si="6"/>
        <v>0</v>
      </c>
      <c r="AA12" s="356"/>
      <c r="AB12" s="356"/>
      <c r="AC12" s="356"/>
      <c r="AF12" s="60" t="s">
        <v>92</v>
      </c>
      <c r="AG12" s="343">
        <v>0</v>
      </c>
      <c r="AH12" s="341">
        <f>1+1</f>
        <v>2</v>
      </c>
      <c r="AI12" s="343">
        <f>4+1</f>
        <v>5</v>
      </c>
      <c r="AJ12" s="343">
        <v>0</v>
      </c>
      <c r="AK12" s="343">
        <v>0</v>
      </c>
      <c r="AL12" s="60">
        <f t="shared" si="7"/>
        <v>7</v>
      </c>
    </row>
    <row r="13" spans="1:38" ht="14.25" customHeight="1" thickBot="1">
      <c r="A13" s="499"/>
      <c r="B13" s="96" t="s">
        <v>397</v>
      </c>
      <c r="C13" s="95" t="s">
        <v>63</v>
      </c>
      <c r="D13" s="94">
        <v>530.30999999999995</v>
      </c>
      <c r="E13" s="94">
        <v>200</v>
      </c>
      <c r="F13" s="94">
        <v>22.35</v>
      </c>
      <c r="G13" s="73">
        <v>0.5</v>
      </c>
      <c r="H13" s="73">
        <f t="shared" si="2"/>
        <v>11.175000000000001</v>
      </c>
      <c r="I13" s="94">
        <f t="shared" si="3"/>
        <v>188.82499999999999</v>
      </c>
      <c r="J13" s="93">
        <f t="shared" si="4"/>
        <v>5.5875000000000004</v>
      </c>
      <c r="K13" s="301" t="s">
        <v>419</v>
      </c>
      <c r="L13" s="92">
        <v>541.49</v>
      </c>
      <c r="M13" s="92">
        <v>150</v>
      </c>
      <c r="N13" s="91">
        <f t="shared" si="0"/>
        <v>22.35</v>
      </c>
      <c r="O13" s="251">
        <f t="shared" si="5"/>
        <v>138.82499999999999</v>
      </c>
      <c r="P13" s="181" t="str">
        <f>IF(O13&gt;=0,"No","Yes")</f>
        <v>No</v>
      </c>
      <c r="Q13" s="356"/>
      <c r="R13" s="356"/>
      <c r="S13" s="253"/>
      <c r="T13" s="60" t="s">
        <v>93</v>
      </c>
      <c r="U13" s="343">
        <v>1</v>
      </c>
      <c r="V13" s="341">
        <v>0</v>
      </c>
      <c r="W13" s="343">
        <v>0</v>
      </c>
      <c r="X13" s="343">
        <v>0</v>
      </c>
      <c r="Y13" s="343">
        <v>0</v>
      </c>
      <c r="Z13" s="60">
        <f t="shared" si="6"/>
        <v>1</v>
      </c>
      <c r="AA13" s="356"/>
      <c r="AB13" s="356"/>
      <c r="AC13" s="356"/>
      <c r="AF13" s="60" t="s">
        <v>93</v>
      </c>
      <c r="AG13" s="343">
        <v>0</v>
      </c>
      <c r="AH13" s="341">
        <v>0</v>
      </c>
      <c r="AI13" s="343">
        <f>1+1</f>
        <v>2</v>
      </c>
      <c r="AJ13" s="343">
        <f>2</f>
        <v>2</v>
      </c>
      <c r="AK13" s="343">
        <v>0</v>
      </c>
      <c r="AL13" s="60">
        <f t="shared" si="7"/>
        <v>4</v>
      </c>
    </row>
    <row r="14" spans="1:38" ht="13.5" thickBot="1">
      <c r="A14" s="353" t="s">
        <v>427</v>
      </c>
      <c r="B14" s="87" t="s">
        <v>351</v>
      </c>
      <c r="C14" s="163"/>
      <c r="D14" s="85"/>
      <c r="E14" s="85"/>
      <c r="F14" s="85"/>
      <c r="G14" s="184">
        <v>0.5</v>
      </c>
      <c r="H14" s="184">
        <f t="shared" si="2"/>
        <v>0</v>
      </c>
      <c r="I14" s="184"/>
      <c r="J14" s="183"/>
      <c r="K14" s="100"/>
      <c r="L14" s="83"/>
      <c r="M14" s="83"/>
      <c r="N14" s="82"/>
      <c r="O14" s="100"/>
      <c r="P14" s="82"/>
      <c r="Q14" s="356"/>
      <c r="R14" s="356"/>
      <c r="S14" s="253"/>
      <c r="T14" s="60" t="s">
        <v>94</v>
      </c>
      <c r="U14" s="343">
        <v>0</v>
      </c>
      <c r="V14" s="341">
        <v>0</v>
      </c>
      <c r="W14" s="343">
        <v>0</v>
      </c>
      <c r="X14" s="343">
        <v>0</v>
      </c>
      <c r="Y14" s="343">
        <v>0</v>
      </c>
      <c r="Z14" s="60">
        <f t="shared" si="6"/>
        <v>0</v>
      </c>
      <c r="AA14" s="18"/>
      <c r="AB14" s="18"/>
      <c r="AC14" s="356"/>
      <c r="AF14" s="60" t="s">
        <v>94</v>
      </c>
      <c r="AG14" s="343">
        <v>0</v>
      </c>
      <c r="AH14" s="420">
        <f>1</f>
        <v>1</v>
      </c>
      <c r="AI14" s="343">
        <f>1+1</f>
        <v>2</v>
      </c>
      <c r="AJ14" s="343">
        <f>3</f>
        <v>3</v>
      </c>
      <c r="AK14" s="343">
        <v>0</v>
      </c>
      <c r="AL14" s="60">
        <f t="shared" si="7"/>
        <v>6</v>
      </c>
    </row>
    <row r="15" spans="1:38" ht="13.5" thickBot="1">
      <c r="A15" s="497" t="s">
        <v>49</v>
      </c>
      <c r="B15" s="87" t="s">
        <v>426</v>
      </c>
      <c r="C15" s="86" t="s">
        <v>47</v>
      </c>
      <c r="D15" s="85">
        <v>341.36500000000001</v>
      </c>
      <c r="E15" s="85">
        <v>400</v>
      </c>
      <c r="F15" s="85">
        <v>414.50749999999999</v>
      </c>
      <c r="G15" s="85">
        <v>0.5</v>
      </c>
      <c r="H15" s="85">
        <f t="shared" si="2"/>
        <v>207.25375</v>
      </c>
      <c r="I15" s="85">
        <f>E15-H15</f>
        <v>192.74625</v>
      </c>
      <c r="J15" s="84">
        <f>H15/E15*100</f>
        <v>51.813437500000006</v>
      </c>
      <c r="K15" s="100" t="s">
        <v>425</v>
      </c>
      <c r="L15" s="83">
        <v>527.53499999999997</v>
      </c>
      <c r="M15" s="83">
        <v>600</v>
      </c>
      <c r="N15" s="82">
        <f t="shared" ref="N15:N24" si="8">F15</f>
        <v>414.50749999999999</v>
      </c>
      <c r="O15" s="205">
        <f>M15-H15</f>
        <v>392.74625000000003</v>
      </c>
      <c r="P15" s="82" t="str">
        <f t="shared" ref="P15:P24" si="9">IF(O15&gt;=0,"No","Yes")</f>
        <v>No</v>
      </c>
      <c r="Q15" s="356"/>
      <c r="R15" s="356"/>
      <c r="S15" s="253"/>
      <c r="T15" s="326" t="s">
        <v>469</v>
      </c>
      <c r="U15" s="348">
        <v>0</v>
      </c>
      <c r="V15" s="348">
        <v>0</v>
      </c>
      <c r="W15" s="348">
        <v>0</v>
      </c>
      <c r="X15" s="348">
        <v>0</v>
      </c>
      <c r="Y15" s="348">
        <v>0</v>
      </c>
      <c r="Z15" s="326">
        <f t="shared" si="6"/>
        <v>0</v>
      </c>
      <c r="AA15" s="356"/>
      <c r="AB15" s="356"/>
      <c r="AF15" s="326" t="s">
        <v>469</v>
      </c>
      <c r="AG15" s="348">
        <v>0</v>
      </c>
      <c r="AH15" s="348">
        <f>1</f>
        <v>1</v>
      </c>
      <c r="AI15" s="348">
        <f>1</f>
        <v>1</v>
      </c>
      <c r="AJ15" s="348">
        <v>0</v>
      </c>
      <c r="AK15" s="348">
        <v>0</v>
      </c>
      <c r="AL15" s="326">
        <f t="shared" si="7"/>
        <v>2</v>
      </c>
    </row>
    <row r="16" spans="1:38" ht="14.25" customHeight="1" thickBot="1">
      <c r="A16" s="499"/>
      <c r="B16" s="96" t="s">
        <v>9</v>
      </c>
      <c r="C16" s="95" t="s">
        <v>424</v>
      </c>
      <c r="D16" s="108">
        <v>72.555000000000007</v>
      </c>
      <c r="E16" s="108">
        <v>300</v>
      </c>
      <c r="F16" s="108">
        <v>249.06020000000001</v>
      </c>
      <c r="G16" s="94">
        <v>0.5</v>
      </c>
      <c r="H16" s="94">
        <f t="shared" si="2"/>
        <v>124.5301</v>
      </c>
      <c r="I16" s="94">
        <f t="shared" ref="I16:I24" si="10">E16-H16</f>
        <v>175.4699</v>
      </c>
      <c r="J16" s="93">
        <f t="shared" ref="J16:J24" si="11">H16/E16*100</f>
        <v>41.510033333333332</v>
      </c>
      <c r="K16" s="302" t="s">
        <v>423</v>
      </c>
      <c r="L16" s="106">
        <v>258.625</v>
      </c>
      <c r="M16" s="106">
        <v>250</v>
      </c>
      <c r="N16" s="105">
        <f t="shared" si="8"/>
        <v>249.06020000000001</v>
      </c>
      <c r="O16" s="205">
        <f t="shared" ref="O16:O24" si="12">M16-H16</f>
        <v>125.4699</v>
      </c>
      <c r="P16" s="82" t="str">
        <f t="shared" si="9"/>
        <v>No</v>
      </c>
      <c r="Q16" s="356"/>
      <c r="R16" s="356"/>
      <c r="S16" s="253"/>
      <c r="T16" s="340" t="s">
        <v>479</v>
      </c>
      <c r="U16" s="349">
        <f t="shared" ref="U16:Z16" si="13">SUM(U4:U15)</f>
        <v>4</v>
      </c>
      <c r="V16" s="349">
        <f t="shared" si="13"/>
        <v>0</v>
      </c>
      <c r="W16" s="349">
        <f t="shared" si="13"/>
        <v>0</v>
      </c>
      <c r="X16" s="349">
        <f t="shared" si="13"/>
        <v>0</v>
      </c>
      <c r="Y16" s="349">
        <f t="shared" si="13"/>
        <v>0</v>
      </c>
      <c r="Z16" s="350">
        <f t="shared" si="13"/>
        <v>4</v>
      </c>
      <c r="AA16" s="356"/>
      <c r="AB16" s="356"/>
      <c r="AF16" s="340" t="s">
        <v>479</v>
      </c>
      <c r="AG16" s="349">
        <f>SUM(AG4:AG15)</f>
        <v>0</v>
      </c>
      <c r="AH16" s="349">
        <f>SUM(AH4:AH15)</f>
        <v>30</v>
      </c>
      <c r="AI16" s="349">
        <f>SUM(AI4:AI15)</f>
        <v>38</v>
      </c>
      <c r="AJ16" s="349">
        <f>SUM(AJ4:AJ15)</f>
        <v>16</v>
      </c>
      <c r="AK16" s="349">
        <f>SUM(AK4:AK15)</f>
        <v>4</v>
      </c>
      <c r="AL16" s="350">
        <f t="shared" ref="AL16" si="14">SUM(AL4:AL15)</f>
        <v>88</v>
      </c>
    </row>
    <row r="17" spans="1:38" ht="14.25" customHeight="1" thickBot="1">
      <c r="A17" s="499"/>
      <c r="B17" s="96" t="s">
        <v>10</v>
      </c>
      <c r="C17" s="95" t="s">
        <v>386</v>
      </c>
      <c r="D17" s="108">
        <v>894.93</v>
      </c>
      <c r="E17" s="108">
        <v>150</v>
      </c>
      <c r="F17" s="108">
        <v>185.4342</v>
      </c>
      <c r="G17" s="94">
        <v>0.5</v>
      </c>
      <c r="H17" s="94">
        <f t="shared" si="2"/>
        <v>92.717100000000002</v>
      </c>
      <c r="I17" s="94">
        <f t="shared" si="10"/>
        <v>57.282899999999998</v>
      </c>
      <c r="J17" s="93">
        <f t="shared" si="11"/>
        <v>61.811400000000006</v>
      </c>
      <c r="K17" s="302" t="s">
        <v>385</v>
      </c>
      <c r="L17" s="106">
        <v>975.03499999999997</v>
      </c>
      <c r="M17" s="106">
        <v>150</v>
      </c>
      <c r="N17" s="105">
        <f t="shared" si="8"/>
        <v>185.4342</v>
      </c>
      <c r="O17" s="205">
        <f t="shared" si="12"/>
        <v>57.282899999999998</v>
      </c>
      <c r="P17" s="82" t="str">
        <f t="shared" si="9"/>
        <v>No</v>
      </c>
      <c r="Q17" s="356"/>
      <c r="R17" s="356"/>
      <c r="S17" s="253"/>
      <c r="T17" s="340" t="s">
        <v>478</v>
      </c>
      <c r="U17" s="351">
        <f>PRODUCT(U16*AD7)</f>
        <v>60</v>
      </c>
      <c r="V17" s="351">
        <f>PRODUCT(V16*AD8)</f>
        <v>0</v>
      </c>
      <c r="W17" s="351">
        <f>PRODUCT(W16*AD9)</f>
        <v>0</v>
      </c>
      <c r="X17" s="351">
        <f>PRODUCT(X16*AD10)</f>
        <v>0</v>
      </c>
      <c r="Y17" s="351">
        <f>PRODUCT(Y16*AD11)</f>
        <v>0</v>
      </c>
      <c r="Z17" s="340">
        <f>SUM(U17:Y17)</f>
        <v>60</v>
      </c>
      <c r="AA17" s="356"/>
      <c r="AB17" s="356"/>
      <c r="AF17" s="340" t="s">
        <v>478</v>
      </c>
      <c r="AG17" s="416">
        <f>PRODUCT(AG16*AD7)</f>
        <v>0</v>
      </c>
      <c r="AH17" s="416">
        <f>PRODUCT(AH16*AD8)</f>
        <v>491.06700000000001</v>
      </c>
      <c r="AI17" s="416">
        <f>PRODUCT(AI16*AD9)</f>
        <v>636.37459999999999</v>
      </c>
      <c r="AJ17" s="416">
        <f>PRODUCT(AJ16*AD10)</f>
        <v>270.18560000000002</v>
      </c>
      <c r="AK17" s="416">
        <f>PRODUCT(AK16*AD11)</f>
        <v>68</v>
      </c>
      <c r="AL17" s="421">
        <f>SUM(AG17:AK17)</f>
        <v>1465.6272000000001</v>
      </c>
    </row>
    <row r="18" spans="1:38" ht="14.25" customHeight="1" thickBot="1">
      <c r="A18" s="499"/>
      <c r="B18" s="96" t="s">
        <v>11</v>
      </c>
      <c r="C18" s="95" t="s">
        <v>378</v>
      </c>
      <c r="D18" s="108">
        <v>839.23</v>
      </c>
      <c r="E18" s="108">
        <v>150</v>
      </c>
      <c r="F18" s="108">
        <v>213.84829999999999</v>
      </c>
      <c r="G18" s="94">
        <v>0.5</v>
      </c>
      <c r="H18" s="94">
        <f t="shared" si="2"/>
        <v>106.92415</v>
      </c>
      <c r="I18" s="94">
        <f t="shared" si="10"/>
        <v>43.075850000000003</v>
      </c>
      <c r="J18" s="93">
        <f t="shared" si="11"/>
        <v>71.28276666666666</v>
      </c>
      <c r="K18" s="302" t="s">
        <v>422</v>
      </c>
      <c r="L18" s="106">
        <v>1025.3</v>
      </c>
      <c r="M18" s="106">
        <v>150</v>
      </c>
      <c r="N18" s="105">
        <f t="shared" si="8"/>
        <v>213.84829999999999</v>
      </c>
      <c r="O18" s="205">
        <f t="shared" si="12"/>
        <v>43.075850000000003</v>
      </c>
      <c r="P18" s="82" t="str">
        <f t="shared" si="9"/>
        <v>No</v>
      </c>
      <c r="Q18" s="356"/>
      <c r="R18" s="356"/>
      <c r="S18" s="253"/>
      <c r="T18" s="340" t="s">
        <v>477</v>
      </c>
      <c r="U18" s="351">
        <f>U16*AC7</f>
        <v>400</v>
      </c>
      <c r="V18" s="351">
        <f>V16*AC8</f>
        <v>0</v>
      </c>
      <c r="W18" s="351">
        <f>W16*AC9</f>
        <v>0</v>
      </c>
      <c r="X18" s="351">
        <f>X16*AC10</f>
        <v>0</v>
      </c>
      <c r="Y18" s="351">
        <f>Y16*AC11</f>
        <v>0</v>
      </c>
      <c r="Z18" s="340">
        <f>SUM(U18:Y18)</f>
        <v>400</v>
      </c>
      <c r="AA18" s="356"/>
      <c r="AB18" s="356"/>
      <c r="AF18" s="340" t="s">
        <v>528</v>
      </c>
      <c r="AG18" s="351">
        <f>AG16*AC7</f>
        <v>0</v>
      </c>
      <c r="AH18" s="351">
        <f>AH16*AC8</f>
        <v>4500</v>
      </c>
      <c r="AI18" s="351">
        <f>AI16*AC9</f>
        <v>7600</v>
      </c>
      <c r="AJ18" s="351">
        <f>AJ16*AC10</f>
        <v>4000</v>
      </c>
      <c r="AK18" s="351">
        <f>AK16*AC11</f>
        <v>1200</v>
      </c>
      <c r="AL18" s="340">
        <f>SUM(AG18:AK18)</f>
        <v>17300</v>
      </c>
    </row>
    <row r="19" spans="1:38" ht="14.25" customHeight="1" thickBot="1">
      <c r="A19" s="499"/>
      <c r="B19" s="96" t="s">
        <v>12</v>
      </c>
      <c r="C19" s="95" t="s">
        <v>52</v>
      </c>
      <c r="D19" s="108">
        <v>428.91</v>
      </c>
      <c r="E19" s="108">
        <v>200</v>
      </c>
      <c r="F19" s="108">
        <v>320.7817</v>
      </c>
      <c r="G19" s="94">
        <v>0.5</v>
      </c>
      <c r="H19" s="94">
        <f t="shared" si="2"/>
        <v>160.39085</v>
      </c>
      <c r="I19" s="94">
        <f t="shared" si="10"/>
        <v>39.60915</v>
      </c>
      <c r="J19" s="93">
        <f t="shared" si="11"/>
        <v>80.195425</v>
      </c>
      <c r="K19" s="302" t="s">
        <v>421</v>
      </c>
      <c r="L19" s="106">
        <v>440.09</v>
      </c>
      <c r="M19" s="106">
        <v>200</v>
      </c>
      <c r="N19" s="105">
        <f t="shared" si="8"/>
        <v>320.7817</v>
      </c>
      <c r="O19" s="205">
        <f t="shared" si="12"/>
        <v>39.60915</v>
      </c>
      <c r="P19" s="82" t="str">
        <f t="shared" si="9"/>
        <v>No</v>
      </c>
      <c r="Q19" s="356"/>
      <c r="R19" s="356"/>
      <c r="S19" s="253"/>
    </row>
    <row r="20" spans="1:38" ht="14.25" customHeight="1" thickBot="1">
      <c r="A20" s="499"/>
      <c r="B20" s="96" t="s">
        <v>420</v>
      </c>
      <c r="C20" s="95" t="s">
        <v>412</v>
      </c>
      <c r="D20" s="94">
        <v>530.30999999999995</v>
      </c>
      <c r="E20" s="94">
        <v>200</v>
      </c>
      <c r="F20" s="94">
        <v>22.35</v>
      </c>
      <c r="G20" s="73">
        <v>0.5</v>
      </c>
      <c r="H20" s="73">
        <f t="shared" si="2"/>
        <v>11.175000000000001</v>
      </c>
      <c r="I20" s="73">
        <f t="shared" si="10"/>
        <v>188.82499999999999</v>
      </c>
      <c r="J20" s="299">
        <f t="shared" si="11"/>
        <v>5.5875000000000004</v>
      </c>
      <c r="K20" s="301" t="s">
        <v>419</v>
      </c>
      <c r="L20" s="92">
        <v>541.49</v>
      </c>
      <c r="M20" s="92">
        <v>150</v>
      </c>
      <c r="N20" s="91">
        <f t="shared" si="8"/>
        <v>22.35</v>
      </c>
      <c r="O20" s="205">
        <f t="shared" si="12"/>
        <v>138.82499999999999</v>
      </c>
      <c r="P20" s="82" t="str">
        <f t="shared" si="9"/>
        <v>No</v>
      </c>
      <c r="Q20" s="356"/>
      <c r="R20" s="356"/>
      <c r="S20" s="253"/>
    </row>
    <row r="21" spans="1:38" ht="13.5" thickBot="1">
      <c r="A21" s="497" t="s">
        <v>414</v>
      </c>
      <c r="B21" s="87" t="s">
        <v>7</v>
      </c>
      <c r="C21" s="86" t="s">
        <v>48</v>
      </c>
      <c r="D21" s="85">
        <v>457.755</v>
      </c>
      <c r="E21" s="85">
        <v>200</v>
      </c>
      <c r="F21" s="85">
        <v>200.1122</v>
      </c>
      <c r="G21" s="85">
        <v>0.5</v>
      </c>
      <c r="H21" s="85">
        <f t="shared" si="2"/>
        <v>100.0561</v>
      </c>
      <c r="I21" s="94">
        <f t="shared" si="10"/>
        <v>99.943899999999999</v>
      </c>
      <c r="J21" s="93">
        <f t="shared" si="11"/>
        <v>50.02805</v>
      </c>
      <c r="K21" s="100" t="s">
        <v>417</v>
      </c>
      <c r="L21" s="83">
        <v>733.18499999999995</v>
      </c>
      <c r="M21" s="83">
        <v>200</v>
      </c>
      <c r="N21" s="82">
        <f t="shared" si="8"/>
        <v>200.1122</v>
      </c>
      <c r="O21" s="205">
        <f t="shared" si="12"/>
        <v>99.943899999999999</v>
      </c>
      <c r="P21" s="203" t="str">
        <f t="shared" si="9"/>
        <v>No</v>
      </c>
      <c r="Q21" s="356"/>
      <c r="R21" s="356"/>
      <c r="S21" s="253"/>
    </row>
    <row r="22" spans="1:38" ht="14.25" customHeight="1" thickBot="1">
      <c r="A22" s="499"/>
      <c r="B22" s="96" t="s">
        <v>416</v>
      </c>
      <c r="C22" s="95" t="s">
        <v>74</v>
      </c>
      <c r="D22" s="108">
        <v>632.29</v>
      </c>
      <c r="E22" s="108">
        <v>300</v>
      </c>
      <c r="F22" s="108">
        <v>416.14780000000002</v>
      </c>
      <c r="G22" s="94">
        <v>0.5</v>
      </c>
      <c r="H22" s="94">
        <f t="shared" si="2"/>
        <v>208.07390000000001</v>
      </c>
      <c r="I22" s="94">
        <f t="shared" si="10"/>
        <v>91.926099999999991</v>
      </c>
      <c r="J22" s="93">
        <f t="shared" si="11"/>
        <v>69.35796666666667</v>
      </c>
      <c r="K22" s="302" t="s">
        <v>361</v>
      </c>
      <c r="L22" s="106">
        <v>692.19500000000005</v>
      </c>
      <c r="M22" s="106">
        <v>300</v>
      </c>
      <c r="N22" s="105">
        <f t="shared" si="8"/>
        <v>416.14780000000002</v>
      </c>
      <c r="O22" s="205">
        <f t="shared" si="12"/>
        <v>91.926099999999991</v>
      </c>
      <c r="P22" s="82" t="str">
        <f t="shared" si="9"/>
        <v>No</v>
      </c>
      <c r="Q22" s="356"/>
      <c r="R22" s="356"/>
      <c r="S22" s="253"/>
    </row>
    <row r="23" spans="1:38" ht="14.25" customHeight="1" thickBot="1">
      <c r="A23" s="499"/>
      <c r="B23" s="96" t="s">
        <v>415</v>
      </c>
      <c r="C23" s="95" t="s">
        <v>414</v>
      </c>
      <c r="D23" s="108">
        <v>370.31</v>
      </c>
      <c r="E23" s="108">
        <v>200</v>
      </c>
      <c r="F23" s="108">
        <v>24.103000000000002</v>
      </c>
      <c r="G23" s="94">
        <v>0.5</v>
      </c>
      <c r="H23" s="94">
        <f t="shared" si="2"/>
        <v>12.051500000000001</v>
      </c>
      <c r="I23" s="94">
        <f t="shared" si="10"/>
        <v>187.9485</v>
      </c>
      <c r="J23" s="93">
        <f t="shared" si="11"/>
        <v>6.0257500000000004</v>
      </c>
      <c r="K23" s="302" t="s">
        <v>413</v>
      </c>
      <c r="L23" s="106">
        <v>820.63</v>
      </c>
      <c r="M23" s="106">
        <v>150</v>
      </c>
      <c r="N23" s="105">
        <f t="shared" si="8"/>
        <v>24.103000000000002</v>
      </c>
      <c r="O23" s="205">
        <f t="shared" si="12"/>
        <v>137.9485</v>
      </c>
      <c r="P23" s="82" t="str">
        <f t="shared" si="9"/>
        <v>No</v>
      </c>
      <c r="Q23" s="356"/>
      <c r="R23" s="356"/>
      <c r="S23" s="253"/>
      <c r="T23" s="241"/>
      <c r="U23" s="58"/>
      <c r="AA23" s="494" t="s">
        <v>555</v>
      </c>
      <c r="AB23" s="495"/>
      <c r="AC23" s="495"/>
      <c r="AD23" s="495"/>
      <c r="AE23" s="495"/>
      <c r="AF23" s="496"/>
      <c r="AG23" s="166"/>
    </row>
    <row r="24" spans="1:38" ht="14.25" customHeight="1" thickBot="1">
      <c r="A24" s="499"/>
      <c r="B24" s="96" t="s">
        <v>397</v>
      </c>
      <c r="C24" s="95" t="s">
        <v>412</v>
      </c>
      <c r="D24" s="94">
        <v>530.30999999999995</v>
      </c>
      <c r="E24" s="94">
        <v>200</v>
      </c>
      <c r="F24" s="94">
        <v>22.35</v>
      </c>
      <c r="G24" s="73">
        <v>0.5</v>
      </c>
      <c r="H24" s="73">
        <f t="shared" si="2"/>
        <v>11.175000000000001</v>
      </c>
      <c r="I24" s="94">
        <f t="shared" si="10"/>
        <v>188.82499999999999</v>
      </c>
      <c r="J24" s="93">
        <f t="shared" si="11"/>
        <v>5.5875000000000004</v>
      </c>
      <c r="K24" s="301" t="s">
        <v>411</v>
      </c>
      <c r="L24" s="92">
        <v>660.63</v>
      </c>
      <c r="M24" s="92">
        <v>150</v>
      </c>
      <c r="N24" s="91">
        <f t="shared" si="8"/>
        <v>22.35</v>
      </c>
      <c r="O24" s="205">
        <f t="shared" si="12"/>
        <v>138.82499999999999</v>
      </c>
      <c r="P24" s="82" t="str">
        <f t="shared" si="9"/>
        <v>No</v>
      </c>
      <c r="Q24" s="356"/>
      <c r="R24" s="356"/>
      <c r="T24" s="553" t="s">
        <v>454</v>
      </c>
      <c r="U24" s="554"/>
      <c r="V24" s="358"/>
      <c r="AA24" s="336" t="s">
        <v>470</v>
      </c>
      <c r="AB24" s="338" t="s">
        <v>471</v>
      </c>
      <c r="AC24" s="338" t="s">
        <v>472</v>
      </c>
      <c r="AD24" s="337" t="s">
        <v>473</v>
      </c>
      <c r="AE24" s="338" t="s">
        <v>474</v>
      </c>
      <c r="AF24" s="339" t="s">
        <v>527</v>
      </c>
      <c r="AG24" s="340" t="s">
        <v>418</v>
      </c>
    </row>
    <row r="25" spans="1:38" ht="13.5" thickBot="1">
      <c r="A25" s="164" t="s">
        <v>410</v>
      </c>
      <c r="B25" s="87" t="s">
        <v>409</v>
      </c>
      <c r="C25" s="163"/>
      <c r="D25" s="85"/>
      <c r="E25" s="85"/>
      <c r="F25" s="85"/>
      <c r="G25" s="184">
        <v>0.5</v>
      </c>
      <c r="H25" s="184">
        <f t="shared" si="2"/>
        <v>0</v>
      </c>
      <c r="I25" s="184"/>
      <c r="J25" s="183"/>
      <c r="K25" s="100"/>
      <c r="L25" s="83"/>
      <c r="M25" s="83"/>
      <c r="N25" s="82"/>
      <c r="O25" s="100"/>
      <c r="P25" s="82"/>
      <c r="Q25" s="255"/>
      <c r="R25" s="255"/>
      <c r="T25" s="90"/>
      <c r="U25" s="357"/>
      <c r="V25" s="99"/>
      <c r="AA25" s="60" t="s">
        <v>84</v>
      </c>
      <c r="AB25" s="343">
        <f>AG4+U4</f>
        <v>0</v>
      </c>
      <c r="AC25" s="343">
        <f t="shared" ref="AC25:AF36" si="15">AH4+V4</f>
        <v>3</v>
      </c>
      <c r="AD25" s="343">
        <f t="shared" si="15"/>
        <v>2</v>
      </c>
      <c r="AE25" s="343">
        <f t="shared" si="15"/>
        <v>1</v>
      </c>
      <c r="AF25" s="343">
        <f t="shared" si="15"/>
        <v>0</v>
      </c>
      <c r="AG25" s="344">
        <f>SUM(AB25:AF25)</f>
        <v>6</v>
      </c>
    </row>
    <row r="26" spans="1:38" ht="15" customHeight="1" thickBot="1">
      <c r="A26" s="519" t="s">
        <v>408</v>
      </c>
      <c r="B26" s="160" t="s">
        <v>14</v>
      </c>
      <c r="C26" s="86" t="s">
        <v>407</v>
      </c>
      <c r="D26" s="85">
        <v>391.72</v>
      </c>
      <c r="E26" s="84">
        <v>400</v>
      </c>
      <c r="F26" s="85">
        <v>664.51419999999996</v>
      </c>
      <c r="G26" s="85">
        <v>0.5</v>
      </c>
      <c r="H26" s="85">
        <f t="shared" si="2"/>
        <v>332.25709999999998</v>
      </c>
      <c r="I26" s="94">
        <f>E26-H26</f>
        <v>67.74290000000002</v>
      </c>
      <c r="J26" s="93">
        <f>H26/E26*100</f>
        <v>83.064274999999995</v>
      </c>
      <c r="K26" s="100" t="s">
        <v>406</v>
      </c>
      <c r="L26" s="83">
        <v>799.22</v>
      </c>
      <c r="M26" s="83">
        <v>300</v>
      </c>
      <c r="N26" s="82">
        <f t="shared" ref="N26:N56" si="16">F26</f>
        <v>664.51419999999996</v>
      </c>
      <c r="O26" s="124">
        <f>M26-H26</f>
        <v>-32.25709999999998</v>
      </c>
      <c r="P26" s="220" t="str">
        <f t="shared" ref="P26:P56" si="17">IF(O26&gt;=0,"No","Yes")</f>
        <v>Yes</v>
      </c>
      <c r="Q26" s="557" t="s">
        <v>14</v>
      </c>
      <c r="R26" s="560">
        <v>20</v>
      </c>
      <c r="T26" s="138" t="s">
        <v>390</v>
      </c>
      <c r="U26" s="137" t="s">
        <v>389</v>
      </c>
      <c r="V26" s="136" t="s">
        <v>388</v>
      </c>
      <c r="AA26" s="60" t="s">
        <v>85</v>
      </c>
      <c r="AB26" s="343">
        <f t="shared" ref="AB26:AB36" si="18">AG5+U5</f>
        <v>0</v>
      </c>
      <c r="AC26" s="343">
        <f t="shared" si="15"/>
        <v>4</v>
      </c>
      <c r="AD26" s="343">
        <f t="shared" si="15"/>
        <v>3</v>
      </c>
      <c r="AE26" s="343">
        <f t="shared" si="15"/>
        <v>0</v>
      </c>
      <c r="AF26" s="343">
        <f t="shared" si="15"/>
        <v>2</v>
      </c>
      <c r="AG26" s="60">
        <f t="shared" ref="AG26:AG36" si="19">SUM(AB26:AF26)</f>
        <v>9</v>
      </c>
    </row>
    <row r="27" spans="1:38" ht="14.25" customHeight="1" thickBot="1">
      <c r="A27" s="520"/>
      <c r="B27" s="75" t="s">
        <v>360</v>
      </c>
      <c r="C27" s="74" t="s">
        <v>55</v>
      </c>
      <c r="D27" s="157">
        <v>566.26</v>
      </c>
      <c r="E27" s="157">
        <v>300</v>
      </c>
      <c r="F27" s="157">
        <v>424.66829999999999</v>
      </c>
      <c r="G27" s="73">
        <v>0.5</v>
      </c>
      <c r="H27" s="73">
        <f t="shared" si="2"/>
        <v>212.33414999999999</v>
      </c>
      <c r="I27" s="94">
        <f t="shared" ref="I27:I56" si="20">E27-H27</f>
        <v>87.665850000000006</v>
      </c>
      <c r="J27" s="93">
        <f t="shared" ref="J27:J56" si="21">F27/E27*100</f>
        <v>141.55610000000001</v>
      </c>
      <c r="K27" s="300" t="s">
        <v>405</v>
      </c>
      <c r="L27" s="156">
        <v>973.76</v>
      </c>
      <c r="M27" s="156">
        <v>300</v>
      </c>
      <c r="N27" s="71">
        <f t="shared" si="16"/>
        <v>424.66829999999999</v>
      </c>
      <c r="O27" s="237">
        <f>M27-H27</f>
        <v>87.665850000000006</v>
      </c>
      <c r="P27" s="203" t="str">
        <f t="shared" si="17"/>
        <v>No</v>
      </c>
      <c r="Q27" s="558"/>
      <c r="R27" s="562"/>
      <c r="T27" s="133" t="s">
        <v>14</v>
      </c>
      <c r="U27" s="132">
        <v>20</v>
      </c>
      <c r="V27" s="99"/>
      <c r="AA27" s="60" t="s">
        <v>86</v>
      </c>
      <c r="AB27" s="343">
        <f t="shared" si="18"/>
        <v>1</v>
      </c>
      <c r="AC27" s="343">
        <f t="shared" si="15"/>
        <v>0</v>
      </c>
      <c r="AD27" s="343">
        <f t="shared" si="15"/>
        <v>2</v>
      </c>
      <c r="AE27" s="343">
        <f t="shared" si="15"/>
        <v>0</v>
      </c>
      <c r="AF27" s="343">
        <f t="shared" si="15"/>
        <v>1</v>
      </c>
      <c r="AG27" s="60">
        <f t="shared" si="19"/>
        <v>4</v>
      </c>
    </row>
    <row r="28" spans="1:38" ht="15" customHeight="1" thickBot="1">
      <c r="A28" s="499" t="s">
        <v>404</v>
      </c>
      <c r="B28" s="63" t="s">
        <v>6</v>
      </c>
      <c r="C28" s="114" t="s">
        <v>47</v>
      </c>
      <c r="D28" s="94">
        <v>341.46499999999997</v>
      </c>
      <c r="E28" s="93">
        <v>400</v>
      </c>
      <c r="F28" s="94">
        <v>414.50749999999999</v>
      </c>
      <c r="G28" s="85">
        <v>0.5</v>
      </c>
      <c r="H28" s="85">
        <f t="shared" si="2"/>
        <v>207.25375</v>
      </c>
      <c r="I28" s="85">
        <f t="shared" si="20"/>
        <v>192.74625</v>
      </c>
      <c r="J28" s="84">
        <f t="shared" si="21"/>
        <v>103.62687500000001</v>
      </c>
      <c r="K28" s="301" t="s">
        <v>403</v>
      </c>
      <c r="L28" s="92">
        <v>849.47500000000002</v>
      </c>
      <c r="M28" s="92">
        <v>400</v>
      </c>
      <c r="N28" s="91">
        <f t="shared" si="16"/>
        <v>414.50749999999999</v>
      </c>
      <c r="O28" s="237">
        <f t="shared" ref="O28:O29" si="22">M28-H28</f>
        <v>192.74625</v>
      </c>
      <c r="P28" s="203" t="str">
        <f t="shared" si="17"/>
        <v>No</v>
      </c>
      <c r="Q28" s="557" t="s">
        <v>12</v>
      </c>
      <c r="R28" s="560">
        <v>6</v>
      </c>
      <c r="T28" s="133" t="s">
        <v>12</v>
      </c>
      <c r="U28" s="132">
        <v>6</v>
      </c>
      <c r="V28" s="230"/>
      <c r="AA28" s="60" t="s">
        <v>87</v>
      </c>
      <c r="AB28" s="343">
        <f t="shared" si="18"/>
        <v>1</v>
      </c>
      <c r="AC28" s="343">
        <f t="shared" si="15"/>
        <v>7</v>
      </c>
      <c r="AD28" s="343">
        <f t="shared" si="15"/>
        <v>10</v>
      </c>
      <c r="AE28" s="343">
        <f t="shared" si="15"/>
        <v>6</v>
      </c>
      <c r="AF28" s="343">
        <f t="shared" si="15"/>
        <v>0</v>
      </c>
      <c r="AG28" s="60">
        <f t="shared" si="19"/>
        <v>24</v>
      </c>
    </row>
    <row r="29" spans="1:38" ht="14.25" customHeight="1" thickBot="1">
      <c r="A29" s="499"/>
      <c r="B29" s="63" t="s">
        <v>402</v>
      </c>
      <c r="C29" s="114" t="s">
        <v>386</v>
      </c>
      <c r="D29" s="94">
        <v>894.93</v>
      </c>
      <c r="E29" s="93">
        <v>150</v>
      </c>
      <c r="F29" s="94">
        <v>185.4342</v>
      </c>
      <c r="G29" s="94">
        <v>0.5</v>
      </c>
      <c r="H29" s="94">
        <f t="shared" si="2"/>
        <v>92.717100000000002</v>
      </c>
      <c r="I29" s="94">
        <f t="shared" si="20"/>
        <v>57.282899999999998</v>
      </c>
      <c r="J29" s="93">
        <f t="shared" si="21"/>
        <v>123.62280000000001</v>
      </c>
      <c r="K29" s="301" t="s">
        <v>385</v>
      </c>
      <c r="L29" s="92">
        <v>975.03499999999997</v>
      </c>
      <c r="M29" s="92">
        <v>150</v>
      </c>
      <c r="N29" s="91">
        <f t="shared" si="16"/>
        <v>185.4342</v>
      </c>
      <c r="O29" s="237">
        <f t="shared" si="22"/>
        <v>57.282899999999998</v>
      </c>
      <c r="P29" s="203" t="str">
        <f t="shared" si="17"/>
        <v>No</v>
      </c>
      <c r="Q29" s="559"/>
      <c r="R29" s="561"/>
      <c r="T29" s="227" t="s">
        <v>19</v>
      </c>
      <c r="U29" s="226">
        <v>67</v>
      </c>
      <c r="V29" s="89"/>
      <c r="AA29" s="60" t="s">
        <v>88</v>
      </c>
      <c r="AB29" s="343">
        <f t="shared" si="18"/>
        <v>1</v>
      </c>
      <c r="AC29" s="343">
        <f t="shared" si="15"/>
        <v>0</v>
      </c>
      <c r="AD29" s="343">
        <f t="shared" si="15"/>
        <v>7</v>
      </c>
      <c r="AE29" s="343">
        <f t="shared" si="15"/>
        <v>1</v>
      </c>
      <c r="AF29" s="343">
        <f t="shared" si="15"/>
        <v>0</v>
      </c>
      <c r="AG29" s="60">
        <f t="shared" si="19"/>
        <v>9</v>
      </c>
    </row>
    <row r="30" spans="1:38" ht="14.25" customHeight="1" thickBot="1">
      <c r="A30" s="499"/>
      <c r="B30" s="96" t="s">
        <v>401</v>
      </c>
      <c r="C30" s="95" t="s">
        <v>378</v>
      </c>
      <c r="D30" s="108">
        <v>839.23</v>
      </c>
      <c r="E30" s="108">
        <v>150</v>
      </c>
      <c r="F30" s="108">
        <v>213.84829999999999</v>
      </c>
      <c r="G30" s="94">
        <v>0.5</v>
      </c>
      <c r="H30" s="94">
        <f t="shared" si="2"/>
        <v>106.92415</v>
      </c>
      <c r="I30" s="94">
        <f t="shared" si="20"/>
        <v>43.075850000000003</v>
      </c>
      <c r="J30" s="93">
        <f t="shared" si="21"/>
        <v>142.56553333333332</v>
      </c>
      <c r="K30" s="302" t="s">
        <v>400</v>
      </c>
      <c r="L30" s="106">
        <v>1347.24</v>
      </c>
      <c r="M30" s="106">
        <v>100</v>
      </c>
      <c r="N30" s="105">
        <f t="shared" si="16"/>
        <v>213.84829999999999</v>
      </c>
      <c r="O30" s="235">
        <f>M30-H30</f>
        <v>-6.9241499999999974</v>
      </c>
      <c r="P30" s="220" t="str">
        <f t="shared" si="17"/>
        <v>Yes</v>
      </c>
      <c r="Q30" s="559"/>
      <c r="R30" s="561"/>
      <c r="T30" s="165" t="s">
        <v>369</v>
      </c>
      <c r="U30" s="259">
        <f>SUM(U27:U29)</f>
        <v>93</v>
      </c>
      <c r="V30" s="357"/>
      <c r="AA30" s="60" t="s">
        <v>89</v>
      </c>
      <c r="AB30" s="343">
        <f t="shared" si="18"/>
        <v>0</v>
      </c>
      <c r="AC30" s="343">
        <f t="shared" si="15"/>
        <v>5</v>
      </c>
      <c r="AD30" s="343">
        <f t="shared" si="15"/>
        <v>1</v>
      </c>
      <c r="AE30" s="343">
        <f t="shared" si="15"/>
        <v>1</v>
      </c>
      <c r="AF30" s="343">
        <f t="shared" si="15"/>
        <v>0</v>
      </c>
      <c r="AG30" s="60">
        <f t="shared" si="19"/>
        <v>7</v>
      </c>
    </row>
    <row r="31" spans="1:38" ht="14.25" customHeight="1" thickBot="1">
      <c r="A31" s="499"/>
      <c r="B31" s="96" t="s">
        <v>399</v>
      </c>
      <c r="C31" s="95" t="s">
        <v>52</v>
      </c>
      <c r="D31" s="94">
        <v>428.91</v>
      </c>
      <c r="E31" s="93">
        <v>200</v>
      </c>
      <c r="F31" s="94">
        <v>320.7817</v>
      </c>
      <c r="G31" s="94">
        <v>0.5</v>
      </c>
      <c r="H31" s="94">
        <f t="shared" si="2"/>
        <v>160.39085</v>
      </c>
      <c r="I31" s="94">
        <f t="shared" si="20"/>
        <v>39.60915</v>
      </c>
      <c r="J31" s="93">
        <f t="shared" si="21"/>
        <v>160.39085</v>
      </c>
      <c r="K31" s="301" t="s">
        <v>398</v>
      </c>
      <c r="L31" s="92">
        <v>762.03</v>
      </c>
      <c r="M31" s="92">
        <v>150</v>
      </c>
      <c r="N31" s="91">
        <f t="shared" si="16"/>
        <v>320.7817</v>
      </c>
      <c r="O31" s="235">
        <f>M31-H31</f>
        <v>-10.39085</v>
      </c>
      <c r="P31" s="220" t="str">
        <f t="shared" si="17"/>
        <v>Yes</v>
      </c>
      <c r="Q31" s="559"/>
      <c r="R31" s="561"/>
      <c r="T31" s="258" t="s">
        <v>365</v>
      </c>
      <c r="U31" s="257">
        <f>U30/9100.11497</f>
        <v>1.0219651104034347E-2</v>
      </c>
      <c r="V31" s="357"/>
      <c r="W31" s="357"/>
      <c r="X31" s="17"/>
      <c r="AA31" s="60" t="s">
        <v>90</v>
      </c>
      <c r="AB31" s="343">
        <f t="shared" si="18"/>
        <v>0</v>
      </c>
      <c r="AC31" s="343">
        <f t="shared" si="15"/>
        <v>0</v>
      </c>
      <c r="AD31" s="343">
        <f t="shared" si="15"/>
        <v>1</v>
      </c>
      <c r="AE31" s="343">
        <f t="shared" si="15"/>
        <v>1</v>
      </c>
      <c r="AF31" s="343">
        <f t="shared" si="15"/>
        <v>1</v>
      </c>
      <c r="AG31" s="60">
        <f t="shared" si="19"/>
        <v>3</v>
      </c>
    </row>
    <row r="32" spans="1:38" ht="14.25" customHeight="1" thickBot="1">
      <c r="A32" s="499"/>
      <c r="B32" s="96" t="s">
        <v>396</v>
      </c>
      <c r="C32" s="95" t="s">
        <v>56</v>
      </c>
      <c r="D32" s="94">
        <v>268.91000000000003</v>
      </c>
      <c r="E32" s="94">
        <v>250</v>
      </c>
      <c r="F32" s="94">
        <v>277.57420000000002</v>
      </c>
      <c r="G32" s="73">
        <v>0.5</v>
      </c>
      <c r="H32" s="73">
        <f t="shared" si="2"/>
        <v>138.78710000000001</v>
      </c>
      <c r="I32" s="73">
        <f t="shared" si="20"/>
        <v>111.21289999999999</v>
      </c>
      <c r="J32" s="299">
        <f t="shared" si="21"/>
        <v>111.02968</v>
      </c>
      <c r="K32" s="301" t="s">
        <v>395</v>
      </c>
      <c r="L32" s="92">
        <v>922.03</v>
      </c>
      <c r="M32" s="92">
        <v>250</v>
      </c>
      <c r="N32" s="105">
        <f t="shared" si="16"/>
        <v>277.57420000000002</v>
      </c>
      <c r="O32" s="143">
        <f>M32-H32</f>
        <v>111.21289999999999</v>
      </c>
      <c r="P32" s="203" t="str">
        <f t="shared" si="17"/>
        <v>No</v>
      </c>
      <c r="Q32" s="558"/>
      <c r="R32" s="562"/>
      <c r="T32" s="135"/>
      <c r="U32" s="135"/>
      <c r="V32" s="135"/>
      <c r="W32" s="357"/>
      <c r="AA32" s="60" t="s">
        <v>91</v>
      </c>
      <c r="AB32" s="343">
        <f t="shared" si="18"/>
        <v>0</v>
      </c>
      <c r="AC32" s="343">
        <f t="shared" si="15"/>
        <v>7</v>
      </c>
      <c r="AD32" s="343">
        <f t="shared" si="15"/>
        <v>2</v>
      </c>
      <c r="AE32" s="343">
        <f t="shared" si="15"/>
        <v>1</v>
      </c>
      <c r="AF32" s="343">
        <f t="shared" si="15"/>
        <v>0</v>
      </c>
      <c r="AG32" s="60">
        <f t="shared" si="19"/>
        <v>10</v>
      </c>
    </row>
    <row r="33" spans="1:33" ht="13.5" thickBot="1">
      <c r="A33" s="497" t="s">
        <v>382</v>
      </c>
      <c r="B33" s="87" t="s">
        <v>393</v>
      </c>
      <c r="C33" s="86" t="s">
        <v>392</v>
      </c>
      <c r="D33" s="85">
        <v>774.56</v>
      </c>
      <c r="E33" s="85">
        <v>450</v>
      </c>
      <c r="F33" s="85">
        <v>593.39</v>
      </c>
      <c r="G33" s="85">
        <v>0.5</v>
      </c>
      <c r="H33" s="85">
        <f t="shared" si="2"/>
        <v>296.69499999999999</v>
      </c>
      <c r="I33" s="94">
        <f t="shared" si="20"/>
        <v>153.30500000000001</v>
      </c>
      <c r="J33" s="93">
        <f t="shared" si="21"/>
        <v>131.86444444444444</v>
      </c>
      <c r="K33" s="100" t="s">
        <v>391</v>
      </c>
      <c r="L33" s="83">
        <v>778.62</v>
      </c>
      <c r="M33" s="83">
        <v>450</v>
      </c>
      <c r="N33" s="82">
        <f t="shared" si="16"/>
        <v>593.39</v>
      </c>
      <c r="O33" s="205">
        <f>M33-H33</f>
        <v>153.30500000000001</v>
      </c>
      <c r="P33" s="203" t="str">
        <f t="shared" si="17"/>
        <v>No</v>
      </c>
      <c r="Q33" s="239"/>
      <c r="R33" s="239"/>
      <c r="S33" s="253"/>
      <c r="T33" s="256"/>
      <c r="U33" s="256"/>
      <c r="V33" s="135"/>
      <c r="AA33" s="60" t="s">
        <v>92</v>
      </c>
      <c r="AB33" s="343">
        <f t="shared" si="18"/>
        <v>0</v>
      </c>
      <c r="AC33" s="343">
        <f t="shared" si="15"/>
        <v>2</v>
      </c>
      <c r="AD33" s="343">
        <f t="shared" si="15"/>
        <v>5</v>
      </c>
      <c r="AE33" s="343">
        <f t="shared" si="15"/>
        <v>0</v>
      </c>
      <c r="AF33" s="343">
        <f t="shared" si="15"/>
        <v>0</v>
      </c>
      <c r="AG33" s="60">
        <f t="shared" si="19"/>
        <v>7</v>
      </c>
    </row>
    <row r="34" spans="1:33" ht="14.25" customHeight="1" thickBot="1">
      <c r="A34" s="499"/>
      <c r="B34" s="96" t="s">
        <v>387</v>
      </c>
      <c r="C34" s="95" t="s">
        <v>386</v>
      </c>
      <c r="D34" s="108">
        <v>894.93</v>
      </c>
      <c r="E34" s="107">
        <v>150</v>
      </c>
      <c r="F34" s="108">
        <v>185.4342</v>
      </c>
      <c r="G34" s="94">
        <v>0.5</v>
      </c>
      <c r="H34" s="94">
        <f t="shared" si="2"/>
        <v>92.717100000000002</v>
      </c>
      <c r="I34" s="94">
        <f t="shared" si="20"/>
        <v>57.282899999999998</v>
      </c>
      <c r="J34" s="93">
        <f t="shared" si="21"/>
        <v>123.62280000000001</v>
      </c>
      <c r="K34" s="302" t="s">
        <v>385</v>
      </c>
      <c r="L34" s="106">
        <v>975.03499999999997</v>
      </c>
      <c r="M34" s="106">
        <v>150</v>
      </c>
      <c r="N34" s="105">
        <f t="shared" si="16"/>
        <v>185.4342</v>
      </c>
      <c r="O34" s="205">
        <f t="shared" ref="O34:O56" si="23">M34-H34</f>
        <v>57.282899999999998</v>
      </c>
      <c r="P34" s="203" t="str">
        <f t="shared" si="17"/>
        <v>No</v>
      </c>
      <c r="Q34" s="356"/>
      <c r="R34" s="356"/>
      <c r="S34" s="253"/>
      <c r="T34" s="135"/>
      <c r="U34" s="135"/>
      <c r="V34" s="135"/>
      <c r="AA34" s="60" t="s">
        <v>93</v>
      </c>
      <c r="AB34" s="343">
        <f t="shared" si="18"/>
        <v>1</v>
      </c>
      <c r="AC34" s="343">
        <f t="shared" si="15"/>
        <v>0</v>
      </c>
      <c r="AD34" s="343">
        <f t="shared" si="15"/>
        <v>2</v>
      </c>
      <c r="AE34" s="343">
        <f t="shared" si="15"/>
        <v>2</v>
      </c>
      <c r="AF34" s="343">
        <f t="shared" si="15"/>
        <v>0</v>
      </c>
      <c r="AG34" s="60">
        <f t="shared" si="19"/>
        <v>5</v>
      </c>
    </row>
    <row r="35" spans="1:33" ht="14.25" customHeight="1" thickBot="1">
      <c r="A35" s="499"/>
      <c r="B35" s="96" t="s">
        <v>383</v>
      </c>
      <c r="C35" s="95" t="s">
        <v>382</v>
      </c>
      <c r="D35" s="94">
        <v>553.46500000000003</v>
      </c>
      <c r="E35" s="93">
        <v>300</v>
      </c>
      <c r="F35" s="94">
        <v>491.47570000000002</v>
      </c>
      <c r="G35" s="73">
        <v>0.5</v>
      </c>
      <c r="H35" s="73">
        <f t="shared" si="2"/>
        <v>245.73785000000001</v>
      </c>
      <c r="I35" s="94">
        <f t="shared" si="20"/>
        <v>54.262149999999991</v>
      </c>
      <c r="J35" s="93">
        <f t="shared" si="21"/>
        <v>163.82523333333333</v>
      </c>
      <c r="K35" s="301" t="s">
        <v>381</v>
      </c>
      <c r="L35" s="92">
        <v>660.12</v>
      </c>
      <c r="M35" s="92">
        <v>300</v>
      </c>
      <c r="N35" s="91">
        <f t="shared" si="16"/>
        <v>491.47570000000002</v>
      </c>
      <c r="O35" s="205">
        <f t="shared" si="23"/>
        <v>54.262149999999991</v>
      </c>
      <c r="P35" s="203" t="str">
        <f t="shared" si="17"/>
        <v>No</v>
      </c>
      <c r="Q35" s="356"/>
      <c r="R35" s="356"/>
      <c r="S35" s="253"/>
      <c r="T35" s="256"/>
      <c r="U35" s="135"/>
      <c r="V35" s="135"/>
      <c r="W35" s="357"/>
      <c r="AA35" s="60" t="s">
        <v>94</v>
      </c>
      <c r="AB35" s="343">
        <f t="shared" si="18"/>
        <v>0</v>
      </c>
      <c r="AC35" s="343">
        <f t="shared" si="15"/>
        <v>1</v>
      </c>
      <c r="AD35" s="343">
        <f t="shared" si="15"/>
        <v>2</v>
      </c>
      <c r="AE35" s="343">
        <f t="shared" si="15"/>
        <v>3</v>
      </c>
      <c r="AF35" s="343">
        <f t="shared" si="15"/>
        <v>0</v>
      </c>
      <c r="AG35" s="60">
        <f t="shared" si="19"/>
        <v>6</v>
      </c>
    </row>
    <row r="36" spans="1:33" ht="13.5" thickBot="1">
      <c r="A36" s="497" t="s">
        <v>375</v>
      </c>
      <c r="B36" s="87" t="s">
        <v>379</v>
      </c>
      <c r="C36" s="86" t="s">
        <v>378</v>
      </c>
      <c r="D36" s="85">
        <v>839.23</v>
      </c>
      <c r="E36" s="84">
        <v>150</v>
      </c>
      <c r="F36" s="85">
        <v>213.84829999999999</v>
      </c>
      <c r="G36" s="85">
        <v>0.5</v>
      </c>
      <c r="H36" s="85">
        <f t="shared" si="2"/>
        <v>106.92415</v>
      </c>
      <c r="I36" s="85">
        <f t="shared" si="20"/>
        <v>43.075850000000003</v>
      </c>
      <c r="J36" s="84">
        <f t="shared" si="21"/>
        <v>142.56553333333332</v>
      </c>
      <c r="K36" s="100" t="s">
        <v>377</v>
      </c>
      <c r="L36" s="83">
        <v>844.89</v>
      </c>
      <c r="M36" s="83">
        <v>150</v>
      </c>
      <c r="N36" s="82">
        <f t="shared" si="16"/>
        <v>213.84829999999999</v>
      </c>
      <c r="O36" s="205">
        <f t="shared" si="23"/>
        <v>43.075850000000003</v>
      </c>
      <c r="P36" s="203" t="str">
        <f t="shared" si="17"/>
        <v>No</v>
      </c>
      <c r="Q36" s="356"/>
      <c r="R36" s="356"/>
      <c r="S36" s="253"/>
      <c r="AA36" s="326" t="s">
        <v>469</v>
      </c>
      <c r="AB36" s="343">
        <f t="shared" si="18"/>
        <v>0</v>
      </c>
      <c r="AC36" s="343">
        <f t="shared" si="15"/>
        <v>1</v>
      </c>
      <c r="AD36" s="343">
        <f t="shared" si="15"/>
        <v>1</v>
      </c>
      <c r="AE36" s="343">
        <f t="shared" si="15"/>
        <v>0</v>
      </c>
      <c r="AF36" s="343">
        <f t="shared" si="15"/>
        <v>0</v>
      </c>
      <c r="AG36" s="326">
        <f t="shared" si="19"/>
        <v>2</v>
      </c>
    </row>
    <row r="37" spans="1:33" ht="14.25" customHeight="1" thickBot="1">
      <c r="A37" s="499"/>
      <c r="B37" s="96" t="s">
        <v>376</v>
      </c>
      <c r="C37" s="95" t="s">
        <v>375</v>
      </c>
      <c r="D37" s="94">
        <v>497.76499999999999</v>
      </c>
      <c r="E37" s="94">
        <v>800</v>
      </c>
      <c r="F37" s="94">
        <v>1151.328</v>
      </c>
      <c r="G37" s="73">
        <v>0.5</v>
      </c>
      <c r="H37" s="73">
        <f t="shared" si="2"/>
        <v>575.66399999999999</v>
      </c>
      <c r="I37" s="73">
        <f t="shared" si="20"/>
        <v>224.33600000000001</v>
      </c>
      <c r="J37" s="299">
        <f t="shared" si="21"/>
        <v>143.916</v>
      </c>
      <c r="K37" s="301" t="s">
        <v>374</v>
      </c>
      <c r="L37" s="92">
        <v>503.42500000000001</v>
      </c>
      <c r="M37" s="92">
        <v>800</v>
      </c>
      <c r="N37" s="91">
        <f t="shared" si="16"/>
        <v>1151.328</v>
      </c>
      <c r="O37" s="205">
        <f t="shared" si="23"/>
        <v>224.33600000000001</v>
      </c>
      <c r="P37" s="203" t="str">
        <f t="shared" si="17"/>
        <v>No</v>
      </c>
      <c r="Q37" s="255"/>
      <c r="R37" s="255"/>
      <c r="S37" s="253"/>
      <c r="AA37" s="340" t="s">
        <v>479</v>
      </c>
      <c r="AB37" s="349">
        <f>SUM(AB25:AB36)</f>
        <v>4</v>
      </c>
      <c r="AC37" s="349">
        <f>SUM(AC25:AC36)</f>
        <v>30</v>
      </c>
      <c r="AD37" s="349">
        <f>SUM(AD25:AD36)</f>
        <v>38</v>
      </c>
      <c r="AE37" s="349">
        <f>SUM(AE25:AE36)</f>
        <v>16</v>
      </c>
      <c r="AF37" s="349">
        <f>SUM(AF25:AF36)</f>
        <v>4</v>
      </c>
      <c r="AG37" s="350">
        <f t="shared" ref="AG37" si="24">SUM(AG25:AG36)</f>
        <v>92</v>
      </c>
    </row>
    <row r="38" spans="1:33" ht="13.5" thickBot="1">
      <c r="A38" s="353" t="s">
        <v>372</v>
      </c>
      <c r="B38" s="87" t="s">
        <v>373</v>
      </c>
      <c r="C38" s="86" t="s">
        <v>372</v>
      </c>
      <c r="D38" s="85">
        <v>285.27999999999997</v>
      </c>
      <c r="E38" s="85">
        <v>500</v>
      </c>
      <c r="F38" s="85">
        <v>779.52329999999995</v>
      </c>
      <c r="G38" s="184">
        <v>0.5</v>
      </c>
      <c r="H38" s="184">
        <f t="shared" si="2"/>
        <v>389.76164999999997</v>
      </c>
      <c r="I38" s="94">
        <f t="shared" si="20"/>
        <v>110.23835000000003</v>
      </c>
      <c r="J38" s="93">
        <f t="shared" si="21"/>
        <v>155.90465999999998</v>
      </c>
      <c r="K38" s="100" t="s">
        <v>371</v>
      </c>
      <c r="L38" s="83">
        <v>539.80499999999995</v>
      </c>
      <c r="M38" s="83">
        <v>300</v>
      </c>
      <c r="N38" s="82">
        <f t="shared" si="16"/>
        <v>779.52329999999995</v>
      </c>
      <c r="O38" s="281">
        <f t="shared" si="23"/>
        <v>-89.761649999999975</v>
      </c>
      <c r="P38" s="220" t="str">
        <f t="shared" si="17"/>
        <v>Yes</v>
      </c>
      <c r="Q38" s="222" t="s">
        <v>19</v>
      </c>
      <c r="R38" s="221">
        <v>67</v>
      </c>
      <c r="AA38" s="340" t="s">
        <v>478</v>
      </c>
      <c r="AB38" s="351">
        <f>PRODUCT(AB37*AD7)</f>
        <v>60</v>
      </c>
      <c r="AC38" s="416">
        <f>PRODUCT(AC37*AD8)</f>
        <v>491.06700000000001</v>
      </c>
      <c r="AD38" s="416">
        <f>PRODUCT(AD37*AD9)</f>
        <v>636.37459999999999</v>
      </c>
      <c r="AE38" s="416">
        <f>PRODUCT(AE37*AD10)</f>
        <v>270.18560000000002</v>
      </c>
      <c r="AF38" s="416">
        <f>PRODUCT(AF37*AD11)</f>
        <v>68</v>
      </c>
      <c r="AG38" s="421">
        <f>SUM(AB38:AF38)</f>
        <v>1525.6272000000001</v>
      </c>
    </row>
    <row r="39" spans="1:33" ht="13.5" thickBot="1">
      <c r="A39" s="497" t="s">
        <v>60</v>
      </c>
      <c r="B39" s="87" t="s">
        <v>368</v>
      </c>
      <c r="C39" s="86" t="s">
        <v>367</v>
      </c>
      <c r="D39" s="85">
        <v>239.47</v>
      </c>
      <c r="E39" s="84">
        <v>750</v>
      </c>
      <c r="F39" s="85">
        <v>886.15449999999998</v>
      </c>
      <c r="G39" s="85">
        <v>0.5</v>
      </c>
      <c r="H39" s="85">
        <f t="shared" si="2"/>
        <v>443.07724999999999</v>
      </c>
      <c r="I39" s="85">
        <f t="shared" si="20"/>
        <v>306.92275000000001</v>
      </c>
      <c r="J39" s="84">
        <f t="shared" si="21"/>
        <v>118.15393333333333</v>
      </c>
      <c r="K39" s="100" t="s">
        <v>366</v>
      </c>
      <c r="L39" s="83">
        <v>585.61500000000001</v>
      </c>
      <c r="M39" s="83">
        <v>450</v>
      </c>
      <c r="N39" s="82">
        <f t="shared" si="16"/>
        <v>886.15449999999998</v>
      </c>
      <c r="O39" s="205">
        <f t="shared" si="23"/>
        <v>6.9227500000000077</v>
      </c>
      <c r="P39" s="203" t="str">
        <f t="shared" si="17"/>
        <v>No</v>
      </c>
      <c r="Q39" s="219" t="s">
        <v>351</v>
      </c>
      <c r="R39" s="218" t="s">
        <v>351</v>
      </c>
      <c r="AA39" s="340" t="s">
        <v>528</v>
      </c>
      <c r="AB39" s="351">
        <f>AB37*AC7</f>
        <v>400</v>
      </c>
      <c r="AC39" s="351">
        <f>AC37*AC8</f>
        <v>4500</v>
      </c>
      <c r="AD39" s="351">
        <f>AD37*AC9</f>
        <v>7600</v>
      </c>
      <c r="AE39" s="351">
        <f>AE37*AC10</f>
        <v>4000</v>
      </c>
      <c r="AF39" s="351">
        <f>AF37*AC11</f>
        <v>1200</v>
      </c>
      <c r="AG39" s="340">
        <f>SUM(AB39:AF39)</f>
        <v>17700</v>
      </c>
    </row>
    <row r="40" spans="1:33" ht="14.25" customHeight="1" thickBot="1">
      <c r="A40" s="498"/>
      <c r="B40" s="75" t="s">
        <v>364</v>
      </c>
      <c r="C40" s="74" t="s">
        <v>61</v>
      </c>
      <c r="D40" s="73">
        <v>381.34</v>
      </c>
      <c r="E40" s="73">
        <v>200</v>
      </c>
      <c r="F40" s="73">
        <v>233.80699999999999</v>
      </c>
      <c r="G40" s="73">
        <v>0.5</v>
      </c>
      <c r="H40" s="73">
        <f t="shared" si="2"/>
        <v>116.90349999999999</v>
      </c>
      <c r="I40" s="73">
        <f t="shared" si="20"/>
        <v>83.096500000000006</v>
      </c>
      <c r="J40" s="299">
        <f t="shared" si="21"/>
        <v>116.90350000000001</v>
      </c>
      <c r="K40" s="303" t="s">
        <v>328</v>
      </c>
      <c r="L40" s="72">
        <v>673.16499999999996</v>
      </c>
      <c r="M40" s="72">
        <v>150</v>
      </c>
      <c r="N40" s="119">
        <f t="shared" si="16"/>
        <v>233.80699999999999</v>
      </c>
      <c r="O40" s="205">
        <f t="shared" si="23"/>
        <v>33.096500000000006</v>
      </c>
      <c r="P40" s="203" t="str">
        <f t="shared" si="17"/>
        <v>No</v>
      </c>
      <c r="Q40" s="217"/>
      <c r="R40" s="216"/>
    </row>
    <row r="41" spans="1:33" ht="13.5" thickBot="1">
      <c r="A41" s="499" t="s">
        <v>363</v>
      </c>
      <c r="B41" s="63" t="s">
        <v>362</v>
      </c>
      <c r="C41" s="114" t="s">
        <v>74</v>
      </c>
      <c r="D41" s="94">
        <v>632.29499999999996</v>
      </c>
      <c r="E41" s="94">
        <v>300</v>
      </c>
      <c r="F41" s="94">
        <v>416.14780000000002</v>
      </c>
      <c r="G41" s="85">
        <v>0.5</v>
      </c>
      <c r="H41" s="85">
        <f t="shared" si="2"/>
        <v>208.07390000000001</v>
      </c>
      <c r="I41" s="94">
        <f t="shared" si="20"/>
        <v>91.926099999999991</v>
      </c>
      <c r="J41" s="93">
        <f t="shared" si="21"/>
        <v>138.71593333333334</v>
      </c>
      <c r="K41" s="301" t="s">
        <v>361</v>
      </c>
      <c r="L41" s="92">
        <v>692.19500000000005</v>
      </c>
      <c r="M41" s="92">
        <v>300</v>
      </c>
      <c r="N41" s="91">
        <f t="shared" si="16"/>
        <v>416.14780000000002</v>
      </c>
      <c r="O41" s="205">
        <f t="shared" si="23"/>
        <v>91.926099999999991</v>
      </c>
      <c r="P41" s="203" t="str">
        <f t="shared" si="17"/>
        <v>No</v>
      </c>
      <c r="Q41" s="239"/>
      <c r="R41" s="239"/>
    </row>
    <row r="42" spans="1:33" ht="14.25" customHeight="1" thickBot="1">
      <c r="A42" s="499"/>
      <c r="B42" s="96" t="s">
        <v>360</v>
      </c>
      <c r="C42" s="95" t="s">
        <v>55</v>
      </c>
      <c r="D42" s="108">
        <v>566.26</v>
      </c>
      <c r="E42" s="108">
        <v>300</v>
      </c>
      <c r="F42" s="108">
        <v>424.66829999999999</v>
      </c>
      <c r="G42" s="94">
        <v>0.5</v>
      </c>
      <c r="H42" s="94">
        <f t="shared" si="2"/>
        <v>212.33414999999999</v>
      </c>
      <c r="I42" s="94">
        <f t="shared" si="20"/>
        <v>87.665850000000006</v>
      </c>
      <c r="J42" s="93">
        <f t="shared" si="21"/>
        <v>141.55610000000001</v>
      </c>
      <c r="K42" s="302" t="s">
        <v>359</v>
      </c>
      <c r="L42" s="106">
        <v>1033.6600000000001</v>
      </c>
      <c r="M42" s="106">
        <v>300</v>
      </c>
      <c r="N42" s="105">
        <f t="shared" si="16"/>
        <v>424.66829999999999</v>
      </c>
      <c r="O42" s="205">
        <f t="shared" si="23"/>
        <v>87.665850000000006</v>
      </c>
      <c r="P42" s="203" t="str">
        <f t="shared" si="17"/>
        <v>No</v>
      </c>
      <c r="Q42" s="356"/>
      <c r="R42" s="356"/>
      <c r="S42" s="253"/>
    </row>
    <row r="43" spans="1:33" ht="14.25" customHeight="1" thickBot="1">
      <c r="A43" s="499"/>
      <c r="B43" s="96" t="s">
        <v>358</v>
      </c>
      <c r="C43" s="95" t="s">
        <v>62</v>
      </c>
      <c r="D43" s="94">
        <v>174.54</v>
      </c>
      <c r="E43" s="94">
        <v>250</v>
      </c>
      <c r="F43" s="94">
        <v>80.336669999999998</v>
      </c>
      <c r="G43" s="73">
        <v>0.5</v>
      </c>
      <c r="H43" s="73">
        <f t="shared" si="2"/>
        <v>40.168334999999999</v>
      </c>
      <c r="I43" s="94">
        <f t="shared" si="20"/>
        <v>209.83166499999999</v>
      </c>
      <c r="J43" s="93">
        <f t="shared" si="21"/>
        <v>32.134667999999998</v>
      </c>
      <c r="K43" s="301" t="s">
        <v>357</v>
      </c>
      <c r="L43" s="92">
        <v>811.21</v>
      </c>
      <c r="M43" s="92">
        <v>150</v>
      </c>
      <c r="N43" s="105">
        <f t="shared" si="16"/>
        <v>80.336669999999998</v>
      </c>
      <c r="O43" s="205">
        <f t="shared" si="23"/>
        <v>109.831665</v>
      </c>
      <c r="P43" s="203" t="str">
        <f t="shared" si="17"/>
        <v>No</v>
      </c>
      <c r="Q43" s="356"/>
      <c r="R43" s="356"/>
      <c r="S43" s="253"/>
    </row>
    <row r="44" spans="1:33" ht="13.5" thickBot="1">
      <c r="A44" s="353" t="s">
        <v>355</v>
      </c>
      <c r="B44" s="87" t="s">
        <v>356</v>
      </c>
      <c r="C44" s="86" t="s">
        <v>355</v>
      </c>
      <c r="D44" s="85">
        <v>517.28</v>
      </c>
      <c r="E44" s="85">
        <v>200</v>
      </c>
      <c r="F44" s="85">
        <v>67.241829999999993</v>
      </c>
      <c r="G44" s="184">
        <v>0.5</v>
      </c>
      <c r="H44" s="184">
        <f t="shared" si="2"/>
        <v>33.620914999999997</v>
      </c>
      <c r="I44" s="184">
        <f t="shared" si="20"/>
        <v>166.379085</v>
      </c>
      <c r="J44" s="183">
        <f t="shared" si="21"/>
        <v>33.620914999999997</v>
      </c>
      <c r="K44" s="100" t="s">
        <v>354</v>
      </c>
      <c r="L44" s="83">
        <v>607.995</v>
      </c>
      <c r="M44" s="83">
        <v>150</v>
      </c>
      <c r="N44" s="82">
        <f t="shared" si="16"/>
        <v>67.241829999999993</v>
      </c>
      <c r="O44" s="205">
        <f t="shared" si="23"/>
        <v>116.379085</v>
      </c>
      <c r="P44" s="203" t="str">
        <f t="shared" si="17"/>
        <v>No</v>
      </c>
      <c r="Q44" s="356"/>
      <c r="R44" s="356"/>
      <c r="S44" s="253"/>
    </row>
    <row r="45" spans="1:33" ht="13.5" thickBot="1">
      <c r="A45" s="497" t="s">
        <v>349</v>
      </c>
      <c r="B45" s="87" t="s">
        <v>353</v>
      </c>
      <c r="C45" s="86" t="s">
        <v>342</v>
      </c>
      <c r="D45" s="85">
        <v>592.98500000000001</v>
      </c>
      <c r="E45" s="85">
        <v>150</v>
      </c>
      <c r="F45" s="85">
        <v>175.91919999999999</v>
      </c>
      <c r="G45" s="85">
        <v>0.5</v>
      </c>
      <c r="H45" s="85">
        <f t="shared" si="2"/>
        <v>87.959599999999995</v>
      </c>
      <c r="I45" s="94">
        <f t="shared" si="20"/>
        <v>62.040400000000005</v>
      </c>
      <c r="J45" s="93">
        <f t="shared" si="21"/>
        <v>117.27946666666666</v>
      </c>
      <c r="K45" s="100" t="s">
        <v>352</v>
      </c>
      <c r="L45" s="83">
        <v>1051.23</v>
      </c>
      <c r="M45" s="83">
        <v>150</v>
      </c>
      <c r="N45" s="82">
        <f t="shared" si="16"/>
        <v>175.91919999999999</v>
      </c>
      <c r="O45" s="205">
        <f t="shared" si="23"/>
        <v>62.040400000000005</v>
      </c>
      <c r="P45" s="203" t="str">
        <f t="shared" si="17"/>
        <v>No</v>
      </c>
      <c r="Q45" s="356"/>
      <c r="R45" s="356"/>
      <c r="S45" s="253"/>
    </row>
    <row r="46" spans="1:33" ht="14.25" customHeight="1" thickBot="1">
      <c r="A46" s="499"/>
      <c r="B46" s="96" t="s">
        <v>350</v>
      </c>
      <c r="C46" s="95" t="s">
        <v>349</v>
      </c>
      <c r="D46" s="108">
        <v>374.84</v>
      </c>
      <c r="E46" s="108">
        <v>200</v>
      </c>
      <c r="F46" s="108">
        <v>115.1143</v>
      </c>
      <c r="G46" s="94">
        <v>0.5</v>
      </c>
      <c r="H46" s="94">
        <f t="shared" si="2"/>
        <v>57.55715</v>
      </c>
      <c r="I46" s="94">
        <f t="shared" si="20"/>
        <v>142.44284999999999</v>
      </c>
      <c r="J46" s="93">
        <f t="shared" si="21"/>
        <v>57.55715</v>
      </c>
      <c r="K46" s="302" t="s">
        <v>348</v>
      </c>
      <c r="L46" s="106">
        <v>838.745</v>
      </c>
      <c r="M46" s="106">
        <v>150</v>
      </c>
      <c r="N46" s="105">
        <f t="shared" si="16"/>
        <v>115.1143</v>
      </c>
      <c r="O46" s="205">
        <f t="shared" si="23"/>
        <v>92.442849999999993</v>
      </c>
      <c r="P46" s="203" t="str">
        <f t="shared" si="17"/>
        <v>No</v>
      </c>
      <c r="Q46" s="356"/>
      <c r="R46" s="356"/>
      <c r="S46" s="253"/>
    </row>
    <row r="47" spans="1:33" ht="14.25" customHeight="1" thickBot="1">
      <c r="A47" s="499"/>
      <c r="B47" s="96" t="s">
        <v>347</v>
      </c>
      <c r="C47" s="95" t="s">
        <v>335</v>
      </c>
      <c r="D47" s="108">
        <v>675.17499999999995</v>
      </c>
      <c r="E47" s="108">
        <v>150</v>
      </c>
      <c r="F47" s="108">
        <v>87.5685</v>
      </c>
      <c r="G47" s="94">
        <v>0.5</v>
      </c>
      <c r="H47" s="94">
        <f t="shared" si="2"/>
        <v>43.78425</v>
      </c>
      <c r="I47" s="94">
        <f t="shared" si="20"/>
        <v>106.21575</v>
      </c>
      <c r="J47" s="93">
        <f t="shared" si="21"/>
        <v>58.379000000000005</v>
      </c>
      <c r="K47" s="302" t="s">
        <v>346</v>
      </c>
      <c r="L47" s="106">
        <v>792.93499999999995</v>
      </c>
      <c r="M47" s="106">
        <v>150</v>
      </c>
      <c r="N47" s="105">
        <f t="shared" si="16"/>
        <v>87.5685</v>
      </c>
      <c r="O47" s="205">
        <f t="shared" si="23"/>
        <v>106.21575</v>
      </c>
      <c r="P47" s="203" t="str">
        <f t="shared" si="17"/>
        <v>No</v>
      </c>
      <c r="Q47" s="356"/>
      <c r="R47" s="356"/>
      <c r="S47" s="253"/>
    </row>
    <row r="48" spans="1:33" ht="14.25" customHeight="1" thickBot="1">
      <c r="A48" s="499"/>
      <c r="B48" s="96" t="s">
        <v>339</v>
      </c>
      <c r="C48" s="95" t="s">
        <v>338</v>
      </c>
      <c r="D48" s="94">
        <v>768.38499999999999</v>
      </c>
      <c r="E48" s="94">
        <v>150</v>
      </c>
      <c r="F48" s="94">
        <v>46.164000000000001</v>
      </c>
      <c r="G48" s="73">
        <v>0.5</v>
      </c>
      <c r="H48" s="73">
        <f t="shared" si="2"/>
        <v>23.082000000000001</v>
      </c>
      <c r="I48" s="94">
        <f t="shared" si="20"/>
        <v>126.91800000000001</v>
      </c>
      <c r="J48" s="93">
        <f t="shared" si="21"/>
        <v>30.776000000000003</v>
      </c>
      <c r="K48" s="301" t="s">
        <v>345</v>
      </c>
      <c r="L48" s="92">
        <v>934.80499999999995</v>
      </c>
      <c r="M48" s="92">
        <v>150</v>
      </c>
      <c r="N48" s="91">
        <f t="shared" si="16"/>
        <v>46.164000000000001</v>
      </c>
      <c r="O48" s="205">
        <f t="shared" si="23"/>
        <v>126.91800000000001</v>
      </c>
      <c r="P48" s="203" t="str">
        <f t="shared" si="17"/>
        <v>No</v>
      </c>
      <c r="Q48" s="356"/>
      <c r="R48" s="356"/>
      <c r="S48" s="253"/>
    </row>
    <row r="49" spans="1:19" ht="13.5" thickBot="1">
      <c r="A49" s="497" t="s">
        <v>344</v>
      </c>
      <c r="B49" s="87" t="s">
        <v>343</v>
      </c>
      <c r="C49" s="86" t="s">
        <v>342</v>
      </c>
      <c r="D49" s="85">
        <v>592.98500000000001</v>
      </c>
      <c r="E49" s="85">
        <v>150</v>
      </c>
      <c r="F49" s="85">
        <v>175.91919999999999</v>
      </c>
      <c r="G49" s="85">
        <v>0.5</v>
      </c>
      <c r="H49" s="85">
        <f t="shared" si="2"/>
        <v>87.959599999999995</v>
      </c>
      <c r="I49" s="85">
        <f t="shared" si="20"/>
        <v>62.040400000000005</v>
      </c>
      <c r="J49" s="84">
        <f t="shared" si="21"/>
        <v>117.27946666666666</v>
      </c>
      <c r="K49" s="100" t="s">
        <v>341</v>
      </c>
      <c r="L49" s="83">
        <v>992.44500000000005</v>
      </c>
      <c r="M49" s="83">
        <v>150</v>
      </c>
      <c r="N49" s="82">
        <f t="shared" si="16"/>
        <v>175.91919999999999</v>
      </c>
      <c r="O49" s="205">
        <f t="shared" si="23"/>
        <v>62.040400000000005</v>
      </c>
      <c r="P49" s="203" t="str">
        <f t="shared" si="17"/>
        <v>No</v>
      </c>
      <c r="Q49" s="356"/>
      <c r="R49" s="356"/>
      <c r="S49" s="253"/>
    </row>
    <row r="50" spans="1:19" ht="14.25" customHeight="1" thickBot="1">
      <c r="A50" s="499"/>
      <c r="B50" s="96" t="s">
        <v>339</v>
      </c>
      <c r="C50" s="95" t="s">
        <v>338</v>
      </c>
      <c r="D50" s="94">
        <v>768.38499999999999</v>
      </c>
      <c r="E50" s="94">
        <v>150</v>
      </c>
      <c r="F50" s="94">
        <v>46.164000000000001</v>
      </c>
      <c r="G50" s="73">
        <v>0.5</v>
      </c>
      <c r="H50" s="73">
        <f t="shared" si="2"/>
        <v>23.082000000000001</v>
      </c>
      <c r="I50" s="73">
        <f t="shared" si="20"/>
        <v>126.91800000000001</v>
      </c>
      <c r="J50" s="299">
        <f t="shared" si="21"/>
        <v>30.776000000000003</v>
      </c>
      <c r="K50" s="301" t="s">
        <v>337</v>
      </c>
      <c r="L50" s="92">
        <v>817.04499999999996</v>
      </c>
      <c r="M50" s="92">
        <v>150</v>
      </c>
      <c r="N50" s="91">
        <f t="shared" si="16"/>
        <v>46.164000000000001</v>
      </c>
      <c r="O50" s="205">
        <f t="shared" si="23"/>
        <v>126.91800000000001</v>
      </c>
      <c r="P50" s="203" t="str">
        <f t="shared" si="17"/>
        <v>No</v>
      </c>
      <c r="Q50" s="356"/>
      <c r="R50" s="356"/>
      <c r="S50" s="253"/>
    </row>
    <row r="51" spans="1:19" ht="13.5" thickBot="1">
      <c r="A51" s="497" t="s">
        <v>340</v>
      </c>
      <c r="B51" s="87" t="s">
        <v>339</v>
      </c>
      <c r="C51" s="86" t="s">
        <v>338</v>
      </c>
      <c r="D51" s="85">
        <v>768.38499999999999</v>
      </c>
      <c r="E51" s="85">
        <v>150</v>
      </c>
      <c r="F51" s="85">
        <v>46.164000000000001</v>
      </c>
      <c r="G51" s="85">
        <v>0.5</v>
      </c>
      <c r="H51" s="85">
        <f t="shared" si="2"/>
        <v>23.082000000000001</v>
      </c>
      <c r="I51" s="94">
        <f t="shared" si="20"/>
        <v>126.91800000000001</v>
      </c>
      <c r="J51" s="93">
        <f t="shared" si="21"/>
        <v>30.776000000000003</v>
      </c>
      <c r="K51" s="100" t="s">
        <v>337</v>
      </c>
      <c r="L51" s="83">
        <v>817.04499999999996</v>
      </c>
      <c r="M51" s="83">
        <v>150</v>
      </c>
      <c r="N51" s="82">
        <f t="shared" si="16"/>
        <v>46.164000000000001</v>
      </c>
      <c r="O51" s="205">
        <f t="shared" si="23"/>
        <v>126.91800000000001</v>
      </c>
      <c r="P51" s="203" t="str">
        <f t="shared" si="17"/>
        <v>No</v>
      </c>
      <c r="Q51" s="356"/>
      <c r="R51" s="356"/>
      <c r="S51" s="253"/>
    </row>
    <row r="52" spans="1:19" ht="14.25" customHeight="1" thickBot="1">
      <c r="A52" s="499"/>
      <c r="B52" s="96" t="s">
        <v>30</v>
      </c>
      <c r="C52" s="95" t="s">
        <v>326</v>
      </c>
      <c r="D52" s="94">
        <v>317.27</v>
      </c>
      <c r="E52" s="94">
        <v>200</v>
      </c>
      <c r="F52" s="94">
        <v>136.87530000000001</v>
      </c>
      <c r="G52" s="73">
        <v>0.5</v>
      </c>
      <c r="H52" s="73">
        <f t="shared" si="2"/>
        <v>68.437650000000005</v>
      </c>
      <c r="I52" s="94">
        <f t="shared" si="20"/>
        <v>131.56234999999998</v>
      </c>
      <c r="J52" s="93">
        <f t="shared" si="21"/>
        <v>68.437650000000005</v>
      </c>
      <c r="K52" s="301" t="s">
        <v>325</v>
      </c>
      <c r="L52" s="92">
        <v>518.48</v>
      </c>
      <c r="M52" s="92">
        <v>200</v>
      </c>
      <c r="N52" s="91">
        <f t="shared" si="16"/>
        <v>136.87530000000001</v>
      </c>
      <c r="O52" s="205">
        <f t="shared" si="23"/>
        <v>131.56234999999998</v>
      </c>
      <c r="P52" s="203" t="str">
        <f t="shared" si="17"/>
        <v>No</v>
      </c>
      <c r="Q52" s="356"/>
      <c r="R52" s="356"/>
      <c r="S52" s="253"/>
    </row>
    <row r="53" spans="1:19" ht="13.5" thickBot="1">
      <c r="A53" s="497" t="s">
        <v>336</v>
      </c>
      <c r="B53" s="87" t="s">
        <v>28</v>
      </c>
      <c r="C53" s="86" t="s">
        <v>335</v>
      </c>
      <c r="D53" s="85">
        <v>675.17499999999995</v>
      </c>
      <c r="E53" s="85">
        <v>150</v>
      </c>
      <c r="F53" s="85">
        <v>87.5685</v>
      </c>
      <c r="G53" s="85">
        <v>0.5</v>
      </c>
      <c r="H53" s="85">
        <f t="shared" si="2"/>
        <v>43.78425</v>
      </c>
      <c r="I53" s="85">
        <f t="shared" si="20"/>
        <v>106.21575</v>
      </c>
      <c r="J53" s="84">
        <f t="shared" si="21"/>
        <v>58.379000000000005</v>
      </c>
      <c r="K53" s="100" t="s">
        <v>334</v>
      </c>
      <c r="L53" s="83">
        <v>792.93499999999995</v>
      </c>
      <c r="M53" s="83">
        <v>150</v>
      </c>
      <c r="N53" s="82">
        <f t="shared" si="16"/>
        <v>87.5685</v>
      </c>
      <c r="O53" s="205">
        <f t="shared" si="23"/>
        <v>106.21575</v>
      </c>
      <c r="P53" s="203" t="str">
        <f t="shared" si="17"/>
        <v>No</v>
      </c>
      <c r="Q53" s="356"/>
      <c r="R53" s="356"/>
      <c r="S53" s="253"/>
    </row>
    <row r="54" spans="1:19" ht="13.5" thickBot="1">
      <c r="A54" s="499"/>
      <c r="B54" s="96" t="s">
        <v>333</v>
      </c>
      <c r="C54" s="95" t="s">
        <v>332</v>
      </c>
      <c r="D54" s="94">
        <v>300.33499999999998</v>
      </c>
      <c r="E54" s="94">
        <v>200</v>
      </c>
      <c r="F54" s="94">
        <v>33.29833</v>
      </c>
      <c r="G54" s="73">
        <v>0.5</v>
      </c>
      <c r="H54" s="73">
        <f t="shared" si="2"/>
        <v>16.649165</v>
      </c>
      <c r="I54" s="73">
        <f t="shared" si="20"/>
        <v>183.35083499999999</v>
      </c>
      <c r="J54" s="299">
        <f t="shared" si="21"/>
        <v>16.649165</v>
      </c>
      <c r="K54" s="301" t="s">
        <v>331</v>
      </c>
      <c r="L54" s="92">
        <v>524.75</v>
      </c>
      <c r="M54" s="92">
        <v>200</v>
      </c>
      <c r="N54" s="91">
        <f t="shared" si="16"/>
        <v>33.29833</v>
      </c>
      <c r="O54" s="205">
        <f t="shared" si="23"/>
        <v>183.35083499999999</v>
      </c>
      <c r="P54" s="203" t="str">
        <f t="shared" si="17"/>
        <v>No</v>
      </c>
      <c r="Q54" s="356"/>
      <c r="R54" s="356"/>
      <c r="S54" s="253"/>
    </row>
    <row r="55" spans="1:19" ht="13.5" thickBot="1">
      <c r="A55" s="497" t="s">
        <v>330</v>
      </c>
      <c r="B55" s="87" t="s">
        <v>329</v>
      </c>
      <c r="C55" s="86" t="s">
        <v>61</v>
      </c>
      <c r="D55" s="85">
        <v>381.34</v>
      </c>
      <c r="E55" s="85">
        <v>200</v>
      </c>
      <c r="F55" s="85">
        <v>233.80699999999999</v>
      </c>
      <c r="G55" s="85">
        <v>0.5</v>
      </c>
      <c r="H55" s="85">
        <f t="shared" si="2"/>
        <v>116.90349999999999</v>
      </c>
      <c r="I55" s="85">
        <f t="shared" si="20"/>
        <v>83.096500000000006</v>
      </c>
      <c r="J55" s="84">
        <f t="shared" si="21"/>
        <v>116.90350000000001</v>
      </c>
      <c r="K55" s="100" t="s">
        <v>328</v>
      </c>
      <c r="L55" s="83">
        <v>673.16499999999996</v>
      </c>
      <c r="M55" s="83">
        <v>200</v>
      </c>
      <c r="N55" s="82">
        <f t="shared" si="16"/>
        <v>233.80699999999999</v>
      </c>
      <c r="O55" s="205">
        <f t="shared" si="23"/>
        <v>83.096500000000006</v>
      </c>
      <c r="P55" s="203" t="str">
        <f t="shared" si="17"/>
        <v>No</v>
      </c>
      <c r="Q55" s="356"/>
      <c r="R55" s="356"/>
      <c r="S55" s="253"/>
    </row>
    <row r="56" spans="1:19" ht="14.25" customHeight="1" thickBot="1">
      <c r="A56" s="498"/>
      <c r="B56" s="75" t="s">
        <v>30</v>
      </c>
      <c r="C56" s="74" t="s">
        <v>326</v>
      </c>
      <c r="D56" s="73">
        <v>317.27</v>
      </c>
      <c r="E56" s="73">
        <v>200</v>
      </c>
      <c r="F56" s="73">
        <v>136.87530000000001</v>
      </c>
      <c r="G56" s="73">
        <v>0.5</v>
      </c>
      <c r="H56" s="73">
        <f t="shared" si="2"/>
        <v>68.437650000000005</v>
      </c>
      <c r="I56" s="73">
        <f t="shared" si="20"/>
        <v>131.56234999999998</v>
      </c>
      <c r="J56" s="299">
        <f t="shared" si="21"/>
        <v>68.437650000000005</v>
      </c>
      <c r="K56" s="303" t="s">
        <v>325</v>
      </c>
      <c r="L56" s="72">
        <v>518.48</v>
      </c>
      <c r="M56" s="72">
        <v>200</v>
      </c>
      <c r="N56" s="71">
        <f t="shared" si="16"/>
        <v>136.87530000000001</v>
      </c>
      <c r="O56" s="205">
        <f t="shared" si="23"/>
        <v>131.56234999999998</v>
      </c>
      <c r="P56" s="254" t="str">
        <f t="shared" si="17"/>
        <v>No</v>
      </c>
      <c r="Q56" s="356"/>
      <c r="R56" s="356"/>
      <c r="S56" s="253"/>
    </row>
    <row r="57" spans="1:19">
      <c r="A57" s="357"/>
      <c r="B57" s="64"/>
      <c r="C57" s="357"/>
      <c r="D57" s="357"/>
      <c r="E57" s="357"/>
      <c r="F57" s="64"/>
      <c r="H57" s="64"/>
      <c r="K57" s="357"/>
      <c r="L57" s="357"/>
      <c r="M57" s="357"/>
      <c r="N57" s="357"/>
      <c r="O57" s="357"/>
      <c r="P57" s="357"/>
      <c r="Q57" s="356"/>
      <c r="R57" s="356"/>
    </row>
    <row r="58" spans="1:19">
      <c r="A58" s="357"/>
      <c r="B58" s="64"/>
      <c r="C58" s="357"/>
      <c r="D58" s="357"/>
      <c r="E58" s="357"/>
      <c r="F58" s="64"/>
      <c r="H58" s="64"/>
      <c r="K58" s="357"/>
      <c r="L58" s="357"/>
      <c r="M58" s="357"/>
      <c r="N58" s="357"/>
      <c r="O58" s="357"/>
      <c r="P58" s="357"/>
      <c r="Q58" s="356"/>
      <c r="R58" s="356"/>
    </row>
    <row r="59" spans="1:19">
      <c r="A59" s="357"/>
      <c r="B59" s="64"/>
      <c r="C59" s="357"/>
      <c r="D59" s="357"/>
      <c r="E59" s="357"/>
      <c r="F59" s="64"/>
      <c r="H59" s="64"/>
      <c r="K59" s="357"/>
      <c r="L59" s="357"/>
      <c r="M59" s="357"/>
      <c r="N59" s="357"/>
      <c r="O59" s="357"/>
      <c r="P59" s="357"/>
      <c r="Q59" s="356"/>
      <c r="R59" s="357"/>
    </row>
    <row r="60" spans="1:19">
      <c r="A60" s="357"/>
      <c r="B60" s="64"/>
      <c r="C60" s="357"/>
      <c r="D60" s="357"/>
      <c r="E60" s="357"/>
      <c r="F60" s="64"/>
      <c r="H60" s="64"/>
      <c r="K60" s="357"/>
      <c r="L60" s="357"/>
      <c r="M60" s="357"/>
      <c r="N60" s="357"/>
      <c r="O60" s="357"/>
      <c r="P60" s="357"/>
      <c r="Q60" s="356"/>
      <c r="R60" s="357"/>
    </row>
    <row r="61" spans="1:19">
      <c r="A61" s="357"/>
      <c r="B61" s="64"/>
      <c r="C61" s="357"/>
      <c r="D61" s="357"/>
      <c r="E61" s="357"/>
      <c r="F61" s="64"/>
      <c r="H61" s="64"/>
      <c r="K61" s="357"/>
      <c r="L61" s="357"/>
      <c r="M61" s="357"/>
      <c r="N61" s="357"/>
      <c r="O61" s="357"/>
      <c r="P61" s="357"/>
      <c r="Q61" s="356"/>
      <c r="R61" s="357"/>
    </row>
    <row r="62" spans="1:19">
      <c r="A62" s="357"/>
      <c r="B62" s="65"/>
      <c r="C62" s="357"/>
      <c r="D62" s="357"/>
      <c r="E62" s="357"/>
      <c r="F62" s="64"/>
      <c r="H62" s="64"/>
      <c r="K62" s="357"/>
      <c r="L62" s="357"/>
      <c r="M62" s="357"/>
      <c r="N62" s="357"/>
      <c r="O62" s="357"/>
      <c r="P62" s="357"/>
      <c r="Q62" s="356"/>
      <c r="R62" s="357"/>
    </row>
    <row r="63" spans="1:19">
      <c r="A63" s="357"/>
      <c r="B63" s="65"/>
      <c r="C63" s="357"/>
      <c r="D63" s="357"/>
      <c r="E63" s="357"/>
      <c r="F63" s="64"/>
      <c r="H63" s="64"/>
      <c r="K63" s="357"/>
      <c r="L63" s="357"/>
      <c r="M63" s="357"/>
      <c r="N63" s="357"/>
      <c r="O63" s="357"/>
      <c r="P63" s="357"/>
      <c r="Q63" s="356"/>
      <c r="R63" s="357"/>
    </row>
    <row r="64" spans="1:19">
      <c r="A64" s="357"/>
      <c r="B64" s="65"/>
      <c r="C64" s="357"/>
      <c r="D64" s="357"/>
      <c r="E64" s="357"/>
      <c r="F64" s="64"/>
      <c r="H64" s="64"/>
      <c r="K64" s="357"/>
      <c r="L64" s="357"/>
      <c r="M64" s="357"/>
      <c r="N64" s="357"/>
      <c r="O64" s="357"/>
      <c r="P64" s="357"/>
      <c r="Q64" s="356"/>
      <c r="R64" s="357"/>
    </row>
    <row r="65" spans="1:21">
      <c r="A65" s="357"/>
      <c r="B65" s="64"/>
      <c r="C65" s="357"/>
      <c r="D65" s="357"/>
      <c r="M65" s="357"/>
      <c r="N65" s="357"/>
      <c r="P65" s="357"/>
      <c r="Q65" s="356"/>
      <c r="R65" s="357"/>
    </row>
    <row r="66" spans="1:21">
      <c r="A66" s="357"/>
      <c r="B66" s="64"/>
      <c r="C66" s="357"/>
      <c r="D66" s="357"/>
      <c r="M66" s="357"/>
      <c r="N66" s="357"/>
      <c r="P66" s="357"/>
      <c r="Q66" s="356"/>
      <c r="R66" s="357"/>
    </row>
    <row r="67" spans="1:21">
      <c r="A67" s="357"/>
      <c r="B67" s="64"/>
      <c r="C67" s="357"/>
      <c r="D67" s="357"/>
      <c r="M67" s="357"/>
      <c r="N67" s="357"/>
      <c r="P67" s="357"/>
      <c r="Q67" s="356"/>
      <c r="R67" s="357"/>
    </row>
    <row r="68" spans="1:21">
      <c r="A68" s="357"/>
      <c r="B68" s="64"/>
      <c r="C68" s="357"/>
      <c r="D68" s="357"/>
      <c r="E68" s="357"/>
      <c r="F68" s="64"/>
      <c r="H68" s="64"/>
      <c r="K68" s="357"/>
      <c r="L68" s="357"/>
      <c r="M68" s="357"/>
      <c r="N68" s="357"/>
      <c r="O68" s="357"/>
      <c r="P68" s="357"/>
      <c r="Q68" s="356"/>
      <c r="R68" s="357"/>
    </row>
    <row r="69" spans="1:21">
      <c r="B69" s="64"/>
      <c r="C69" s="357"/>
      <c r="D69" s="357"/>
      <c r="E69" s="357"/>
      <c r="F69" s="64"/>
      <c r="H69" s="64"/>
      <c r="K69" s="357"/>
      <c r="L69" s="357"/>
      <c r="M69" s="357"/>
      <c r="N69" s="357"/>
      <c r="O69" s="357"/>
      <c r="P69" s="357"/>
      <c r="Q69" s="356"/>
      <c r="R69" s="357"/>
      <c r="T69" s="58"/>
      <c r="U69" s="58"/>
    </row>
    <row r="70" spans="1:21">
      <c r="B70" s="64"/>
      <c r="C70" s="357"/>
      <c r="D70" s="357"/>
      <c r="E70" s="357"/>
      <c r="F70" s="64"/>
      <c r="H70" s="64"/>
      <c r="K70" s="357"/>
      <c r="L70" s="357"/>
      <c r="M70" s="357"/>
      <c r="N70" s="357"/>
      <c r="O70" s="357"/>
      <c r="P70" s="357"/>
      <c r="Q70" s="356"/>
      <c r="R70" s="357"/>
      <c r="T70" s="58"/>
      <c r="U70" s="58"/>
    </row>
    <row r="71" spans="1:21">
      <c r="B71" s="64"/>
      <c r="C71" s="357"/>
      <c r="D71" s="357"/>
      <c r="E71" s="357"/>
      <c r="F71" s="64"/>
      <c r="H71" s="64"/>
      <c r="K71" s="357"/>
      <c r="L71" s="357"/>
      <c r="M71" s="357"/>
      <c r="N71" s="357"/>
      <c r="O71" s="357"/>
      <c r="P71" s="357"/>
      <c r="Q71" s="356"/>
      <c r="R71" s="357"/>
      <c r="T71" s="58"/>
      <c r="U71" s="58"/>
    </row>
    <row r="72" spans="1:21">
      <c r="B72" s="64"/>
      <c r="C72" s="357"/>
      <c r="D72" s="357"/>
      <c r="E72" s="357"/>
      <c r="F72" s="64"/>
      <c r="H72" s="64"/>
      <c r="K72" s="357"/>
      <c r="L72" s="357"/>
      <c r="M72" s="357"/>
      <c r="N72" s="357"/>
      <c r="O72" s="357"/>
      <c r="P72" s="357"/>
      <c r="Q72" s="356"/>
      <c r="R72" s="357"/>
      <c r="T72" s="58"/>
      <c r="U72" s="58"/>
    </row>
    <row r="73" spans="1:21">
      <c r="B73" s="64"/>
      <c r="C73" s="357"/>
      <c r="D73" s="357"/>
      <c r="E73" s="357"/>
      <c r="F73" s="64"/>
      <c r="H73" s="64"/>
      <c r="K73" s="357"/>
      <c r="L73" s="357"/>
      <c r="M73" s="357"/>
      <c r="N73" s="357"/>
      <c r="O73" s="357"/>
      <c r="P73" s="357"/>
      <c r="Q73" s="356"/>
      <c r="R73" s="357"/>
      <c r="T73" s="58"/>
    </row>
    <row r="74" spans="1:21">
      <c r="B74" s="64"/>
      <c r="C74" s="357"/>
      <c r="D74" s="357"/>
      <c r="E74" s="357"/>
      <c r="F74" s="64"/>
      <c r="H74" s="64"/>
      <c r="K74" s="357"/>
      <c r="L74" s="357"/>
      <c r="M74" s="357"/>
      <c r="N74" s="357"/>
      <c r="O74" s="357"/>
      <c r="P74" s="357"/>
      <c r="Q74" s="356"/>
      <c r="R74" s="357"/>
      <c r="T74" s="58"/>
    </row>
    <row r="75" spans="1:21">
      <c r="B75" s="64"/>
      <c r="C75" s="357"/>
      <c r="D75" s="357"/>
      <c r="E75" s="357"/>
      <c r="F75" s="64"/>
      <c r="H75" s="64"/>
      <c r="K75" s="357"/>
      <c r="L75" s="357"/>
      <c r="M75" s="357"/>
      <c r="N75" s="357"/>
      <c r="O75" s="357"/>
      <c r="P75" s="357"/>
      <c r="Q75" s="356"/>
      <c r="R75" s="357"/>
    </row>
    <row r="76" spans="1:21">
      <c r="B76" s="64"/>
      <c r="C76" s="357"/>
      <c r="D76" s="357"/>
      <c r="E76" s="357"/>
      <c r="F76" s="64"/>
      <c r="H76" s="64"/>
      <c r="K76" s="357"/>
      <c r="L76" s="357"/>
      <c r="M76" s="357"/>
      <c r="N76" s="357"/>
      <c r="O76" s="357"/>
      <c r="P76" s="357"/>
      <c r="Q76" s="356"/>
      <c r="R76" s="357"/>
    </row>
    <row r="77" spans="1:21">
      <c r="B77" s="64"/>
      <c r="C77" s="357"/>
      <c r="D77" s="357"/>
      <c r="E77" s="357"/>
      <c r="F77" s="64"/>
      <c r="H77" s="64"/>
      <c r="K77" s="357"/>
      <c r="L77" s="357"/>
      <c r="M77" s="357"/>
      <c r="N77" s="357"/>
      <c r="O77" s="357"/>
      <c r="P77" s="357"/>
      <c r="Q77" s="356"/>
      <c r="R77" s="357"/>
    </row>
    <row r="78" spans="1:21">
      <c r="B78" s="64"/>
      <c r="C78" s="357"/>
      <c r="D78" s="357"/>
      <c r="E78" s="357"/>
      <c r="F78" s="64"/>
      <c r="H78" s="64"/>
      <c r="K78" s="357"/>
      <c r="L78" s="357"/>
      <c r="M78" s="357"/>
      <c r="N78" s="357"/>
      <c r="O78" s="357"/>
      <c r="P78" s="357"/>
      <c r="Q78" s="356"/>
      <c r="R78" s="357"/>
    </row>
    <row r="79" spans="1:21">
      <c r="B79" s="64"/>
      <c r="C79" s="357"/>
      <c r="D79" s="357"/>
      <c r="E79" s="357"/>
      <c r="F79" s="64"/>
      <c r="H79" s="64"/>
      <c r="K79" s="357"/>
      <c r="L79" s="357"/>
      <c r="M79" s="357"/>
      <c r="N79" s="357"/>
      <c r="O79" s="357"/>
      <c r="P79" s="357"/>
      <c r="Q79" s="356"/>
      <c r="R79" s="357"/>
    </row>
    <row r="80" spans="1:21">
      <c r="B80" s="64"/>
      <c r="C80" s="357"/>
      <c r="D80" s="357"/>
      <c r="E80" s="357"/>
      <c r="F80" s="64"/>
      <c r="H80" s="64"/>
      <c r="K80" s="357"/>
      <c r="L80" s="357"/>
      <c r="M80" s="357"/>
      <c r="N80" s="357"/>
      <c r="O80" s="357"/>
      <c r="P80" s="357"/>
      <c r="Q80" s="356"/>
      <c r="R80" s="357"/>
    </row>
    <row r="81" spans="2:18">
      <c r="B81" s="64"/>
      <c r="C81" s="357"/>
      <c r="D81" s="357"/>
      <c r="E81" s="357"/>
      <c r="F81" s="64"/>
      <c r="H81" s="64"/>
      <c r="K81" s="357"/>
      <c r="L81" s="357"/>
      <c r="M81" s="357"/>
      <c r="N81" s="357"/>
      <c r="O81" s="357"/>
      <c r="P81" s="357"/>
      <c r="Q81" s="356"/>
      <c r="R81" s="357"/>
    </row>
    <row r="82" spans="2:18">
      <c r="B82" s="64"/>
      <c r="C82" s="357"/>
      <c r="D82" s="357"/>
      <c r="E82" s="357"/>
      <c r="F82" s="64"/>
      <c r="H82" s="64"/>
      <c r="K82" s="357"/>
      <c r="L82" s="357"/>
      <c r="M82" s="357"/>
      <c r="N82" s="357"/>
      <c r="O82" s="357"/>
      <c r="P82" s="357"/>
      <c r="Q82" s="356"/>
      <c r="R82" s="357"/>
    </row>
    <row r="83" spans="2:18">
      <c r="B83" s="64"/>
      <c r="C83" s="357"/>
      <c r="D83" s="357"/>
      <c r="E83" s="357"/>
      <c r="F83" s="64"/>
      <c r="H83" s="64"/>
      <c r="K83" s="357"/>
      <c r="L83" s="357"/>
      <c r="M83" s="357"/>
      <c r="N83" s="357"/>
      <c r="O83" s="357"/>
      <c r="P83" s="357"/>
      <c r="Q83" s="356"/>
      <c r="R83" s="357"/>
    </row>
    <row r="84" spans="2:18">
      <c r="B84" s="64"/>
      <c r="C84" s="357"/>
      <c r="D84" s="357"/>
      <c r="E84" s="357"/>
      <c r="F84" s="64"/>
      <c r="H84" s="64"/>
      <c r="K84" s="357"/>
      <c r="L84" s="357"/>
      <c r="M84" s="357"/>
      <c r="N84" s="357"/>
      <c r="O84" s="357"/>
      <c r="P84" s="357"/>
      <c r="Q84" s="356"/>
      <c r="R84" s="357"/>
    </row>
    <row r="85" spans="2:18">
      <c r="B85" s="64"/>
      <c r="C85" s="357"/>
      <c r="D85" s="357"/>
      <c r="E85" s="357"/>
      <c r="F85" s="64"/>
      <c r="H85" s="64"/>
      <c r="K85" s="357"/>
      <c r="L85" s="357"/>
      <c r="M85" s="357"/>
      <c r="N85" s="357"/>
      <c r="O85" s="357"/>
      <c r="P85" s="357"/>
      <c r="Q85" s="356"/>
      <c r="R85" s="357"/>
    </row>
    <row r="86" spans="2:18">
      <c r="B86" s="64"/>
      <c r="C86" s="357"/>
      <c r="D86" s="357"/>
      <c r="E86" s="357"/>
      <c r="F86" s="64"/>
      <c r="H86" s="64"/>
      <c r="K86" s="357"/>
      <c r="L86" s="357"/>
      <c r="M86" s="357"/>
      <c r="N86" s="357"/>
      <c r="O86" s="357"/>
      <c r="P86" s="357"/>
      <c r="Q86" s="356"/>
      <c r="R86" s="357"/>
    </row>
    <row r="87" spans="2:18">
      <c r="B87" s="64"/>
      <c r="C87" s="357"/>
      <c r="D87" s="357"/>
      <c r="E87" s="357"/>
      <c r="F87" s="64"/>
      <c r="H87" s="64"/>
      <c r="K87" s="357"/>
      <c r="L87" s="357"/>
      <c r="M87" s="357"/>
      <c r="N87" s="357"/>
      <c r="O87" s="357"/>
      <c r="P87" s="357"/>
      <c r="Q87" s="356"/>
      <c r="R87" s="357"/>
    </row>
    <row r="88" spans="2:18">
      <c r="B88" s="64"/>
      <c r="C88" s="357"/>
      <c r="D88" s="357"/>
      <c r="E88" s="357"/>
      <c r="F88" s="64"/>
      <c r="H88" s="64"/>
      <c r="K88" s="357"/>
      <c r="L88" s="357"/>
      <c r="M88" s="357"/>
      <c r="N88" s="357"/>
      <c r="O88" s="357"/>
      <c r="P88" s="357"/>
      <c r="Q88" s="356"/>
      <c r="R88" s="357"/>
    </row>
    <row r="89" spans="2:18">
      <c r="B89" s="64"/>
      <c r="C89" s="357"/>
      <c r="D89" s="357"/>
      <c r="E89" s="357"/>
      <c r="F89" s="64"/>
      <c r="H89" s="64"/>
      <c r="K89" s="357"/>
      <c r="L89" s="357"/>
      <c r="M89" s="357"/>
      <c r="N89" s="357"/>
      <c r="O89" s="357"/>
      <c r="P89" s="357"/>
      <c r="Q89" s="356"/>
      <c r="R89" s="357"/>
    </row>
    <row r="90" spans="2:18">
      <c r="B90" s="64"/>
      <c r="C90" s="357"/>
      <c r="D90" s="357"/>
      <c r="E90" s="357"/>
      <c r="F90" s="64"/>
      <c r="H90" s="64"/>
      <c r="K90" s="357"/>
      <c r="L90" s="357"/>
      <c r="M90" s="357"/>
      <c r="N90" s="357"/>
      <c r="O90" s="357"/>
      <c r="P90" s="357"/>
      <c r="Q90" s="356"/>
      <c r="R90" s="357"/>
    </row>
    <row r="91" spans="2:18">
      <c r="B91" s="64"/>
      <c r="C91" s="357"/>
      <c r="D91" s="357"/>
      <c r="E91" s="357"/>
      <c r="F91" s="64"/>
      <c r="H91" s="64"/>
      <c r="K91" s="357"/>
      <c r="L91" s="357"/>
      <c r="M91" s="357"/>
      <c r="N91" s="357"/>
      <c r="O91" s="357"/>
      <c r="P91" s="357"/>
      <c r="Q91" s="356"/>
      <c r="R91" s="357"/>
    </row>
    <row r="92" spans="2:18">
      <c r="B92" s="64"/>
      <c r="C92" s="357"/>
      <c r="D92" s="357"/>
      <c r="E92" s="357"/>
      <c r="F92" s="64"/>
      <c r="H92" s="64"/>
      <c r="K92" s="357"/>
      <c r="L92" s="357"/>
      <c r="M92" s="357"/>
      <c r="N92" s="357"/>
      <c r="O92" s="357"/>
      <c r="P92" s="357"/>
      <c r="Q92" s="356"/>
      <c r="R92" s="357"/>
    </row>
    <row r="93" spans="2:18">
      <c r="B93" s="64"/>
      <c r="C93" s="357"/>
      <c r="D93" s="357"/>
      <c r="E93" s="357"/>
      <c r="F93" s="64"/>
      <c r="H93" s="64"/>
      <c r="K93" s="357"/>
      <c r="L93" s="357"/>
      <c r="M93" s="357"/>
      <c r="N93" s="357"/>
      <c r="O93" s="357"/>
      <c r="P93" s="357"/>
      <c r="Q93" s="356"/>
      <c r="R93" s="357"/>
    </row>
    <row r="94" spans="2:18">
      <c r="B94" s="64"/>
      <c r="C94" s="357"/>
      <c r="D94" s="357"/>
      <c r="E94" s="357"/>
      <c r="F94" s="64"/>
      <c r="H94" s="64"/>
      <c r="K94" s="357"/>
      <c r="L94" s="357"/>
      <c r="M94" s="357"/>
      <c r="N94" s="357"/>
      <c r="O94" s="357"/>
      <c r="P94" s="357"/>
      <c r="Q94" s="356"/>
      <c r="R94" s="357"/>
    </row>
    <row r="95" spans="2:18">
      <c r="B95" s="64"/>
      <c r="C95" s="357"/>
      <c r="D95" s="357"/>
      <c r="E95" s="357"/>
      <c r="F95" s="64"/>
      <c r="H95" s="64"/>
      <c r="K95" s="357"/>
      <c r="L95" s="357"/>
      <c r="M95" s="357"/>
      <c r="N95" s="357"/>
      <c r="O95" s="357"/>
      <c r="P95" s="357"/>
      <c r="Q95" s="356"/>
      <c r="R95" s="357"/>
    </row>
    <row r="96" spans="2:18">
      <c r="B96" s="64"/>
      <c r="C96" s="357"/>
      <c r="D96" s="357"/>
      <c r="E96" s="357"/>
      <c r="F96" s="64"/>
      <c r="H96" s="64"/>
      <c r="K96" s="357"/>
      <c r="L96" s="357"/>
      <c r="M96" s="357"/>
      <c r="N96" s="357"/>
      <c r="O96" s="357"/>
      <c r="P96" s="357"/>
      <c r="Q96" s="356"/>
      <c r="R96" s="357"/>
    </row>
    <row r="97" spans="2:18">
      <c r="B97" s="64"/>
      <c r="C97" s="357"/>
      <c r="D97" s="357"/>
      <c r="E97" s="357"/>
      <c r="F97" s="64"/>
      <c r="H97" s="64"/>
      <c r="K97" s="357"/>
      <c r="L97" s="357"/>
      <c r="M97" s="357"/>
      <c r="N97" s="357"/>
      <c r="O97" s="357"/>
      <c r="P97" s="357"/>
      <c r="Q97" s="356"/>
      <c r="R97" s="357"/>
    </row>
    <row r="98" spans="2:18">
      <c r="B98" s="64"/>
      <c r="C98" s="357"/>
      <c r="D98" s="357"/>
      <c r="E98" s="357"/>
      <c r="F98" s="64"/>
      <c r="H98" s="64"/>
      <c r="K98" s="357"/>
      <c r="L98" s="357"/>
      <c r="M98" s="357"/>
      <c r="N98" s="357"/>
      <c r="O98" s="357"/>
      <c r="P98" s="357"/>
      <c r="Q98" s="356"/>
      <c r="R98" s="357"/>
    </row>
    <row r="99" spans="2:18">
      <c r="B99" s="64"/>
      <c r="C99" s="357"/>
      <c r="D99" s="357"/>
      <c r="E99" s="357"/>
      <c r="F99" s="64"/>
      <c r="H99" s="64"/>
      <c r="K99" s="357"/>
      <c r="L99" s="357"/>
      <c r="M99" s="357"/>
      <c r="N99" s="357"/>
      <c r="O99" s="357"/>
      <c r="P99" s="357"/>
      <c r="Q99" s="356"/>
      <c r="R99" s="357"/>
    </row>
    <row r="100" spans="2:18">
      <c r="B100" s="64"/>
      <c r="C100" s="357"/>
      <c r="D100" s="357"/>
      <c r="E100" s="357"/>
      <c r="F100" s="64"/>
      <c r="H100" s="64"/>
      <c r="K100" s="357"/>
      <c r="L100" s="357"/>
      <c r="M100" s="357"/>
      <c r="N100" s="357"/>
      <c r="O100" s="357"/>
      <c r="P100" s="357"/>
      <c r="Q100" s="356"/>
      <c r="R100" s="357"/>
    </row>
    <row r="101" spans="2:18">
      <c r="B101" s="64"/>
      <c r="C101" s="357"/>
      <c r="D101" s="357"/>
      <c r="E101" s="357"/>
      <c r="F101" s="64"/>
      <c r="H101" s="64"/>
      <c r="K101" s="357"/>
      <c r="L101" s="357"/>
      <c r="M101" s="357"/>
      <c r="N101" s="357"/>
      <c r="O101" s="357"/>
      <c r="P101" s="357"/>
      <c r="Q101" s="356"/>
      <c r="R101" s="357"/>
    </row>
    <row r="102" spans="2:18">
      <c r="B102" s="64"/>
      <c r="C102" s="357"/>
      <c r="D102" s="357"/>
      <c r="E102" s="357"/>
      <c r="F102" s="64"/>
      <c r="H102" s="64"/>
      <c r="K102" s="357"/>
      <c r="L102" s="357"/>
      <c r="M102" s="357"/>
      <c r="N102" s="357"/>
      <c r="O102" s="357"/>
      <c r="P102" s="357"/>
      <c r="Q102" s="356"/>
      <c r="R102" s="357"/>
    </row>
    <row r="103" spans="2:18">
      <c r="B103" s="64"/>
      <c r="C103" s="357"/>
      <c r="D103" s="357"/>
      <c r="E103" s="357"/>
      <c r="F103" s="64"/>
      <c r="H103" s="64"/>
      <c r="K103" s="357"/>
      <c r="L103" s="357"/>
      <c r="M103" s="357"/>
      <c r="N103" s="357"/>
      <c r="O103" s="357"/>
      <c r="P103" s="357"/>
      <c r="Q103" s="356"/>
      <c r="R103" s="357"/>
    </row>
    <row r="104" spans="2:18">
      <c r="B104" s="64"/>
      <c r="C104" s="357"/>
      <c r="D104" s="357"/>
      <c r="E104" s="357"/>
      <c r="F104" s="64"/>
      <c r="H104" s="64"/>
      <c r="K104" s="357"/>
      <c r="L104" s="357"/>
      <c r="M104" s="357"/>
      <c r="N104" s="357"/>
      <c r="O104" s="357"/>
      <c r="P104" s="357"/>
      <c r="Q104" s="356"/>
      <c r="R104" s="357"/>
    </row>
    <row r="105" spans="2:18">
      <c r="B105" s="64"/>
      <c r="C105" s="357"/>
      <c r="D105" s="357"/>
      <c r="E105" s="357"/>
      <c r="F105" s="64"/>
      <c r="H105" s="64"/>
      <c r="K105" s="357"/>
      <c r="L105" s="357"/>
      <c r="M105" s="357"/>
      <c r="N105" s="357"/>
      <c r="O105" s="357"/>
      <c r="P105" s="357"/>
      <c r="Q105" s="356"/>
      <c r="R105" s="357"/>
    </row>
    <row r="106" spans="2:18">
      <c r="B106" s="64"/>
      <c r="C106" s="357"/>
      <c r="D106" s="357"/>
      <c r="E106" s="357"/>
      <c r="F106" s="64"/>
      <c r="H106" s="64"/>
      <c r="K106" s="357"/>
      <c r="L106" s="357"/>
      <c r="M106" s="357"/>
      <c r="N106" s="357"/>
      <c r="O106" s="357"/>
      <c r="P106" s="357"/>
      <c r="Q106" s="356"/>
      <c r="R106" s="357"/>
    </row>
    <row r="107" spans="2:18">
      <c r="B107" s="64"/>
      <c r="C107" s="357"/>
      <c r="D107" s="357"/>
      <c r="E107" s="357"/>
      <c r="F107" s="64"/>
      <c r="H107" s="64"/>
      <c r="K107" s="357"/>
      <c r="L107" s="357"/>
      <c r="M107" s="357"/>
      <c r="N107" s="357"/>
      <c r="O107" s="357"/>
      <c r="P107" s="357"/>
      <c r="Q107" s="356"/>
      <c r="R107" s="357"/>
    </row>
    <row r="108" spans="2:18">
      <c r="B108" s="64"/>
      <c r="C108" s="357"/>
      <c r="D108" s="357"/>
      <c r="E108" s="357"/>
      <c r="F108" s="64"/>
      <c r="H108" s="64"/>
      <c r="K108" s="357"/>
      <c r="L108" s="357"/>
      <c r="M108" s="357"/>
      <c r="N108" s="357"/>
      <c r="O108" s="357"/>
      <c r="P108" s="357"/>
      <c r="Q108" s="356"/>
      <c r="R108" s="357"/>
    </row>
    <row r="109" spans="2:18">
      <c r="B109" s="64"/>
      <c r="C109" s="357"/>
      <c r="D109" s="357"/>
      <c r="E109" s="357"/>
      <c r="F109" s="64"/>
      <c r="H109" s="64"/>
      <c r="K109" s="357"/>
      <c r="L109" s="357"/>
      <c r="M109" s="357"/>
      <c r="N109" s="357"/>
      <c r="O109" s="357"/>
      <c r="P109" s="357"/>
      <c r="Q109" s="356"/>
      <c r="R109" s="357"/>
    </row>
    <row r="110" spans="2:18">
      <c r="B110" s="64"/>
      <c r="C110" s="357"/>
      <c r="D110" s="357"/>
      <c r="E110" s="357"/>
      <c r="F110" s="64"/>
      <c r="H110" s="64"/>
      <c r="K110" s="357"/>
      <c r="L110" s="357"/>
      <c r="M110" s="357"/>
      <c r="N110" s="357"/>
      <c r="O110" s="357"/>
      <c r="P110" s="357"/>
      <c r="Q110" s="356"/>
      <c r="R110" s="357"/>
    </row>
    <row r="111" spans="2:18">
      <c r="B111" s="64"/>
      <c r="C111" s="357"/>
      <c r="D111" s="357"/>
      <c r="E111" s="357"/>
      <c r="F111" s="64"/>
      <c r="H111" s="64"/>
      <c r="K111" s="357"/>
      <c r="L111" s="357"/>
      <c r="M111" s="357"/>
      <c r="N111" s="357"/>
      <c r="O111" s="357"/>
      <c r="P111" s="357"/>
      <c r="Q111" s="356"/>
      <c r="R111" s="357"/>
    </row>
    <row r="112" spans="2:18">
      <c r="B112" s="64"/>
      <c r="C112" s="357"/>
      <c r="D112" s="357"/>
      <c r="E112" s="357"/>
      <c r="F112" s="64"/>
      <c r="H112" s="64"/>
      <c r="K112" s="357"/>
      <c r="L112" s="357"/>
      <c r="M112" s="357"/>
      <c r="N112" s="357"/>
      <c r="O112" s="357"/>
      <c r="P112" s="357"/>
      <c r="Q112" s="356"/>
      <c r="R112" s="357"/>
    </row>
    <row r="113" spans="1:18">
      <c r="B113" s="64"/>
      <c r="C113" s="357"/>
      <c r="D113" s="357"/>
      <c r="E113" s="357"/>
      <c r="F113" s="64"/>
      <c r="H113" s="64"/>
      <c r="K113" s="357"/>
      <c r="L113" s="357"/>
      <c r="M113" s="357"/>
      <c r="N113" s="357"/>
      <c r="O113" s="357"/>
      <c r="P113" s="357"/>
      <c r="Q113" s="356"/>
      <c r="R113" s="357"/>
    </row>
    <row r="114" spans="1:18">
      <c r="B114" s="64"/>
      <c r="C114" s="357"/>
      <c r="D114" s="357"/>
      <c r="E114" s="357"/>
      <c r="F114" s="64"/>
      <c r="H114" s="64"/>
      <c r="K114" s="357"/>
      <c r="L114" s="357"/>
      <c r="M114" s="357"/>
      <c r="N114" s="357"/>
      <c r="O114" s="357"/>
      <c r="P114" s="357"/>
      <c r="Q114" s="356"/>
      <c r="R114" s="357"/>
    </row>
    <row r="115" spans="1:18">
      <c r="B115" s="64"/>
      <c r="C115" s="357"/>
      <c r="D115" s="357"/>
      <c r="E115" s="357"/>
      <c r="F115" s="64"/>
      <c r="H115" s="64"/>
      <c r="K115" s="357"/>
      <c r="L115" s="357"/>
      <c r="M115" s="357"/>
      <c r="N115" s="357"/>
      <c r="O115" s="357"/>
      <c r="P115" s="357"/>
      <c r="Q115" s="356"/>
      <c r="R115" s="357"/>
    </row>
    <row r="116" spans="1:18">
      <c r="B116" s="64"/>
      <c r="C116" s="357"/>
      <c r="D116" s="357"/>
      <c r="E116" s="357"/>
      <c r="F116" s="64"/>
      <c r="H116" s="64"/>
      <c r="K116" s="357"/>
      <c r="L116" s="357"/>
      <c r="M116" s="357"/>
      <c r="N116" s="357"/>
      <c r="O116" s="357"/>
      <c r="P116" s="357"/>
      <c r="Q116" s="356"/>
      <c r="R116" s="357"/>
    </row>
    <row r="117" spans="1:18">
      <c r="B117" s="64"/>
      <c r="C117" s="357"/>
      <c r="D117" s="357"/>
      <c r="E117" s="357"/>
      <c r="F117" s="64"/>
      <c r="H117" s="64"/>
      <c r="K117" s="357"/>
      <c r="L117" s="357"/>
      <c r="M117" s="357"/>
      <c r="N117" s="357"/>
      <c r="O117" s="357"/>
      <c r="P117" s="357"/>
      <c r="Q117" s="356"/>
      <c r="R117" s="357"/>
    </row>
    <row r="118" spans="1:18">
      <c r="B118" s="64"/>
      <c r="C118" s="357"/>
      <c r="D118" s="357"/>
      <c r="E118" s="357"/>
      <c r="F118" s="64"/>
      <c r="H118" s="64"/>
      <c r="K118" s="357"/>
      <c r="L118" s="357"/>
      <c r="M118" s="357"/>
      <c r="N118" s="357"/>
      <c r="O118" s="357"/>
      <c r="P118" s="357"/>
      <c r="Q118" s="356"/>
      <c r="R118" s="357"/>
    </row>
    <row r="119" spans="1:18">
      <c r="B119" s="64"/>
      <c r="C119" s="357"/>
      <c r="D119" s="357"/>
      <c r="E119" s="357"/>
      <c r="F119" s="64"/>
      <c r="H119" s="64"/>
      <c r="K119" s="357"/>
      <c r="L119" s="357"/>
      <c r="M119" s="357"/>
      <c r="N119" s="357"/>
      <c r="O119" s="357"/>
      <c r="P119" s="357"/>
      <c r="Q119" s="356"/>
      <c r="R119" s="357"/>
    </row>
    <row r="120" spans="1:18">
      <c r="B120" s="64"/>
      <c r="C120" s="357"/>
      <c r="D120" s="357"/>
      <c r="E120" s="357"/>
      <c r="F120" s="64"/>
      <c r="H120" s="64"/>
      <c r="K120" s="357"/>
      <c r="L120" s="357"/>
      <c r="M120" s="357"/>
      <c r="N120" s="357"/>
      <c r="O120" s="357"/>
      <c r="P120" s="357"/>
      <c r="Q120" s="356"/>
      <c r="R120" s="357"/>
    </row>
    <row r="121" spans="1:18">
      <c r="B121" s="64"/>
      <c r="C121" s="357"/>
      <c r="D121" s="357"/>
      <c r="E121" s="357"/>
      <c r="F121" s="64"/>
      <c r="H121" s="64"/>
      <c r="K121" s="357"/>
      <c r="L121" s="357"/>
      <c r="M121" s="357"/>
      <c r="N121" s="357"/>
      <c r="O121" s="357"/>
      <c r="P121" s="357"/>
      <c r="Q121" s="356"/>
      <c r="R121" s="357"/>
    </row>
    <row r="122" spans="1:18">
      <c r="B122" s="64"/>
      <c r="C122" s="357"/>
      <c r="D122" s="357"/>
      <c r="E122" s="357"/>
      <c r="F122" s="64"/>
      <c r="H122" s="64"/>
      <c r="K122" s="357"/>
      <c r="L122" s="357"/>
      <c r="M122" s="357"/>
      <c r="N122" s="357"/>
      <c r="O122" s="357"/>
      <c r="P122" s="357"/>
      <c r="Q122" s="356"/>
      <c r="R122" s="357"/>
    </row>
    <row r="123" spans="1:18">
      <c r="B123" s="64"/>
      <c r="C123" s="357"/>
      <c r="D123" s="357"/>
      <c r="E123" s="357"/>
      <c r="F123" s="64"/>
      <c r="H123" s="64"/>
      <c r="K123" s="357"/>
      <c r="L123" s="357"/>
      <c r="M123" s="357"/>
      <c r="N123" s="357"/>
      <c r="O123" s="357"/>
      <c r="P123" s="357"/>
      <c r="Q123" s="356"/>
      <c r="R123" s="357"/>
    </row>
    <row r="124" spans="1:18">
      <c r="A124" s="357"/>
      <c r="B124" s="64"/>
      <c r="C124" s="357"/>
      <c r="D124" s="357"/>
      <c r="E124" s="357"/>
      <c r="F124" s="64"/>
      <c r="H124" s="64"/>
      <c r="K124" s="357"/>
      <c r="L124" s="357"/>
      <c r="M124" s="357"/>
      <c r="N124" s="357"/>
      <c r="O124" s="357"/>
      <c r="P124" s="357"/>
      <c r="Q124" s="356"/>
      <c r="R124" s="357"/>
    </row>
    <row r="125" spans="1:18">
      <c r="A125" s="357"/>
      <c r="B125" s="64"/>
      <c r="C125" s="357"/>
      <c r="D125" s="357"/>
      <c r="E125" s="357"/>
      <c r="F125" s="64"/>
      <c r="H125" s="64"/>
      <c r="K125" s="357"/>
      <c r="L125" s="357"/>
      <c r="M125" s="357"/>
      <c r="N125" s="357"/>
      <c r="O125" s="357"/>
      <c r="P125" s="357"/>
      <c r="Q125" s="356"/>
      <c r="R125" s="357"/>
    </row>
    <row r="126" spans="1:18">
      <c r="A126" s="357"/>
      <c r="B126" s="64"/>
      <c r="C126" s="357"/>
      <c r="D126" s="357"/>
      <c r="E126" s="357"/>
      <c r="F126" s="64"/>
      <c r="H126" s="64"/>
      <c r="K126" s="357"/>
      <c r="L126" s="357"/>
      <c r="M126" s="357"/>
      <c r="N126" s="357"/>
      <c r="O126" s="357"/>
      <c r="P126" s="357"/>
      <c r="Q126" s="356"/>
      <c r="R126" s="357"/>
    </row>
    <row r="127" spans="1:18">
      <c r="A127" s="357"/>
      <c r="B127" s="64"/>
      <c r="C127" s="357"/>
      <c r="D127" s="357"/>
      <c r="E127" s="357"/>
      <c r="F127" s="64"/>
      <c r="H127" s="64"/>
      <c r="K127" s="357"/>
      <c r="L127" s="357"/>
      <c r="M127" s="357"/>
      <c r="N127" s="357"/>
      <c r="O127" s="357"/>
      <c r="P127" s="357"/>
      <c r="Q127" s="356"/>
      <c r="R127" s="357"/>
    </row>
    <row r="128" spans="1:18">
      <c r="A128" s="357"/>
      <c r="B128" s="64"/>
      <c r="C128" s="357"/>
      <c r="D128" s="357"/>
      <c r="E128" s="357"/>
      <c r="F128" s="64"/>
      <c r="H128" s="64"/>
      <c r="K128" s="357"/>
      <c r="L128" s="357"/>
      <c r="M128" s="357"/>
      <c r="N128" s="357"/>
      <c r="O128" s="357"/>
      <c r="P128" s="357"/>
      <c r="Q128" s="356"/>
      <c r="R128" s="357"/>
    </row>
    <row r="129" spans="1:18">
      <c r="A129" s="357"/>
      <c r="B129" s="64"/>
      <c r="C129" s="357"/>
      <c r="D129" s="357"/>
      <c r="E129" s="357"/>
      <c r="F129" s="64"/>
      <c r="H129" s="64"/>
      <c r="K129" s="357"/>
      <c r="L129" s="357"/>
      <c r="M129" s="357"/>
      <c r="N129" s="357"/>
      <c r="O129" s="357"/>
      <c r="P129" s="357"/>
      <c r="Q129" s="356"/>
      <c r="R129" s="357"/>
    </row>
    <row r="130" spans="1:18">
      <c r="A130" s="357"/>
      <c r="B130" s="64"/>
      <c r="C130" s="357"/>
      <c r="D130" s="357"/>
      <c r="E130" s="357"/>
      <c r="F130" s="64"/>
      <c r="H130" s="64"/>
      <c r="K130" s="357"/>
      <c r="L130" s="357"/>
      <c r="M130" s="357"/>
      <c r="N130" s="357"/>
      <c r="O130" s="357"/>
      <c r="P130" s="357"/>
      <c r="Q130" s="356"/>
      <c r="R130" s="357"/>
    </row>
    <row r="131" spans="1:18">
      <c r="A131" s="357"/>
      <c r="B131" s="64"/>
      <c r="C131" s="357"/>
      <c r="D131" s="357"/>
      <c r="E131" s="357"/>
      <c r="F131" s="64"/>
      <c r="H131" s="64"/>
      <c r="K131" s="357"/>
      <c r="L131" s="357"/>
      <c r="M131" s="357"/>
      <c r="N131" s="357"/>
      <c r="O131" s="357"/>
      <c r="P131" s="357"/>
      <c r="Q131" s="356"/>
      <c r="R131" s="357"/>
    </row>
    <row r="132" spans="1:18">
      <c r="A132" s="357"/>
      <c r="B132" s="64"/>
      <c r="C132" s="357"/>
      <c r="D132" s="357"/>
      <c r="E132" s="357"/>
      <c r="F132" s="64"/>
      <c r="H132" s="64"/>
      <c r="K132" s="357"/>
      <c r="L132" s="357"/>
      <c r="M132" s="357"/>
      <c r="N132" s="357"/>
      <c r="O132" s="357"/>
      <c r="P132" s="357"/>
      <c r="Q132" s="356"/>
      <c r="R132" s="357"/>
    </row>
    <row r="133" spans="1:18">
      <c r="A133" s="357"/>
      <c r="B133" s="64"/>
      <c r="C133" s="357"/>
      <c r="D133" s="357"/>
      <c r="E133" s="357"/>
      <c r="F133" s="64"/>
      <c r="H133" s="64"/>
      <c r="K133" s="357"/>
      <c r="L133" s="357"/>
      <c r="M133" s="357"/>
      <c r="N133" s="357"/>
      <c r="O133" s="357"/>
      <c r="P133" s="357"/>
      <c r="Q133" s="356"/>
      <c r="R133" s="357"/>
    </row>
    <row r="134" spans="1:18">
      <c r="A134" s="357"/>
      <c r="B134" s="64"/>
      <c r="C134" s="357"/>
      <c r="D134" s="357"/>
      <c r="E134" s="357"/>
      <c r="F134" s="64"/>
      <c r="H134" s="64"/>
      <c r="K134" s="357"/>
      <c r="L134" s="357"/>
      <c r="M134" s="357"/>
      <c r="N134" s="357"/>
      <c r="O134" s="357"/>
      <c r="P134" s="357"/>
      <c r="Q134" s="356"/>
      <c r="R134" s="357"/>
    </row>
    <row r="135" spans="1:18">
      <c r="A135" s="357"/>
      <c r="B135" s="64"/>
      <c r="C135" s="357"/>
      <c r="D135" s="357"/>
      <c r="E135" s="357"/>
      <c r="F135" s="64"/>
      <c r="H135" s="64"/>
      <c r="K135" s="357"/>
      <c r="L135" s="357"/>
      <c r="M135" s="357"/>
      <c r="N135" s="357"/>
      <c r="O135" s="357"/>
      <c r="P135" s="357"/>
      <c r="Q135" s="356"/>
      <c r="R135" s="357"/>
    </row>
    <row r="136" spans="1:18">
      <c r="A136" s="357"/>
      <c r="B136" s="64"/>
      <c r="C136" s="357"/>
      <c r="D136" s="357"/>
      <c r="E136" s="357"/>
      <c r="F136" s="64"/>
      <c r="H136" s="64"/>
      <c r="K136" s="357"/>
      <c r="L136" s="357"/>
      <c r="M136" s="357"/>
      <c r="N136" s="357"/>
      <c r="O136" s="357"/>
      <c r="P136" s="357"/>
      <c r="Q136" s="356"/>
      <c r="R136" s="357"/>
    </row>
    <row r="137" spans="1:18">
      <c r="A137" s="357"/>
      <c r="B137" s="64"/>
      <c r="C137" s="357"/>
      <c r="D137" s="357"/>
      <c r="E137" s="357"/>
      <c r="F137" s="64"/>
      <c r="H137" s="64"/>
      <c r="K137" s="357"/>
      <c r="L137" s="357"/>
      <c r="M137" s="357"/>
      <c r="N137" s="357"/>
      <c r="O137" s="357"/>
      <c r="P137" s="357"/>
      <c r="Q137" s="356"/>
      <c r="R137" s="357"/>
    </row>
    <row r="138" spans="1:18">
      <c r="A138" s="357"/>
      <c r="B138" s="64"/>
      <c r="C138" s="357"/>
      <c r="D138" s="357"/>
      <c r="E138" s="357"/>
      <c r="F138" s="64"/>
      <c r="H138" s="64"/>
      <c r="K138" s="357"/>
      <c r="L138" s="357"/>
      <c r="M138" s="357"/>
      <c r="N138" s="357"/>
      <c r="O138" s="357"/>
      <c r="P138" s="357"/>
      <c r="Q138" s="356"/>
      <c r="R138" s="357"/>
    </row>
    <row r="139" spans="1:18">
      <c r="A139" s="357"/>
      <c r="B139" s="64"/>
      <c r="C139" s="357"/>
      <c r="D139" s="357"/>
      <c r="E139" s="357"/>
      <c r="F139" s="64"/>
      <c r="H139" s="64"/>
      <c r="K139" s="357"/>
      <c r="L139" s="357"/>
      <c r="M139" s="357"/>
      <c r="N139" s="357"/>
      <c r="O139" s="357"/>
      <c r="P139" s="357"/>
      <c r="Q139" s="356"/>
      <c r="R139" s="357"/>
    </row>
    <row r="140" spans="1:18">
      <c r="A140" s="357"/>
      <c r="B140" s="64"/>
      <c r="C140" s="357"/>
      <c r="D140" s="357"/>
      <c r="E140" s="357"/>
      <c r="F140" s="64"/>
      <c r="H140" s="64"/>
      <c r="K140" s="357"/>
      <c r="L140" s="357"/>
      <c r="M140" s="357"/>
      <c r="N140" s="357"/>
      <c r="O140" s="357"/>
      <c r="P140" s="357"/>
      <c r="Q140" s="356"/>
      <c r="R140" s="357"/>
    </row>
    <row r="141" spans="1:18">
      <c r="A141" s="357"/>
      <c r="B141" s="64"/>
      <c r="C141" s="357"/>
      <c r="D141" s="357"/>
      <c r="E141" s="357"/>
      <c r="F141" s="64"/>
      <c r="H141" s="64"/>
      <c r="K141" s="357"/>
      <c r="L141" s="357"/>
      <c r="M141" s="357"/>
      <c r="N141" s="357"/>
      <c r="O141" s="357"/>
      <c r="P141" s="357"/>
      <c r="Q141" s="356"/>
      <c r="R141" s="357"/>
    </row>
    <row r="142" spans="1:18">
      <c r="A142" s="357"/>
      <c r="B142" s="64"/>
      <c r="C142" s="357"/>
      <c r="D142" s="357"/>
      <c r="E142" s="357"/>
      <c r="F142" s="64"/>
      <c r="H142" s="64"/>
      <c r="K142" s="357"/>
      <c r="L142" s="357"/>
      <c r="M142" s="357"/>
      <c r="N142" s="357"/>
      <c r="O142" s="357"/>
      <c r="P142" s="357"/>
      <c r="Q142" s="356"/>
      <c r="R142" s="357"/>
    </row>
    <row r="143" spans="1:18">
      <c r="A143" s="357"/>
      <c r="B143" s="64"/>
      <c r="C143" s="357"/>
      <c r="D143" s="357"/>
      <c r="E143" s="357"/>
      <c r="F143" s="64"/>
      <c r="H143" s="64"/>
      <c r="K143" s="357"/>
      <c r="L143" s="357"/>
      <c r="M143" s="357"/>
      <c r="N143" s="357"/>
      <c r="O143" s="357"/>
      <c r="P143" s="357"/>
      <c r="Q143" s="356"/>
      <c r="R143" s="357"/>
    </row>
    <row r="144" spans="1:18">
      <c r="A144" s="357"/>
      <c r="B144" s="64"/>
      <c r="C144" s="357"/>
      <c r="D144" s="357"/>
      <c r="E144" s="357"/>
      <c r="F144" s="64"/>
      <c r="H144" s="64"/>
      <c r="K144" s="357"/>
      <c r="L144" s="357"/>
      <c r="M144" s="357"/>
      <c r="N144" s="357"/>
      <c r="O144" s="357"/>
      <c r="P144" s="357"/>
      <c r="Q144" s="356"/>
      <c r="R144" s="357"/>
    </row>
    <row r="145" spans="1:18">
      <c r="A145" s="357"/>
      <c r="B145" s="64"/>
      <c r="C145" s="357"/>
      <c r="D145" s="357"/>
      <c r="E145" s="357"/>
      <c r="F145" s="64"/>
      <c r="H145" s="64"/>
      <c r="K145" s="357"/>
      <c r="L145" s="357"/>
      <c r="M145" s="357"/>
      <c r="N145" s="357"/>
      <c r="O145" s="357"/>
      <c r="P145" s="357"/>
      <c r="Q145" s="356"/>
      <c r="R145" s="357"/>
    </row>
    <row r="146" spans="1:18">
      <c r="A146" s="357"/>
      <c r="B146" s="64"/>
      <c r="C146" s="357"/>
      <c r="D146" s="357"/>
      <c r="E146" s="357"/>
      <c r="F146" s="64"/>
      <c r="H146" s="64"/>
      <c r="K146" s="357"/>
      <c r="L146" s="357"/>
      <c r="M146" s="357"/>
      <c r="N146" s="357"/>
      <c r="O146" s="357"/>
      <c r="P146" s="357"/>
      <c r="Q146" s="356"/>
      <c r="R146" s="357"/>
    </row>
    <row r="147" spans="1:18">
      <c r="A147" s="357"/>
      <c r="B147" s="64"/>
      <c r="C147" s="357"/>
      <c r="D147" s="357"/>
      <c r="E147" s="357"/>
      <c r="F147" s="64"/>
      <c r="H147" s="64"/>
      <c r="K147" s="357"/>
      <c r="L147" s="357"/>
      <c r="M147" s="357"/>
      <c r="N147" s="357"/>
      <c r="O147" s="357"/>
      <c r="P147" s="357"/>
      <c r="Q147" s="356"/>
      <c r="R147" s="357"/>
    </row>
    <row r="148" spans="1:18">
      <c r="A148" s="357"/>
      <c r="B148" s="64"/>
      <c r="C148" s="357"/>
      <c r="D148" s="357"/>
      <c r="E148" s="357"/>
      <c r="F148" s="64"/>
      <c r="H148" s="64"/>
      <c r="K148" s="357"/>
      <c r="L148" s="357"/>
      <c r="M148" s="357"/>
      <c r="N148" s="357"/>
      <c r="O148" s="357"/>
      <c r="P148" s="357"/>
      <c r="Q148" s="356"/>
      <c r="R148" s="357"/>
    </row>
    <row r="149" spans="1:18">
      <c r="A149" s="357"/>
      <c r="B149" s="64"/>
      <c r="C149" s="357"/>
      <c r="D149" s="357"/>
      <c r="E149" s="357"/>
      <c r="F149" s="64"/>
      <c r="H149" s="64"/>
      <c r="K149" s="357"/>
      <c r="L149" s="357"/>
      <c r="M149" s="357"/>
      <c r="N149" s="357"/>
      <c r="O149" s="357"/>
      <c r="P149" s="357"/>
      <c r="Q149" s="356"/>
      <c r="R149" s="357"/>
    </row>
    <row r="150" spans="1:18">
      <c r="A150" s="357"/>
      <c r="B150" s="64"/>
      <c r="C150" s="357"/>
      <c r="D150" s="357"/>
      <c r="E150" s="357"/>
      <c r="F150" s="64"/>
      <c r="H150" s="64"/>
      <c r="K150" s="357"/>
      <c r="L150" s="357"/>
      <c r="M150" s="357"/>
      <c r="N150" s="357"/>
      <c r="O150" s="357"/>
      <c r="P150" s="357"/>
      <c r="Q150" s="356"/>
      <c r="R150" s="357"/>
    </row>
    <row r="151" spans="1:18">
      <c r="A151" s="357"/>
      <c r="B151" s="64"/>
      <c r="C151" s="357"/>
      <c r="D151" s="357"/>
      <c r="E151" s="357"/>
      <c r="F151" s="64"/>
      <c r="H151" s="64"/>
      <c r="K151" s="357"/>
      <c r="L151" s="357"/>
      <c r="M151" s="357"/>
      <c r="N151" s="357"/>
      <c r="O151" s="357"/>
      <c r="P151" s="357"/>
      <c r="Q151" s="356"/>
      <c r="R151" s="357"/>
    </row>
    <row r="152" spans="1:18">
      <c r="A152" s="357"/>
      <c r="B152" s="64"/>
      <c r="C152" s="357"/>
      <c r="D152" s="357"/>
      <c r="E152" s="357"/>
      <c r="F152" s="64"/>
      <c r="H152" s="64"/>
      <c r="K152" s="357"/>
      <c r="L152" s="357"/>
      <c r="M152" s="357"/>
      <c r="N152" s="357"/>
      <c r="O152" s="357"/>
      <c r="P152" s="357"/>
      <c r="Q152" s="356"/>
      <c r="R152" s="357"/>
    </row>
    <row r="153" spans="1:18">
      <c r="A153" s="357"/>
      <c r="B153" s="64"/>
      <c r="C153" s="357"/>
      <c r="D153" s="357"/>
      <c r="E153" s="357"/>
      <c r="F153" s="64"/>
      <c r="H153" s="64"/>
      <c r="K153" s="357"/>
      <c r="L153" s="357"/>
      <c r="M153" s="357"/>
      <c r="N153" s="357"/>
      <c r="O153" s="357"/>
      <c r="P153" s="357"/>
      <c r="Q153" s="356"/>
      <c r="R153" s="357"/>
    </row>
    <row r="154" spans="1:18">
      <c r="A154" s="357"/>
      <c r="B154" s="64"/>
      <c r="C154" s="357"/>
      <c r="D154" s="357"/>
      <c r="E154" s="357"/>
      <c r="F154" s="64"/>
      <c r="H154" s="64"/>
      <c r="K154" s="357"/>
      <c r="L154" s="357"/>
      <c r="M154" s="357"/>
      <c r="N154" s="357"/>
      <c r="O154" s="357"/>
      <c r="P154" s="357"/>
      <c r="Q154" s="356"/>
      <c r="R154" s="357"/>
    </row>
    <row r="155" spans="1:18">
      <c r="A155" s="357"/>
      <c r="B155" s="64"/>
      <c r="C155" s="357"/>
      <c r="D155" s="357"/>
      <c r="E155" s="357"/>
      <c r="F155" s="64"/>
      <c r="H155" s="64"/>
      <c r="K155" s="357"/>
      <c r="L155" s="357"/>
      <c r="M155" s="357"/>
      <c r="N155" s="357"/>
      <c r="O155" s="357"/>
      <c r="P155" s="357"/>
      <c r="Q155" s="356"/>
      <c r="R155" s="357"/>
    </row>
    <row r="156" spans="1:18">
      <c r="A156" s="357"/>
      <c r="B156" s="64"/>
      <c r="C156" s="357"/>
      <c r="D156" s="357"/>
      <c r="E156" s="357"/>
      <c r="F156" s="64"/>
      <c r="H156" s="64"/>
      <c r="K156" s="357"/>
      <c r="L156" s="357"/>
      <c r="M156" s="357"/>
      <c r="N156" s="357"/>
      <c r="O156" s="357"/>
      <c r="P156" s="357"/>
      <c r="Q156" s="356"/>
      <c r="R156" s="357"/>
    </row>
    <row r="157" spans="1:18">
      <c r="A157" s="357"/>
      <c r="B157" s="64"/>
      <c r="C157" s="357"/>
      <c r="D157" s="357"/>
      <c r="E157" s="357"/>
      <c r="F157" s="64"/>
      <c r="H157" s="64"/>
      <c r="K157" s="357"/>
      <c r="L157" s="357"/>
      <c r="M157" s="357"/>
      <c r="N157" s="357"/>
      <c r="O157" s="357"/>
      <c r="P157" s="357"/>
      <c r="Q157" s="356"/>
      <c r="R157" s="357"/>
    </row>
    <row r="158" spans="1:18">
      <c r="A158" s="357"/>
      <c r="B158" s="64"/>
      <c r="C158" s="357"/>
      <c r="D158" s="357"/>
      <c r="E158" s="357"/>
      <c r="F158" s="64"/>
      <c r="H158" s="64"/>
      <c r="K158" s="357"/>
      <c r="L158" s="357"/>
      <c r="M158" s="357"/>
      <c r="N158" s="357"/>
      <c r="O158" s="357"/>
      <c r="P158" s="357"/>
      <c r="Q158" s="356"/>
      <c r="R158" s="357"/>
    </row>
    <row r="159" spans="1:18">
      <c r="A159" s="357"/>
      <c r="B159" s="64"/>
      <c r="C159" s="357"/>
      <c r="D159" s="357"/>
      <c r="E159" s="357"/>
      <c r="F159" s="64"/>
      <c r="H159" s="64"/>
      <c r="K159" s="357"/>
      <c r="L159" s="357"/>
      <c r="M159" s="357"/>
      <c r="N159" s="357"/>
      <c r="O159" s="357"/>
      <c r="P159" s="357"/>
      <c r="Q159" s="356"/>
      <c r="R159" s="357"/>
    </row>
    <row r="160" spans="1:18">
      <c r="A160" s="357"/>
      <c r="B160" s="64"/>
      <c r="C160" s="357"/>
      <c r="D160" s="357"/>
      <c r="E160" s="357"/>
      <c r="F160" s="64"/>
      <c r="H160" s="64"/>
      <c r="K160" s="357"/>
      <c r="L160" s="357"/>
      <c r="M160" s="357"/>
      <c r="N160" s="357"/>
      <c r="O160" s="357"/>
      <c r="P160" s="357"/>
      <c r="Q160" s="356"/>
      <c r="R160" s="357"/>
    </row>
    <row r="161" spans="1:18">
      <c r="A161" s="357"/>
      <c r="B161" s="64"/>
      <c r="C161" s="357"/>
      <c r="D161" s="357"/>
      <c r="E161" s="357"/>
      <c r="F161" s="64"/>
      <c r="H161" s="64"/>
      <c r="K161" s="357"/>
      <c r="L161" s="357"/>
      <c r="M161" s="357"/>
      <c r="N161" s="357"/>
      <c r="O161" s="357"/>
      <c r="P161" s="357"/>
      <c r="Q161" s="356"/>
      <c r="R161" s="357"/>
    </row>
    <row r="162" spans="1:18">
      <c r="A162" s="357"/>
      <c r="B162" s="64"/>
      <c r="C162" s="357"/>
      <c r="D162" s="357"/>
      <c r="E162" s="357"/>
      <c r="F162" s="64"/>
      <c r="H162" s="64"/>
      <c r="K162" s="357"/>
      <c r="L162" s="357"/>
      <c r="M162" s="357"/>
      <c r="N162" s="357"/>
      <c r="O162" s="357"/>
      <c r="P162" s="357"/>
      <c r="Q162" s="356"/>
      <c r="R162" s="357"/>
    </row>
    <row r="163" spans="1:18">
      <c r="A163" s="357"/>
      <c r="B163" s="64"/>
      <c r="C163" s="357"/>
      <c r="D163" s="357"/>
      <c r="E163" s="357"/>
      <c r="F163" s="64"/>
      <c r="H163" s="64"/>
      <c r="K163" s="357"/>
      <c r="L163" s="357"/>
      <c r="M163" s="357"/>
      <c r="N163" s="357"/>
      <c r="O163" s="357"/>
      <c r="P163" s="357"/>
      <c r="Q163" s="356"/>
      <c r="R163" s="357"/>
    </row>
    <row r="164" spans="1:18">
      <c r="A164" s="357"/>
      <c r="B164" s="64"/>
      <c r="C164" s="357"/>
      <c r="D164" s="357"/>
      <c r="E164" s="357"/>
      <c r="F164" s="64"/>
      <c r="H164" s="64"/>
      <c r="K164" s="357"/>
      <c r="L164" s="357"/>
      <c r="M164" s="357"/>
      <c r="N164" s="357"/>
      <c r="O164" s="357"/>
      <c r="P164" s="357"/>
      <c r="Q164" s="356"/>
      <c r="R164" s="357"/>
    </row>
    <row r="165" spans="1:18">
      <c r="A165" s="357"/>
      <c r="B165" s="64"/>
      <c r="C165" s="357"/>
      <c r="D165" s="357"/>
      <c r="E165" s="357"/>
      <c r="F165" s="64"/>
      <c r="H165" s="64"/>
      <c r="K165" s="357"/>
      <c r="L165" s="357"/>
      <c r="M165" s="357"/>
      <c r="N165" s="357"/>
      <c r="O165" s="357"/>
      <c r="P165" s="357"/>
      <c r="Q165" s="356"/>
      <c r="R165" s="357"/>
    </row>
    <row r="166" spans="1:18">
      <c r="A166" s="357"/>
      <c r="B166" s="64"/>
      <c r="C166" s="357"/>
      <c r="D166" s="357"/>
      <c r="E166" s="357"/>
      <c r="F166" s="64"/>
      <c r="H166" s="64"/>
      <c r="K166" s="357"/>
      <c r="L166" s="357"/>
      <c r="M166" s="357"/>
      <c r="N166" s="357"/>
      <c r="O166" s="357"/>
      <c r="P166" s="357"/>
      <c r="Q166" s="356"/>
      <c r="R166" s="357"/>
    </row>
    <row r="167" spans="1:18">
      <c r="A167" s="357"/>
      <c r="B167" s="64"/>
      <c r="C167" s="357"/>
      <c r="D167" s="357"/>
      <c r="E167" s="357"/>
      <c r="F167" s="64"/>
      <c r="H167" s="64"/>
      <c r="K167" s="357"/>
      <c r="L167" s="357"/>
      <c r="M167" s="357"/>
      <c r="N167" s="357"/>
      <c r="O167" s="357"/>
      <c r="P167" s="357"/>
      <c r="Q167" s="356"/>
      <c r="R167" s="357"/>
    </row>
    <row r="168" spans="1:18">
      <c r="A168" s="357"/>
      <c r="B168" s="64"/>
      <c r="C168" s="357"/>
      <c r="D168" s="357"/>
      <c r="E168" s="357"/>
      <c r="F168" s="64"/>
      <c r="H168" s="64"/>
      <c r="K168" s="357"/>
      <c r="L168" s="357"/>
      <c r="M168" s="357"/>
      <c r="N168" s="357"/>
      <c r="O168" s="357"/>
      <c r="P168" s="357"/>
      <c r="Q168" s="356"/>
      <c r="R168" s="357"/>
    </row>
    <row r="169" spans="1:18">
      <c r="A169" s="357"/>
      <c r="B169" s="64"/>
      <c r="C169" s="357"/>
      <c r="D169" s="357"/>
      <c r="E169" s="357"/>
      <c r="F169" s="64"/>
      <c r="H169" s="64"/>
      <c r="K169" s="357"/>
      <c r="L169" s="357"/>
      <c r="M169" s="357"/>
      <c r="N169" s="357"/>
      <c r="O169" s="357"/>
      <c r="P169" s="357"/>
      <c r="Q169" s="356"/>
      <c r="R169" s="357"/>
    </row>
    <row r="170" spans="1:18">
      <c r="A170" s="357"/>
      <c r="B170" s="64"/>
      <c r="C170" s="357"/>
      <c r="D170" s="357"/>
      <c r="E170" s="357"/>
      <c r="F170" s="64"/>
      <c r="H170" s="64"/>
      <c r="K170" s="357"/>
      <c r="L170" s="357"/>
      <c r="M170" s="357"/>
      <c r="N170" s="357"/>
      <c r="O170" s="357"/>
      <c r="P170" s="357"/>
      <c r="Q170" s="356"/>
      <c r="R170" s="357"/>
    </row>
    <row r="171" spans="1:18">
      <c r="A171" s="357"/>
      <c r="B171" s="64"/>
      <c r="C171" s="357"/>
      <c r="D171" s="357"/>
      <c r="E171" s="357"/>
      <c r="F171" s="64"/>
      <c r="H171" s="64"/>
      <c r="K171" s="357"/>
      <c r="L171" s="357"/>
      <c r="M171" s="357"/>
      <c r="N171" s="357"/>
      <c r="O171" s="357"/>
      <c r="P171" s="357"/>
      <c r="Q171" s="356"/>
      <c r="R171" s="357"/>
    </row>
    <row r="172" spans="1:18">
      <c r="A172" s="357"/>
      <c r="B172" s="64"/>
      <c r="C172" s="357"/>
      <c r="D172" s="357"/>
      <c r="E172" s="357"/>
      <c r="F172" s="64"/>
      <c r="H172" s="64"/>
      <c r="K172" s="357"/>
      <c r="L172" s="357"/>
      <c r="M172" s="357"/>
      <c r="N172" s="357"/>
      <c r="O172" s="357"/>
      <c r="P172" s="357"/>
      <c r="Q172" s="356"/>
      <c r="R172" s="357"/>
    </row>
    <row r="173" spans="1:18">
      <c r="A173" s="357"/>
      <c r="B173" s="64"/>
      <c r="C173" s="357"/>
      <c r="D173" s="357"/>
      <c r="E173" s="357"/>
      <c r="F173" s="64"/>
      <c r="H173" s="64"/>
      <c r="K173" s="357"/>
      <c r="L173" s="357"/>
      <c r="M173" s="357"/>
      <c r="N173" s="357"/>
      <c r="O173" s="357"/>
      <c r="P173" s="357"/>
      <c r="Q173" s="356"/>
      <c r="R173" s="357"/>
    </row>
    <row r="174" spans="1:18">
      <c r="A174" s="357"/>
      <c r="B174" s="64"/>
      <c r="C174" s="357"/>
      <c r="D174" s="357"/>
      <c r="E174" s="357"/>
      <c r="F174" s="64"/>
      <c r="H174" s="64"/>
      <c r="K174" s="357"/>
      <c r="L174" s="357"/>
      <c r="M174" s="357"/>
      <c r="N174" s="357"/>
      <c r="O174" s="357"/>
      <c r="P174" s="357"/>
      <c r="Q174" s="356"/>
      <c r="R174" s="357"/>
    </row>
    <row r="175" spans="1:18">
      <c r="A175" s="357"/>
      <c r="B175" s="64"/>
      <c r="C175" s="357"/>
      <c r="D175" s="357"/>
      <c r="E175" s="357"/>
      <c r="F175" s="64"/>
      <c r="H175" s="64"/>
      <c r="K175" s="357"/>
      <c r="L175" s="357"/>
      <c r="M175" s="357"/>
      <c r="N175" s="357"/>
      <c r="O175" s="357"/>
      <c r="P175" s="357"/>
      <c r="Q175" s="356"/>
      <c r="R175" s="357"/>
    </row>
    <row r="176" spans="1:18">
      <c r="A176" s="357"/>
      <c r="B176" s="64"/>
      <c r="C176" s="357"/>
      <c r="D176" s="357"/>
      <c r="E176" s="357"/>
      <c r="F176" s="64"/>
      <c r="H176" s="64"/>
      <c r="K176" s="357"/>
      <c r="L176" s="357"/>
      <c r="M176" s="357"/>
      <c r="N176" s="357"/>
      <c r="O176" s="357"/>
      <c r="P176" s="357"/>
      <c r="Q176" s="356"/>
      <c r="R176" s="357"/>
    </row>
    <row r="177" spans="1:18">
      <c r="A177" s="357"/>
      <c r="B177" s="64"/>
      <c r="C177" s="357"/>
      <c r="D177" s="357"/>
      <c r="E177" s="357"/>
      <c r="F177" s="64"/>
      <c r="H177" s="64"/>
      <c r="K177" s="357"/>
      <c r="L177" s="357"/>
      <c r="M177" s="357"/>
      <c r="N177" s="357"/>
      <c r="O177" s="357"/>
      <c r="P177" s="357"/>
      <c r="Q177" s="356"/>
      <c r="R177" s="357"/>
    </row>
    <row r="178" spans="1:18">
      <c r="A178" s="357"/>
      <c r="B178" s="64"/>
      <c r="C178" s="357"/>
      <c r="D178" s="357"/>
      <c r="E178" s="357"/>
      <c r="F178" s="64"/>
      <c r="H178" s="64"/>
      <c r="K178" s="357"/>
      <c r="L178" s="357"/>
      <c r="M178" s="357"/>
      <c r="N178" s="357"/>
      <c r="O178" s="357"/>
      <c r="P178" s="357"/>
      <c r="Q178" s="356"/>
      <c r="R178" s="357"/>
    </row>
    <row r="179" spans="1:18">
      <c r="A179" s="357"/>
      <c r="B179" s="64"/>
      <c r="C179" s="357"/>
      <c r="D179" s="357"/>
      <c r="E179" s="357"/>
      <c r="F179" s="64"/>
      <c r="H179" s="64"/>
      <c r="K179" s="357"/>
      <c r="L179" s="357"/>
      <c r="M179" s="357"/>
      <c r="N179" s="357"/>
      <c r="O179" s="357"/>
      <c r="P179" s="357"/>
      <c r="Q179" s="356"/>
      <c r="R179" s="357"/>
    </row>
  </sheetData>
  <dataConsolidate/>
  <mergeCells count="26">
    <mergeCell ref="A26:A27"/>
    <mergeCell ref="Q26:Q27"/>
    <mergeCell ref="R26:R27"/>
    <mergeCell ref="A55:A56"/>
    <mergeCell ref="A28:A32"/>
    <mergeCell ref="Q28:Q32"/>
    <mergeCell ref="R28:R32"/>
    <mergeCell ref="A33:A35"/>
    <mergeCell ref="A36:A37"/>
    <mergeCell ref="A39:A40"/>
    <mergeCell ref="A41:A43"/>
    <mergeCell ref="A45:A48"/>
    <mergeCell ref="A49:A50"/>
    <mergeCell ref="A51:A52"/>
    <mergeCell ref="A53:A54"/>
    <mergeCell ref="AF2:AK2"/>
    <mergeCell ref="AA23:AF23"/>
    <mergeCell ref="A9:A13"/>
    <mergeCell ref="C1:I1"/>
    <mergeCell ref="K1:P1"/>
    <mergeCell ref="T2:Y2"/>
    <mergeCell ref="A4:A5"/>
    <mergeCell ref="A6:A8"/>
    <mergeCell ref="A15:A20"/>
    <mergeCell ref="A21:A24"/>
    <mergeCell ref="T24:U24"/>
  </mergeCells>
  <conditionalFormatting sqref="O3:O56">
    <cfRule type="cellIs" dxfId="41" priority="5" operator="lessThan">
      <formula>0</formula>
    </cfRule>
  </conditionalFormatting>
  <conditionalFormatting sqref="M3:M56">
    <cfRule type="expression" dxfId="40" priority="4">
      <formula>(M3&lt;E3)</formula>
    </cfRule>
  </conditionalFormatting>
  <conditionalFormatting sqref="U4:Z15">
    <cfRule type="cellIs" dxfId="39" priority="3" operator="greaterThan">
      <formula>0</formula>
    </cfRule>
  </conditionalFormatting>
  <conditionalFormatting sqref="AG4:AL15">
    <cfRule type="cellIs" dxfId="38" priority="2" operator="greaterThan">
      <formula>0</formula>
    </cfRule>
  </conditionalFormatting>
  <conditionalFormatting sqref="AB25:AG36">
    <cfRule type="cellIs" dxfId="37" priority="1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9"/>
  <sheetViews>
    <sheetView topLeftCell="Q1" zoomScale="80" zoomScaleNormal="80" workbookViewId="0">
      <selection activeCell="AG3" sqref="AG3:AH3"/>
    </sheetView>
  </sheetViews>
  <sheetFormatPr defaultColWidth="9" defaultRowHeight="12.75"/>
  <cols>
    <col min="1" max="1" width="13.42578125" style="5" customWidth="1"/>
    <col min="2" max="2" width="22.7109375" style="63" customWidth="1"/>
    <col min="3" max="3" width="26.7109375" style="59" customWidth="1"/>
    <col min="4" max="4" width="16.85546875" style="59" customWidth="1"/>
    <col min="5" max="5" width="16.7109375" style="62" customWidth="1"/>
    <col min="6" max="6" width="23.7109375" style="61" customWidth="1"/>
    <col min="7" max="7" width="15.42578125" style="61" customWidth="1"/>
    <col min="8" max="8" width="23.7109375" style="61" customWidth="1"/>
    <col min="9" max="10" width="16.140625" style="59" customWidth="1"/>
    <col min="11" max="11" width="28.85546875" style="59" customWidth="1"/>
    <col min="12" max="12" width="17.7109375" style="59" customWidth="1"/>
    <col min="13" max="13" width="16.140625" style="59" customWidth="1"/>
    <col min="14" max="14" width="17.7109375" style="59" customWidth="1"/>
    <col min="15" max="15" width="23.28515625" style="59" customWidth="1"/>
    <col min="16" max="16" width="17.5703125" style="62" customWidth="1"/>
    <col min="17" max="17" width="26.5703125" style="10" customWidth="1"/>
    <col min="18" max="18" width="35.140625" style="59" customWidth="1"/>
    <col min="19" max="19" width="23" style="58" customWidth="1"/>
    <col min="20" max="20" width="22.85546875" style="5" customWidth="1"/>
    <col min="21" max="21" width="23.7109375" style="5" customWidth="1"/>
    <col min="22" max="22" width="21.5703125" style="5" customWidth="1"/>
    <col min="23" max="16384" width="9" style="5"/>
  </cols>
  <sheetData>
    <row r="1" spans="1:38" ht="14.25" customHeight="1">
      <c r="A1" s="355"/>
      <c r="B1" s="200"/>
      <c r="C1" s="516" t="s">
        <v>453</v>
      </c>
      <c r="D1" s="517"/>
      <c r="E1" s="517"/>
      <c r="F1" s="517"/>
      <c r="G1" s="517"/>
      <c r="H1" s="517"/>
      <c r="I1" s="518"/>
      <c r="J1" s="354"/>
      <c r="K1" s="521" t="s">
        <v>452</v>
      </c>
      <c r="L1" s="522"/>
      <c r="M1" s="522"/>
      <c r="N1" s="522"/>
      <c r="O1" s="522"/>
      <c r="P1" s="552"/>
      <c r="Q1" s="7"/>
      <c r="R1" s="7"/>
    </row>
    <row r="2" spans="1:38" ht="13.5" thickBot="1">
      <c r="A2" s="355" t="s">
        <v>451</v>
      </c>
      <c r="B2" s="198" t="s">
        <v>450</v>
      </c>
      <c r="C2" s="197" t="s">
        <v>449</v>
      </c>
      <c r="D2" s="196" t="s">
        <v>34</v>
      </c>
      <c r="E2" s="196" t="s">
        <v>33</v>
      </c>
      <c r="F2" s="196" t="s">
        <v>448</v>
      </c>
      <c r="G2" s="196" t="s">
        <v>460</v>
      </c>
      <c r="H2" s="196" t="s">
        <v>461</v>
      </c>
      <c r="I2" s="196" t="s">
        <v>445</v>
      </c>
      <c r="J2" s="195" t="s">
        <v>458</v>
      </c>
      <c r="K2" s="192" t="s">
        <v>447</v>
      </c>
      <c r="L2" s="194" t="s">
        <v>34</v>
      </c>
      <c r="M2" s="194" t="s">
        <v>33</v>
      </c>
      <c r="N2" s="193" t="s">
        <v>446</v>
      </c>
      <c r="O2" s="192" t="s">
        <v>445</v>
      </c>
      <c r="P2" s="252" t="s">
        <v>457</v>
      </c>
      <c r="Q2" s="356"/>
      <c r="R2" s="357"/>
      <c r="T2" s="494" t="s">
        <v>557</v>
      </c>
      <c r="U2" s="495"/>
      <c r="V2" s="495"/>
      <c r="W2" s="495"/>
      <c r="X2" s="495"/>
      <c r="Y2" s="496"/>
      <c r="Z2" s="166"/>
      <c r="AF2" s="494" t="s">
        <v>559</v>
      </c>
      <c r="AG2" s="495"/>
      <c r="AH2" s="495"/>
      <c r="AI2" s="495"/>
      <c r="AJ2" s="495"/>
      <c r="AK2" s="496"/>
      <c r="AL2" s="166"/>
    </row>
    <row r="3" spans="1:38" ht="13.5" thickBot="1">
      <c r="A3" s="164" t="s">
        <v>439</v>
      </c>
      <c r="B3" s="186" t="s">
        <v>438</v>
      </c>
      <c r="C3" s="185" t="s">
        <v>437</v>
      </c>
      <c r="D3" s="184">
        <v>386.9</v>
      </c>
      <c r="E3" s="184">
        <v>200</v>
      </c>
      <c r="F3" s="184">
        <v>131.95400000000001</v>
      </c>
      <c r="G3" s="184">
        <v>0.5</v>
      </c>
      <c r="H3" s="184">
        <f>F3*G3</f>
        <v>65.977000000000004</v>
      </c>
      <c r="I3" s="184">
        <f>E3-H3</f>
        <v>134.023</v>
      </c>
      <c r="J3" s="183">
        <f>H3/E3*100</f>
        <v>32.988500000000002</v>
      </c>
      <c r="K3" s="180" t="s">
        <v>436</v>
      </c>
      <c r="L3" s="182">
        <v>598.85</v>
      </c>
      <c r="M3" s="182">
        <v>150</v>
      </c>
      <c r="N3" s="181">
        <f t="shared" ref="N3:N13" si="0">F3</f>
        <v>131.95400000000001</v>
      </c>
      <c r="O3" s="251">
        <f>M3-H3</f>
        <v>84.022999999999996</v>
      </c>
      <c r="P3" s="181" t="str">
        <f t="shared" ref="P3:P9" si="1">IF(O3&gt;=0,"No","Yes")</f>
        <v>No</v>
      </c>
      <c r="Q3" s="356"/>
      <c r="R3" s="356"/>
      <c r="T3" s="336" t="s">
        <v>470</v>
      </c>
      <c r="U3" s="338" t="s">
        <v>471</v>
      </c>
      <c r="V3" s="338" t="s">
        <v>472</v>
      </c>
      <c r="W3" s="337" t="s">
        <v>473</v>
      </c>
      <c r="X3" s="338" t="s">
        <v>474</v>
      </c>
      <c r="Y3" s="339" t="s">
        <v>475</v>
      </c>
      <c r="Z3" s="340" t="s">
        <v>418</v>
      </c>
      <c r="AF3" s="336" t="s">
        <v>470</v>
      </c>
      <c r="AG3" s="338" t="s">
        <v>471</v>
      </c>
      <c r="AH3" s="338" t="s">
        <v>472</v>
      </c>
      <c r="AI3" s="337" t="s">
        <v>473</v>
      </c>
      <c r="AJ3" s="338" t="s">
        <v>474</v>
      </c>
      <c r="AK3" s="339" t="s">
        <v>527</v>
      </c>
      <c r="AL3" s="340" t="s">
        <v>418</v>
      </c>
    </row>
    <row r="4" spans="1:38" ht="13.5" thickBot="1">
      <c r="A4" s="519" t="s">
        <v>44</v>
      </c>
      <c r="B4" s="179" t="s">
        <v>3</v>
      </c>
      <c r="C4" s="178" t="s">
        <v>44</v>
      </c>
      <c r="D4" s="177">
        <v>424.31</v>
      </c>
      <c r="E4" s="177">
        <v>200</v>
      </c>
      <c r="F4" s="177">
        <v>79.758499999999998</v>
      </c>
      <c r="G4" s="85">
        <v>0.5</v>
      </c>
      <c r="H4" s="85">
        <f t="shared" ref="H4:H56" si="2">F4*G4</f>
        <v>39.879249999999999</v>
      </c>
      <c r="I4" s="94">
        <f t="shared" ref="I4:I13" si="3">E4-H4</f>
        <v>160.12074999999999</v>
      </c>
      <c r="J4" s="93">
        <f t="shared" ref="J4:J13" si="4">H4/E4*100</f>
        <v>19.939624999999999</v>
      </c>
      <c r="K4" s="304" t="s">
        <v>435</v>
      </c>
      <c r="L4" s="176">
        <v>561.44000000000005</v>
      </c>
      <c r="M4" s="176">
        <v>150</v>
      </c>
      <c r="N4" s="175">
        <f t="shared" si="0"/>
        <v>79.758499999999998</v>
      </c>
      <c r="O4" s="251">
        <f t="shared" ref="O4:O13" si="5">M4-H4</f>
        <v>110.12075</v>
      </c>
      <c r="P4" s="182" t="str">
        <f t="shared" si="1"/>
        <v>No</v>
      </c>
      <c r="Q4" s="356"/>
      <c r="R4" s="356"/>
      <c r="T4" s="60" t="s">
        <v>84</v>
      </c>
      <c r="U4" s="341">
        <v>0</v>
      </c>
      <c r="V4" s="341">
        <v>0</v>
      </c>
      <c r="W4" s="342">
        <v>0</v>
      </c>
      <c r="X4" s="342">
        <v>0</v>
      </c>
      <c r="Y4" s="343">
        <v>0</v>
      </c>
      <c r="Z4" s="344">
        <f>SUM(U4:Y4)</f>
        <v>0</v>
      </c>
      <c r="AF4" s="60" t="s">
        <v>84</v>
      </c>
      <c r="AG4" s="343">
        <v>0</v>
      </c>
      <c r="AH4" s="343">
        <f>3</f>
        <v>3</v>
      </c>
      <c r="AI4" s="419">
        <f>1+1</f>
        <v>2</v>
      </c>
      <c r="AJ4" s="419">
        <f>1</f>
        <v>1</v>
      </c>
      <c r="AK4" s="343">
        <v>0</v>
      </c>
      <c r="AL4" s="344">
        <f>SUM(AG4:AK4)</f>
        <v>6</v>
      </c>
    </row>
    <row r="5" spans="1:38" ht="14.25" customHeight="1" thickBot="1">
      <c r="A5" s="499"/>
      <c r="B5" s="63" t="s">
        <v>25</v>
      </c>
      <c r="C5" s="114" t="s">
        <v>65</v>
      </c>
      <c r="D5" s="94">
        <v>645.40499999999997</v>
      </c>
      <c r="E5" s="94">
        <v>150</v>
      </c>
      <c r="F5" s="94">
        <v>101.52370000000001</v>
      </c>
      <c r="G5" s="73">
        <v>0.5</v>
      </c>
      <c r="H5" s="73">
        <f t="shared" si="2"/>
        <v>50.761850000000003</v>
      </c>
      <c r="I5" s="94">
        <f t="shared" si="3"/>
        <v>99.23814999999999</v>
      </c>
      <c r="J5" s="93">
        <f t="shared" si="4"/>
        <v>33.841233333333335</v>
      </c>
      <c r="K5" s="301" t="s">
        <v>430</v>
      </c>
      <c r="L5" s="92">
        <v>691.82</v>
      </c>
      <c r="M5" s="92">
        <v>150</v>
      </c>
      <c r="N5" s="91">
        <f t="shared" si="0"/>
        <v>101.52370000000001</v>
      </c>
      <c r="O5" s="251">
        <f t="shared" si="5"/>
        <v>99.23814999999999</v>
      </c>
      <c r="P5" s="182" t="str">
        <f t="shared" si="1"/>
        <v>No</v>
      </c>
      <c r="Q5" s="352" t="s">
        <v>441</v>
      </c>
      <c r="R5" s="352" t="s">
        <v>456</v>
      </c>
      <c r="T5" s="60" t="s">
        <v>85</v>
      </c>
      <c r="U5" s="341">
        <v>0</v>
      </c>
      <c r="V5" s="341">
        <v>0</v>
      </c>
      <c r="W5" s="341">
        <v>0</v>
      </c>
      <c r="X5" s="341">
        <v>0</v>
      </c>
      <c r="Y5" s="343">
        <v>0</v>
      </c>
      <c r="Z5" s="60">
        <f t="shared" ref="Z5:Z15" si="6">SUM(U5:Y5)</f>
        <v>0</v>
      </c>
      <c r="AF5" s="60" t="s">
        <v>85</v>
      </c>
      <c r="AG5" s="343">
        <v>0</v>
      </c>
      <c r="AH5" s="343">
        <f>2+1+1</f>
        <v>4</v>
      </c>
      <c r="AI5" s="343">
        <f>2+1</f>
        <v>3</v>
      </c>
      <c r="AJ5" s="343">
        <v>0</v>
      </c>
      <c r="AK5" s="343">
        <f>1+1</f>
        <v>2</v>
      </c>
      <c r="AL5" s="60">
        <f t="shared" ref="AL5:AL15" si="7">SUM(AG5:AK5)</f>
        <v>9</v>
      </c>
    </row>
    <row r="6" spans="1:38" ht="13.5" thickBot="1">
      <c r="A6" s="497" t="s">
        <v>434</v>
      </c>
      <c r="B6" s="87" t="s">
        <v>433</v>
      </c>
      <c r="C6" s="86" t="s">
        <v>392</v>
      </c>
      <c r="D6" s="85">
        <v>774.56</v>
      </c>
      <c r="E6" s="85">
        <v>450</v>
      </c>
      <c r="F6" s="85">
        <v>593.39</v>
      </c>
      <c r="G6" s="85">
        <v>0.5</v>
      </c>
      <c r="H6" s="85">
        <f t="shared" si="2"/>
        <v>296.69499999999999</v>
      </c>
      <c r="I6" s="85">
        <f t="shared" si="3"/>
        <v>153.30500000000001</v>
      </c>
      <c r="J6" s="84">
        <f t="shared" si="4"/>
        <v>65.932222222222222</v>
      </c>
      <c r="K6" s="100" t="s">
        <v>432</v>
      </c>
      <c r="L6" s="83">
        <v>778.62</v>
      </c>
      <c r="M6" s="83">
        <v>450</v>
      </c>
      <c r="N6" s="82">
        <f t="shared" si="0"/>
        <v>593.39</v>
      </c>
      <c r="O6" s="251">
        <f t="shared" si="5"/>
        <v>153.30500000000001</v>
      </c>
      <c r="P6" s="182" t="str">
        <f t="shared" si="1"/>
        <v>No</v>
      </c>
      <c r="Q6" s="219"/>
      <c r="R6" s="218"/>
      <c r="T6" s="60" t="s">
        <v>86</v>
      </c>
      <c r="U6" s="341">
        <v>0</v>
      </c>
      <c r="V6" s="341">
        <v>0</v>
      </c>
      <c r="W6" s="341">
        <v>0</v>
      </c>
      <c r="X6" s="341">
        <v>0</v>
      </c>
      <c r="Y6" s="343">
        <v>0</v>
      </c>
      <c r="Z6" s="60">
        <f t="shared" si="6"/>
        <v>0</v>
      </c>
      <c r="AB6" s="405" t="s">
        <v>476</v>
      </c>
      <c r="AC6" s="405" t="s">
        <v>477</v>
      </c>
      <c r="AD6" s="345" t="s">
        <v>478</v>
      </c>
      <c r="AF6" s="60" t="s">
        <v>86</v>
      </c>
      <c r="AG6" s="341">
        <v>0</v>
      </c>
      <c r="AH6" s="343">
        <v>0</v>
      </c>
      <c r="AI6" s="341">
        <f>1+1</f>
        <v>2</v>
      </c>
      <c r="AJ6" s="343">
        <v>0</v>
      </c>
      <c r="AK6" s="343">
        <f>1</f>
        <v>1</v>
      </c>
      <c r="AL6" s="60">
        <f t="shared" si="7"/>
        <v>3</v>
      </c>
    </row>
    <row r="7" spans="1:38" ht="14.25" customHeight="1" thickBot="1">
      <c r="A7" s="499"/>
      <c r="B7" s="96" t="s">
        <v>4</v>
      </c>
      <c r="C7" s="95" t="s">
        <v>45</v>
      </c>
      <c r="D7" s="108">
        <v>221.095</v>
      </c>
      <c r="E7" s="108">
        <v>250</v>
      </c>
      <c r="F7" s="108">
        <v>165.54</v>
      </c>
      <c r="G7" s="94">
        <v>0.5</v>
      </c>
      <c r="H7" s="94">
        <f t="shared" si="2"/>
        <v>82.77</v>
      </c>
      <c r="I7" s="94">
        <f t="shared" si="3"/>
        <v>167.23000000000002</v>
      </c>
      <c r="J7" s="93">
        <f t="shared" si="4"/>
        <v>33.107999999999997</v>
      </c>
      <c r="K7" s="302" t="s">
        <v>431</v>
      </c>
      <c r="L7" s="106">
        <v>904.18</v>
      </c>
      <c r="M7" s="106">
        <v>150</v>
      </c>
      <c r="N7" s="105">
        <f t="shared" si="0"/>
        <v>165.54</v>
      </c>
      <c r="O7" s="251">
        <f t="shared" si="5"/>
        <v>67.23</v>
      </c>
      <c r="P7" s="263" t="str">
        <f t="shared" si="1"/>
        <v>No</v>
      </c>
      <c r="Q7" s="262" t="s">
        <v>351</v>
      </c>
      <c r="R7" s="245" t="s">
        <v>351</v>
      </c>
      <c r="T7" s="60" t="s">
        <v>87</v>
      </c>
      <c r="U7" s="341">
        <v>1</v>
      </c>
      <c r="V7" s="341">
        <v>0</v>
      </c>
      <c r="W7" s="341">
        <v>0</v>
      </c>
      <c r="X7" s="341">
        <v>0</v>
      </c>
      <c r="Y7" s="343">
        <v>0</v>
      </c>
      <c r="Z7" s="60">
        <f t="shared" si="6"/>
        <v>1</v>
      </c>
      <c r="AB7" s="61" t="s">
        <v>471</v>
      </c>
      <c r="AC7" s="61">
        <v>100</v>
      </c>
      <c r="AD7" s="413">
        <v>15</v>
      </c>
      <c r="AF7" s="60" t="s">
        <v>87</v>
      </c>
      <c r="AG7" s="341">
        <v>0</v>
      </c>
      <c r="AH7" s="420">
        <f>3+2+2</f>
        <v>7</v>
      </c>
      <c r="AI7" s="343">
        <f>2+1+2+4+1</f>
        <v>10</v>
      </c>
      <c r="AJ7" s="343">
        <f>1+2+3</f>
        <v>6</v>
      </c>
      <c r="AK7" s="343">
        <v>0</v>
      </c>
      <c r="AL7" s="60">
        <f t="shared" si="7"/>
        <v>23</v>
      </c>
    </row>
    <row r="8" spans="1:38" ht="14.25" customHeight="1" thickBot="1">
      <c r="A8" s="499"/>
      <c r="B8" s="96" t="s">
        <v>25</v>
      </c>
      <c r="C8" s="95" t="s">
        <v>65</v>
      </c>
      <c r="D8" s="94">
        <v>645.40499999999997</v>
      </c>
      <c r="E8" s="94">
        <v>150</v>
      </c>
      <c r="F8" s="94">
        <v>101.52370000000001</v>
      </c>
      <c r="G8" s="73">
        <v>0.5</v>
      </c>
      <c r="H8" s="73">
        <f t="shared" si="2"/>
        <v>50.761850000000003</v>
      </c>
      <c r="I8" s="73">
        <f t="shared" si="3"/>
        <v>99.23814999999999</v>
      </c>
      <c r="J8" s="299">
        <f t="shared" si="4"/>
        <v>33.841233333333335</v>
      </c>
      <c r="K8" s="301" t="s">
        <v>430</v>
      </c>
      <c r="L8" s="92">
        <v>691.82</v>
      </c>
      <c r="M8" s="92">
        <v>150</v>
      </c>
      <c r="N8" s="91">
        <f t="shared" si="0"/>
        <v>101.52370000000001</v>
      </c>
      <c r="O8" s="251">
        <f t="shared" si="5"/>
        <v>99.23814999999999</v>
      </c>
      <c r="P8" s="182" t="str">
        <f t="shared" si="1"/>
        <v>No</v>
      </c>
      <c r="Q8" s="261"/>
      <c r="R8" s="245"/>
      <c r="T8" s="60" t="s">
        <v>88</v>
      </c>
      <c r="U8" s="341">
        <v>1</v>
      </c>
      <c r="V8" s="341">
        <v>0</v>
      </c>
      <c r="W8" s="341">
        <v>0</v>
      </c>
      <c r="X8" s="341">
        <v>0</v>
      </c>
      <c r="Y8" s="343">
        <v>0</v>
      </c>
      <c r="Z8" s="60">
        <f t="shared" si="6"/>
        <v>1</v>
      </c>
      <c r="AA8" s="356"/>
      <c r="AB8" s="346" t="s">
        <v>472</v>
      </c>
      <c r="AC8" s="346">
        <v>150</v>
      </c>
      <c r="AD8" s="414">
        <v>16.3689</v>
      </c>
      <c r="AF8" s="60" t="s">
        <v>88</v>
      </c>
      <c r="AG8" s="341">
        <v>0</v>
      </c>
      <c r="AH8" s="343">
        <v>0</v>
      </c>
      <c r="AI8" s="343">
        <f>1+1+1+2+1+1</f>
        <v>7</v>
      </c>
      <c r="AJ8" s="343">
        <f>1</f>
        <v>1</v>
      </c>
      <c r="AK8" s="343">
        <v>0</v>
      </c>
      <c r="AL8" s="60">
        <f t="shared" si="7"/>
        <v>8</v>
      </c>
    </row>
    <row r="9" spans="1:38" ht="13.5" thickBot="1">
      <c r="A9" s="497" t="s">
        <v>46</v>
      </c>
      <c r="B9" s="87" t="s">
        <v>5</v>
      </c>
      <c r="C9" s="86" t="s">
        <v>46</v>
      </c>
      <c r="D9" s="85">
        <v>87.444999999999993</v>
      </c>
      <c r="E9" s="85">
        <v>300</v>
      </c>
      <c r="F9" s="85">
        <v>330.03719999999998</v>
      </c>
      <c r="G9" s="85">
        <v>0.5</v>
      </c>
      <c r="H9" s="85">
        <f t="shared" si="2"/>
        <v>165.01859999999999</v>
      </c>
      <c r="I9" s="94">
        <f t="shared" si="3"/>
        <v>134.98140000000001</v>
      </c>
      <c r="J9" s="93">
        <f t="shared" si="4"/>
        <v>55.006199999999993</v>
      </c>
      <c r="K9" s="100" t="s">
        <v>429</v>
      </c>
      <c r="L9" s="83">
        <v>243.73500000000001</v>
      </c>
      <c r="M9" s="83">
        <v>250</v>
      </c>
      <c r="N9" s="82">
        <f t="shared" si="0"/>
        <v>330.03719999999998</v>
      </c>
      <c r="O9" s="251">
        <f t="shared" si="5"/>
        <v>84.981400000000008</v>
      </c>
      <c r="P9" s="181" t="str">
        <f t="shared" si="1"/>
        <v>No</v>
      </c>
      <c r="Q9" s="239"/>
      <c r="R9" s="239"/>
      <c r="S9" s="253"/>
      <c r="T9" s="60" t="s">
        <v>89</v>
      </c>
      <c r="U9" s="341">
        <v>0</v>
      </c>
      <c r="V9" s="341">
        <v>0</v>
      </c>
      <c r="W9" s="341">
        <v>0</v>
      </c>
      <c r="X9" s="341">
        <v>0</v>
      </c>
      <c r="Y9" s="343">
        <v>0</v>
      </c>
      <c r="Z9" s="60">
        <f t="shared" si="6"/>
        <v>0</v>
      </c>
      <c r="AA9" s="352"/>
      <c r="AB9" s="346" t="s">
        <v>473</v>
      </c>
      <c r="AC9" s="346">
        <v>200</v>
      </c>
      <c r="AD9" s="414">
        <v>16.746700000000001</v>
      </c>
      <c r="AF9" s="60" t="s">
        <v>89</v>
      </c>
      <c r="AG9" s="343">
        <v>0</v>
      </c>
      <c r="AH9" s="343">
        <f>2+2+1</f>
        <v>5</v>
      </c>
      <c r="AI9" s="343">
        <f>1</f>
        <v>1</v>
      </c>
      <c r="AJ9" s="343">
        <f>1</f>
        <v>1</v>
      </c>
      <c r="AK9" s="343">
        <v>0</v>
      </c>
      <c r="AL9" s="60">
        <f t="shared" si="7"/>
        <v>7</v>
      </c>
    </row>
    <row r="10" spans="1:38" ht="14.25" customHeight="1" thickBot="1">
      <c r="A10" s="499"/>
      <c r="B10" s="96" t="s">
        <v>7</v>
      </c>
      <c r="C10" s="95" t="s">
        <v>48</v>
      </c>
      <c r="D10" s="108">
        <v>457.755</v>
      </c>
      <c r="E10" s="108">
        <v>200</v>
      </c>
      <c r="F10" s="108">
        <v>200.11</v>
      </c>
      <c r="G10" s="94">
        <v>0.5</v>
      </c>
      <c r="H10" s="94">
        <f t="shared" si="2"/>
        <v>100.05500000000001</v>
      </c>
      <c r="I10" s="94">
        <f t="shared" si="3"/>
        <v>99.944999999999993</v>
      </c>
      <c r="J10" s="93">
        <f t="shared" si="4"/>
        <v>50.027500000000003</v>
      </c>
      <c r="K10" s="302" t="s">
        <v>428</v>
      </c>
      <c r="L10" s="106">
        <v>614.06500000000005</v>
      </c>
      <c r="M10" s="106">
        <v>150</v>
      </c>
      <c r="N10" s="105">
        <f t="shared" si="0"/>
        <v>200.11</v>
      </c>
      <c r="O10" s="251">
        <f t="shared" si="5"/>
        <v>49.944999999999993</v>
      </c>
      <c r="P10" s="260" t="s">
        <v>455</v>
      </c>
      <c r="Q10" s="356"/>
      <c r="R10" s="356"/>
      <c r="S10" s="253"/>
      <c r="T10" s="60" t="s">
        <v>90</v>
      </c>
      <c r="U10" s="341">
        <v>0</v>
      </c>
      <c r="V10" s="341">
        <v>0</v>
      </c>
      <c r="W10" s="341">
        <v>0</v>
      </c>
      <c r="X10" s="341">
        <v>0</v>
      </c>
      <c r="Y10" s="343">
        <v>0</v>
      </c>
      <c r="Z10" s="60">
        <f t="shared" si="6"/>
        <v>0</v>
      </c>
      <c r="AA10" s="352"/>
      <c r="AB10" s="346" t="s">
        <v>474</v>
      </c>
      <c r="AC10" s="346">
        <v>250</v>
      </c>
      <c r="AD10" s="414">
        <v>16.886600000000001</v>
      </c>
      <c r="AF10" s="60" t="s">
        <v>90</v>
      </c>
      <c r="AG10" s="341">
        <v>0</v>
      </c>
      <c r="AH10" s="341">
        <v>0</v>
      </c>
      <c r="AI10" s="341">
        <f>1</f>
        <v>1</v>
      </c>
      <c r="AJ10" s="343">
        <f>1</f>
        <v>1</v>
      </c>
      <c r="AK10" s="343">
        <f>1</f>
        <v>1</v>
      </c>
      <c r="AL10" s="60">
        <f t="shared" si="7"/>
        <v>3</v>
      </c>
    </row>
    <row r="11" spans="1:38" ht="14.25" customHeight="1" thickBot="1">
      <c r="A11" s="499"/>
      <c r="B11" s="96" t="s">
        <v>8</v>
      </c>
      <c r="C11" s="95" t="s">
        <v>74</v>
      </c>
      <c r="D11" s="108">
        <v>632.29</v>
      </c>
      <c r="E11" s="108">
        <v>300</v>
      </c>
      <c r="F11" s="108">
        <v>416.14780000000002</v>
      </c>
      <c r="G11" s="94">
        <v>0.5</v>
      </c>
      <c r="H11" s="94">
        <f t="shared" si="2"/>
        <v>208.07390000000001</v>
      </c>
      <c r="I11" s="94">
        <f t="shared" si="3"/>
        <v>91.926099999999991</v>
      </c>
      <c r="J11" s="93">
        <f t="shared" si="4"/>
        <v>69.35796666666667</v>
      </c>
      <c r="K11" s="302" t="s">
        <v>427</v>
      </c>
      <c r="L11" s="106">
        <v>692.19500000000005</v>
      </c>
      <c r="M11" s="106">
        <v>300</v>
      </c>
      <c r="N11" s="105">
        <f t="shared" si="0"/>
        <v>416.14780000000002</v>
      </c>
      <c r="O11" s="251">
        <f t="shared" si="5"/>
        <v>91.926099999999991</v>
      </c>
      <c r="P11" s="181" t="str">
        <f>IF(O11&gt;=0,"No","Yes")</f>
        <v>No</v>
      </c>
      <c r="Q11" s="356"/>
      <c r="R11" s="356"/>
      <c r="S11" s="253"/>
      <c r="T11" s="60" t="s">
        <v>91</v>
      </c>
      <c r="U11" s="341">
        <v>0</v>
      </c>
      <c r="V11" s="341">
        <v>0</v>
      </c>
      <c r="W11" s="343">
        <v>0</v>
      </c>
      <c r="X11" s="343">
        <v>0</v>
      </c>
      <c r="Y11" s="343">
        <v>0</v>
      </c>
      <c r="Z11" s="60">
        <f t="shared" si="6"/>
        <v>0</v>
      </c>
      <c r="AA11" s="356"/>
      <c r="AB11" s="347" t="s">
        <v>527</v>
      </c>
      <c r="AC11" s="347">
        <v>300</v>
      </c>
      <c r="AD11" s="415">
        <v>17</v>
      </c>
      <c r="AF11" s="60" t="s">
        <v>91</v>
      </c>
      <c r="AG11" s="341">
        <v>0</v>
      </c>
      <c r="AH11" s="341">
        <f>1+2+1+1+1+1</f>
        <v>7</v>
      </c>
      <c r="AI11" s="343">
        <f>1+1</f>
        <v>2</v>
      </c>
      <c r="AJ11" s="343">
        <f>1</f>
        <v>1</v>
      </c>
      <c r="AK11" s="343">
        <v>0</v>
      </c>
      <c r="AL11" s="60">
        <f t="shared" si="7"/>
        <v>10</v>
      </c>
    </row>
    <row r="12" spans="1:38" ht="14.25" customHeight="1" thickBot="1">
      <c r="A12" s="499"/>
      <c r="B12" s="96" t="s">
        <v>12</v>
      </c>
      <c r="C12" s="95" t="s">
        <v>52</v>
      </c>
      <c r="D12" s="108">
        <v>428.91</v>
      </c>
      <c r="E12" s="108">
        <v>200</v>
      </c>
      <c r="F12" s="108">
        <v>320.77999999999997</v>
      </c>
      <c r="G12" s="94">
        <v>0.5</v>
      </c>
      <c r="H12" s="94">
        <f t="shared" si="2"/>
        <v>160.38999999999999</v>
      </c>
      <c r="I12" s="94">
        <f t="shared" si="3"/>
        <v>39.610000000000014</v>
      </c>
      <c r="J12" s="93">
        <f t="shared" si="4"/>
        <v>80.194999999999993</v>
      </c>
      <c r="K12" s="302" t="s">
        <v>421</v>
      </c>
      <c r="L12" s="106">
        <v>440.09</v>
      </c>
      <c r="M12" s="106">
        <v>200</v>
      </c>
      <c r="N12" s="105">
        <f t="shared" si="0"/>
        <v>320.77999999999997</v>
      </c>
      <c r="O12" s="251">
        <f t="shared" si="5"/>
        <v>39.610000000000014</v>
      </c>
      <c r="P12" s="181" t="str">
        <f>IF(O12&gt;=0,"No","Yes")</f>
        <v>No</v>
      </c>
      <c r="Q12" s="356"/>
      <c r="R12" s="356"/>
      <c r="S12" s="253"/>
      <c r="T12" s="60" t="s">
        <v>92</v>
      </c>
      <c r="U12" s="343">
        <v>0</v>
      </c>
      <c r="V12" s="343">
        <v>0</v>
      </c>
      <c r="W12" s="343">
        <v>0</v>
      </c>
      <c r="X12" s="343">
        <v>0</v>
      </c>
      <c r="Y12" s="343">
        <v>0</v>
      </c>
      <c r="Z12" s="60">
        <f t="shared" si="6"/>
        <v>0</v>
      </c>
      <c r="AA12" s="356"/>
      <c r="AB12" s="356"/>
      <c r="AC12" s="356"/>
      <c r="AF12" s="60" t="s">
        <v>92</v>
      </c>
      <c r="AG12" s="343">
        <v>0</v>
      </c>
      <c r="AH12" s="341">
        <f>1+1</f>
        <v>2</v>
      </c>
      <c r="AI12" s="343">
        <f>4+1</f>
        <v>5</v>
      </c>
      <c r="AJ12" s="343">
        <v>0</v>
      </c>
      <c r="AK12" s="343">
        <v>0</v>
      </c>
      <c r="AL12" s="60">
        <f t="shared" si="7"/>
        <v>7</v>
      </c>
    </row>
    <row r="13" spans="1:38" ht="14.25" customHeight="1" thickBot="1">
      <c r="A13" s="499"/>
      <c r="B13" s="96" t="s">
        <v>397</v>
      </c>
      <c r="C13" s="95" t="s">
        <v>63</v>
      </c>
      <c r="D13" s="94">
        <v>530.30999999999995</v>
      </c>
      <c r="E13" s="94">
        <v>200</v>
      </c>
      <c r="F13" s="94">
        <v>22.35</v>
      </c>
      <c r="G13" s="73">
        <v>0.5</v>
      </c>
      <c r="H13" s="73">
        <f t="shared" si="2"/>
        <v>11.175000000000001</v>
      </c>
      <c r="I13" s="94">
        <f t="shared" si="3"/>
        <v>188.82499999999999</v>
      </c>
      <c r="J13" s="93">
        <f t="shared" si="4"/>
        <v>5.5875000000000004</v>
      </c>
      <c r="K13" s="301" t="s">
        <v>419</v>
      </c>
      <c r="L13" s="92">
        <v>541.49</v>
      </c>
      <c r="M13" s="92">
        <v>150</v>
      </c>
      <c r="N13" s="91">
        <f t="shared" si="0"/>
        <v>22.35</v>
      </c>
      <c r="O13" s="251">
        <f t="shared" si="5"/>
        <v>138.82499999999999</v>
      </c>
      <c r="P13" s="181" t="str">
        <f>IF(O13&gt;=0,"No","Yes")</f>
        <v>No</v>
      </c>
      <c r="Q13" s="356"/>
      <c r="R13" s="356"/>
      <c r="S13" s="253"/>
      <c r="T13" s="60" t="s">
        <v>93</v>
      </c>
      <c r="U13" s="343">
        <v>1</v>
      </c>
      <c r="V13" s="341">
        <v>0</v>
      </c>
      <c r="W13" s="343">
        <v>0</v>
      </c>
      <c r="X13" s="343">
        <v>0</v>
      </c>
      <c r="Y13" s="343">
        <v>0</v>
      </c>
      <c r="Z13" s="60">
        <f t="shared" si="6"/>
        <v>1</v>
      </c>
      <c r="AA13" s="356"/>
      <c r="AB13" s="356"/>
      <c r="AC13" s="356"/>
      <c r="AF13" s="60" t="s">
        <v>93</v>
      </c>
      <c r="AG13" s="343">
        <v>0</v>
      </c>
      <c r="AH13" s="341">
        <v>0</v>
      </c>
      <c r="AI13" s="343">
        <f>1+1</f>
        <v>2</v>
      </c>
      <c r="AJ13" s="343">
        <f>2</f>
        <v>2</v>
      </c>
      <c r="AK13" s="343">
        <v>0</v>
      </c>
      <c r="AL13" s="60">
        <f t="shared" si="7"/>
        <v>4</v>
      </c>
    </row>
    <row r="14" spans="1:38" ht="13.5" thickBot="1">
      <c r="A14" s="353" t="s">
        <v>427</v>
      </c>
      <c r="B14" s="87" t="s">
        <v>351</v>
      </c>
      <c r="C14" s="163"/>
      <c r="D14" s="85"/>
      <c r="E14" s="85"/>
      <c r="F14" s="85"/>
      <c r="G14" s="184">
        <v>0.5</v>
      </c>
      <c r="H14" s="184">
        <f t="shared" si="2"/>
        <v>0</v>
      </c>
      <c r="I14" s="184"/>
      <c r="J14" s="183"/>
      <c r="K14" s="100"/>
      <c r="L14" s="83"/>
      <c r="M14" s="83"/>
      <c r="N14" s="82"/>
      <c r="O14" s="100"/>
      <c r="P14" s="82"/>
      <c r="Q14" s="356"/>
      <c r="R14" s="356"/>
      <c r="S14" s="253"/>
      <c r="T14" s="60" t="s">
        <v>94</v>
      </c>
      <c r="U14" s="343">
        <v>0</v>
      </c>
      <c r="V14" s="341">
        <v>0</v>
      </c>
      <c r="W14" s="343">
        <v>0</v>
      </c>
      <c r="X14" s="343">
        <v>0</v>
      </c>
      <c r="Y14" s="343">
        <v>0</v>
      </c>
      <c r="Z14" s="60">
        <f t="shared" si="6"/>
        <v>0</v>
      </c>
      <c r="AA14" s="18"/>
      <c r="AB14" s="18"/>
      <c r="AC14" s="356"/>
      <c r="AF14" s="60" t="s">
        <v>94</v>
      </c>
      <c r="AG14" s="343">
        <v>0</v>
      </c>
      <c r="AH14" s="420">
        <f>1</f>
        <v>1</v>
      </c>
      <c r="AI14" s="343">
        <f>1+1</f>
        <v>2</v>
      </c>
      <c r="AJ14" s="343">
        <f>3</f>
        <v>3</v>
      </c>
      <c r="AK14" s="343">
        <v>0</v>
      </c>
      <c r="AL14" s="60">
        <f t="shared" si="7"/>
        <v>6</v>
      </c>
    </row>
    <row r="15" spans="1:38" ht="13.5" thickBot="1">
      <c r="A15" s="497" t="s">
        <v>49</v>
      </c>
      <c r="B15" s="87" t="s">
        <v>426</v>
      </c>
      <c r="C15" s="86" t="s">
        <v>47</v>
      </c>
      <c r="D15" s="85">
        <v>341.36500000000001</v>
      </c>
      <c r="E15" s="85">
        <v>400</v>
      </c>
      <c r="F15" s="85">
        <v>414.50749999999999</v>
      </c>
      <c r="G15" s="85">
        <v>0.5</v>
      </c>
      <c r="H15" s="85">
        <f t="shared" si="2"/>
        <v>207.25375</v>
      </c>
      <c r="I15" s="85">
        <f>E15-H15</f>
        <v>192.74625</v>
      </c>
      <c r="J15" s="84">
        <f>H15/E15*100</f>
        <v>51.813437500000006</v>
      </c>
      <c r="K15" s="100" t="s">
        <v>425</v>
      </c>
      <c r="L15" s="83">
        <v>527.53499999999997</v>
      </c>
      <c r="M15" s="83">
        <v>600</v>
      </c>
      <c r="N15" s="82">
        <f t="shared" ref="N15:N24" si="8">F15</f>
        <v>414.50749999999999</v>
      </c>
      <c r="O15" s="205">
        <f>M15-H15</f>
        <v>392.74625000000003</v>
      </c>
      <c r="P15" s="82" t="str">
        <f t="shared" ref="P15:P24" si="9">IF(O15&gt;=0,"No","Yes")</f>
        <v>No</v>
      </c>
      <c r="Q15" s="356"/>
      <c r="R15" s="356"/>
      <c r="S15" s="253"/>
      <c r="T15" s="326" t="s">
        <v>469</v>
      </c>
      <c r="U15" s="348">
        <v>0</v>
      </c>
      <c r="V15" s="348">
        <v>0</v>
      </c>
      <c r="W15" s="348">
        <v>0</v>
      </c>
      <c r="X15" s="348">
        <v>0</v>
      </c>
      <c r="Y15" s="348">
        <v>0</v>
      </c>
      <c r="Z15" s="326">
        <f t="shared" si="6"/>
        <v>0</v>
      </c>
      <c r="AA15" s="356"/>
      <c r="AB15" s="356"/>
      <c r="AC15" s="356"/>
      <c r="AF15" s="326" t="s">
        <v>469</v>
      </c>
      <c r="AG15" s="348">
        <v>0</v>
      </c>
      <c r="AH15" s="348">
        <f>1</f>
        <v>1</v>
      </c>
      <c r="AI15" s="348">
        <f>1</f>
        <v>1</v>
      </c>
      <c r="AJ15" s="348">
        <v>0</v>
      </c>
      <c r="AK15" s="348">
        <v>0</v>
      </c>
      <c r="AL15" s="326">
        <f t="shared" si="7"/>
        <v>2</v>
      </c>
    </row>
    <row r="16" spans="1:38" ht="14.25" customHeight="1" thickBot="1">
      <c r="A16" s="499"/>
      <c r="B16" s="96" t="s">
        <v>9</v>
      </c>
      <c r="C16" s="95" t="s">
        <v>424</v>
      </c>
      <c r="D16" s="108">
        <v>72.555000000000007</v>
      </c>
      <c r="E16" s="108">
        <v>300</v>
      </c>
      <c r="F16" s="108">
        <v>249.06020000000001</v>
      </c>
      <c r="G16" s="94">
        <v>0.5</v>
      </c>
      <c r="H16" s="94">
        <f t="shared" si="2"/>
        <v>124.5301</v>
      </c>
      <c r="I16" s="94">
        <f t="shared" ref="I16:I24" si="10">E16-H16</f>
        <v>175.4699</v>
      </c>
      <c r="J16" s="93">
        <f t="shared" ref="J16:J24" si="11">H16/E16*100</f>
        <v>41.510033333333332</v>
      </c>
      <c r="K16" s="302" t="s">
        <v>423</v>
      </c>
      <c r="L16" s="106">
        <v>258.625</v>
      </c>
      <c r="M16" s="106">
        <v>250</v>
      </c>
      <c r="N16" s="105">
        <f t="shared" si="8"/>
        <v>249.06020000000001</v>
      </c>
      <c r="O16" s="205">
        <f t="shared" ref="O16:O24" si="12">M16-H16</f>
        <v>125.4699</v>
      </c>
      <c r="P16" s="82" t="str">
        <f t="shared" si="9"/>
        <v>No</v>
      </c>
      <c r="Q16" s="356"/>
      <c r="R16" s="356"/>
      <c r="S16" s="253"/>
      <c r="T16" s="340" t="s">
        <v>479</v>
      </c>
      <c r="U16" s="349">
        <f t="shared" ref="U16:Z16" si="13">SUM(U4:U15)</f>
        <v>3</v>
      </c>
      <c r="V16" s="349">
        <f t="shared" si="13"/>
        <v>0</v>
      </c>
      <c r="W16" s="349">
        <f t="shared" si="13"/>
        <v>0</v>
      </c>
      <c r="X16" s="349">
        <f t="shared" si="13"/>
        <v>0</v>
      </c>
      <c r="Y16" s="349">
        <f t="shared" si="13"/>
        <v>0</v>
      </c>
      <c r="Z16" s="350">
        <f t="shared" si="13"/>
        <v>3</v>
      </c>
      <c r="AA16" s="356"/>
      <c r="AB16" s="356"/>
      <c r="AF16" s="340" t="s">
        <v>479</v>
      </c>
      <c r="AG16" s="349">
        <f>SUM(AG4:AG15)</f>
        <v>0</v>
      </c>
      <c r="AH16" s="349">
        <f>SUM(AH4:AH15)</f>
        <v>30</v>
      </c>
      <c r="AI16" s="349">
        <f>SUM(AI4:AI15)</f>
        <v>38</v>
      </c>
      <c r="AJ16" s="349">
        <f>SUM(AJ4:AJ15)</f>
        <v>16</v>
      </c>
      <c r="AK16" s="349">
        <f>SUM(AK4:AK15)</f>
        <v>4</v>
      </c>
      <c r="AL16" s="350">
        <f t="shared" ref="AL16" si="14">SUM(AL4:AL15)</f>
        <v>88</v>
      </c>
    </row>
    <row r="17" spans="1:38" ht="14.25" customHeight="1" thickBot="1">
      <c r="A17" s="499"/>
      <c r="B17" s="96" t="s">
        <v>10</v>
      </c>
      <c r="C17" s="95" t="s">
        <v>386</v>
      </c>
      <c r="D17" s="108">
        <v>894.93</v>
      </c>
      <c r="E17" s="108">
        <v>150</v>
      </c>
      <c r="F17" s="108">
        <v>185.4342</v>
      </c>
      <c r="G17" s="94">
        <v>0.5</v>
      </c>
      <c r="H17" s="94">
        <f t="shared" si="2"/>
        <v>92.717100000000002</v>
      </c>
      <c r="I17" s="94">
        <f t="shared" si="10"/>
        <v>57.282899999999998</v>
      </c>
      <c r="J17" s="93">
        <f t="shared" si="11"/>
        <v>61.811400000000006</v>
      </c>
      <c r="K17" s="302" t="s">
        <v>385</v>
      </c>
      <c r="L17" s="106">
        <v>975.03499999999997</v>
      </c>
      <c r="M17" s="106">
        <v>150</v>
      </c>
      <c r="N17" s="105">
        <f t="shared" si="8"/>
        <v>185.4342</v>
      </c>
      <c r="O17" s="205">
        <f t="shared" si="12"/>
        <v>57.282899999999998</v>
      </c>
      <c r="P17" s="82" t="str">
        <f t="shared" si="9"/>
        <v>No</v>
      </c>
      <c r="Q17" s="356"/>
      <c r="R17" s="356"/>
      <c r="S17" s="253"/>
      <c r="T17" s="340" t="s">
        <v>478</v>
      </c>
      <c r="U17" s="351">
        <f>PRODUCT(U16*AD7)</f>
        <v>45</v>
      </c>
      <c r="V17" s="351">
        <f>PRODUCT(V16*AD8)</f>
        <v>0</v>
      </c>
      <c r="W17" s="351">
        <f>PRODUCT(W16*AD9)</f>
        <v>0</v>
      </c>
      <c r="X17" s="351">
        <f>PRODUCT(X16*AD10)</f>
        <v>0</v>
      </c>
      <c r="Y17" s="351">
        <f>PRODUCT(Y16*AD11)</f>
        <v>0</v>
      </c>
      <c r="Z17" s="340">
        <f>SUM(U17:Y17)</f>
        <v>45</v>
      </c>
      <c r="AA17" s="356"/>
      <c r="AB17" s="356"/>
      <c r="AF17" s="340" t="s">
        <v>478</v>
      </c>
      <c r="AG17" s="416">
        <f>PRODUCT(AG16*AD7)</f>
        <v>0</v>
      </c>
      <c r="AH17" s="416">
        <f>PRODUCT(AH16*AD8)</f>
        <v>491.06700000000001</v>
      </c>
      <c r="AI17" s="416">
        <f>PRODUCT(AI16*AD9)</f>
        <v>636.37459999999999</v>
      </c>
      <c r="AJ17" s="416">
        <f>PRODUCT(AJ16*AD10)</f>
        <v>270.18560000000002</v>
      </c>
      <c r="AK17" s="416">
        <f>PRODUCT(AK16*AD11)</f>
        <v>68</v>
      </c>
      <c r="AL17" s="421">
        <f>SUM(AG17:AK17)</f>
        <v>1465.6272000000001</v>
      </c>
    </row>
    <row r="18" spans="1:38" ht="14.25" customHeight="1" thickBot="1">
      <c r="A18" s="499"/>
      <c r="B18" s="96" t="s">
        <v>11</v>
      </c>
      <c r="C18" s="95" t="s">
        <v>378</v>
      </c>
      <c r="D18" s="108">
        <v>839.23</v>
      </c>
      <c r="E18" s="108">
        <v>150</v>
      </c>
      <c r="F18" s="108">
        <v>213.84829999999999</v>
      </c>
      <c r="G18" s="94">
        <v>0.5</v>
      </c>
      <c r="H18" s="94">
        <f t="shared" si="2"/>
        <v>106.92415</v>
      </c>
      <c r="I18" s="94">
        <f t="shared" si="10"/>
        <v>43.075850000000003</v>
      </c>
      <c r="J18" s="93">
        <f t="shared" si="11"/>
        <v>71.28276666666666</v>
      </c>
      <c r="K18" s="302" t="s">
        <v>422</v>
      </c>
      <c r="L18" s="106">
        <v>1025.3</v>
      </c>
      <c r="M18" s="106">
        <v>150</v>
      </c>
      <c r="N18" s="105">
        <f t="shared" si="8"/>
        <v>213.84829999999999</v>
      </c>
      <c r="O18" s="205">
        <f t="shared" si="12"/>
        <v>43.075850000000003</v>
      </c>
      <c r="P18" s="82" t="str">
        <f t="shared" si="9"/>
        <v>No</v>
      </c>
      <c r="Q18" s="356"/>
      <c r="R18" s="356"/>
      <c r="S18" s="253"/>
      <c r="T18" s="340" t="s">
        <v>477</v>
      </c>
      <c r="U18" s="351">
        <f>U16*AC7</f>
        <v>300</v>
      </c>
      <c r="V18" s="351">
        <f>V16*AC8</f>
        <v>0</v>
      </c>
      <c r="W18" s="351">
        <f>W16*AC9</f>
        <v>0</v>
      </c>
      <c r="X18" s="351">
        <f>X16*AC10</f>
        <v>0</v>
      </c>
      <c r="Y18" s="351">
        <f>Y16*AC11</f>
        <v>0</v>
      </c>
      <c r="Z18" s="340">
        <f>SUM(U18:Y18)</f>
        <v>300</v>
      </c>
      <c r="AA18" s="356"/>
      <c r="AB18" s="356"/>
      <c r="AF18" s="340" t="s">
        <v>528</v>
      </c>
      <c r="AG18" s="351">
        <f>AG16*AC7</f>
        <v>0</v>
      </c>
      <c r="AH18" s="351">
        <f>AH16*AC8</f>
        <v>4500</v>
      </c>
      <c r="AI18" s="351">
        <f>AI16*AC9</f>
        <v>7600</v>
      </c>
      <c r="AJ18" s="351">
        <f>AJ16*AC10</f>
        <v>4000</v>
      </c>
      <c r="AK18" s="351">
        <f>AK16*AC11</f>
        <v>1200</v>
      </c>
      <c r="AL18" s="340">
        <f>SUM(AG18:AK18)</f>
        <v>17300</v>
      </c>
    </row>
    <row r="19" spans="1:38" ht="14.25" customHeight="1" thickBot="1">
      <c r="A19" s="499"/>
      <c r="B19" s="96" t="s">
        <v>12</v>
      </c>
      <c r="C19" s="95" t="s">
        <v>52</v>
      </c>
      <c r="D19" s="108">
        <v>428.91</v>
      </c>
      <c r="E19" s="108">
        <v>200</v>
      </c>
      <c r="F19" s="108">
        <v>320.7817</v>
      </c>
      <c r="G19" s="94">
        <v>0.5</v>
      </c>
      <c r="H19" s="94">
        <f t="shared" si="2"/>
        <v>160.39085</v>
      </c>
      <c r="I19" s="94">
        <f t="shared" si="10"/>
        <v>39.60915</v>
      </c>
      <c r="J19" s="93">
        <f t="shared" si="11"/>
        <v>80.195425</v>
      </c>
      <c r="K19" s="302" t="s">
        <v>421</v>
      </c>
      <c r="L19" s="106">
        <v>440.09</v>
      </c>
      <c r="M19" s="106">
        <v>200</v>
      </c>
      <c r="N19" s="105">
        <f t="shared" si="8"/>
        <v>320.7817</v>
      </c>
      <c r="O19" s="205">
        <f t="shared" si="12"/>
        <v>39.60915</v>
      </c>
      <c r="P19" s="82" t="str">
        <f t="shared" si="9"/>
        <v>No</v>
      </c>
      <c r="Q19" s="356"/>
      <c r="R19" s="356"/>
      <c r="S19" s="253"/>
    </row>
    <row r="20" spans="1:38" ht="14.25" customHeight="1" thickBot="1">
      <c r="A20" s="499"/>
      <c r="B20" s="96" t="s">
        <v>420</v>
      </c>
      <c r="C20" s="95" t="s">
        <v>412</v>
      </c>
      <c r="D20" s="94">
        <v>530.30999999999995</v>
      </c>
      <c r="E20" s="94">
        <v>200</v>
      </c>
      <c r="F20" s="94">
        <v>22.35</v>
      </c>
      <c r="G20" s="73">
        <v>0.5</v>
      </c>
      <c r="H20" s="73">
        <f t="shared" si="2"/>
        <v>11.175000000000001</v>
      </c>
      <c r="I20" s="73">
        <f t="shared" si="10"/>
        <v>188.82499999999999</v>
      </c>
      <c r="J20" s="299">
        <f t="shared" si="11"/>
        <v>5.5875000000000004</v>
      </c>
      <c r="K20" s="301" t="s">
        <v>419</v>
      </c>
      <c r="L20" s="92">
        <v>541.49</v>
      </c>
      <c r="M20" s="92">
        <v>150</v>
      </c>
      <c r="N20" s="91">
        <f t="shared" si="8"/>
        <v>22.35</v>
      </c>
      <c r="O20" s="205">
        <f t="shared" si="12"/>
        <v>138.82499999999999</v>
      </c>
      <c r="P20" s="82" t="str">
        <f t="shared" si="9"/>
        <v>No</v>
      </c>
      <c r="Q20" s="356"/>
      <c r="R20" s="356"/>
      <c r="S20" s="253"/>
    </row>
    <row r="21" spans="1:38" ht="13.5" thickBot="1">
      <c r="A21" s="497" t="s">
        <v>414</v>
      </c>
      <c r="B21" s="87" t="s">
        <v>7</v>
      </c>
      <c r="C21" s="86" t="s">
        <v>48</v>
      </c>
      <c r="D21" s="85">
        <v>457.755</v>
      </c>
      <c r="E21" s="85">
        <v>200</v>
      </c>
      <c r="F21" s="85">
        <v>200.1122</v>
      </c>
      <c r="G21" s="85">
        <v>0.5</v>
      </c>
      <c r="H21" s="85">
        <f t="shared" si="2"/>
        <v>100.0561</v>
      </c>
      <c r="I21" s="94">
        <f t="shared" si="10"/>
        <v>99.943899999999999</v>
      </c>
      <c r="J21" s="93">
        <f t="shared" si="11"/>
        <v>50.02805</v>
      </c>
      <c r="K21" s="100" t="s">
        <v>417</v>
      </c>
      <c r="L21" s="83">
        <v>733.18499999999995</v>
      </c>
      <c r="M21" s="83">
        <v>200</v>
      </c>
      <c r="N21" s="82">
        <f t="shared" si="8"/>
        <v>200.1122</v>
      </c>
      <c r="O21" s="205">
        <f t="shared" si="12"/>
        <v>99.943899999999999</v>
      </c>
      <c r="P21" s="203" t="str">
        <f t="shared" si="9"/>
        <v>No</v>
      </c>
      <c r="Q21" s="356"/>
      <c r="R21" s="356"/>
      <c r="S21" s="253"/>
    </row>
    <row r="22" spans="1:38" ht="14.25" customHeight="1" thickBot="1">
      <c r="A22" s="499"/>
      <c r="B22" s="96" t="s">
        <v>416</v>
      </c>
      <c r="C22" s="95" t="s">
        <v>74</v>
      </c>
      <c r="D22" s="108">
        <v>632.29</v>
      </c>
      <c r="E22" s="108">
        <v>300</v>
      </c>
      <c r="F22" s="108">
        <v>416.14780000000002</v>
      </c>
      <c r="G22" s="94">
        <v>0.5</v>
      </c>
      <c r="H22" s="94">
        <f t="shared" si="2"/>
        <v>208.07390000000001</v>
      </c>
      <c r="I22" s="94">
        <f t="shared" si="10"/>
        <v>91.926099999999991</v>
      </c>
      <c r="J22" s="93">
        <f t="shared" si="11"/>
        <v>69.35796666666667</v>
      </c>
      <c r="K22" s="302" t="s">
        <v>361</v>
      </c>
      <c r="L22" s="106">
        <v>692.19500000000005</v>
      </c>
      <c r="M22" s="106">
        <v>300</v>
      </c>
      <c r="N22" s="105">
        <f t="shared" si="8"/>
        <v>416.14780000000002</v>
      </c>
      <c r="O22" s="205">
        <f t="shared" si="12"/>
        <v>91.926099999999991</v>
      </c>
      <c r="P22" s="82" t="str">
        <f t="shared" si="9"/>
        <v>No</v>
      </c>
      <c r="Q22" s="356"/>
      <c r="R22" s="356"/>
      <c r="S22" s="253"/>
    </row>
    <row r="23" spans="1:38" ht="14.25" customHeight="1" thickBot="1">
      <c r="A23" s="499"/>
      <c r="B23" s="96" t="s">
        <v>415</v>
      </c>
      <c r="C23" s="95" t="s">
        <v>414</v>
      </c>
      <c r="D23" s="108">
        <v>370.31</v>
      </c>
      <c r="E23" s="108">
        <v>200</v>
      </c>
      <c r="F23" s="108">
        <v>24.103000000000002</v>
      </c>
      <c r="G23" s="94">
        <v>0.5</v>
      </c>
      <c r="H23" s="94">
        <f t="shared" si="2"/>
        <v>12.051500000000001</v>
      </c>
      <c r="I23" s="94">
        <f t="shared" si="10"/>
        <v>187.9485</v>
      </c>
      <c r="J23" s="93">
        <f t="shared" si="11"/>
        <v>6.0257500000000004</v>
      </c>
      <c r="K23" s="302" t="s">
        <v>413</v>
      </c>
      <c r="L23" s="106">
        <v>820.63</v>
      </c>
      <c r="M23" s="106">
        <v>150</v>
      </c>
      <c r="N23" s="105">
        <f t="shared" si="8"/>
        <v>24.103000000000002</v>
      </c>
      <c r="O23" s="205">
        <f t="shared" si="12"/>
        <v>137.9485</v>
      </c>
      <c r="P23" s="82" t="str">
        <f t="shared" si="9"/>
        <v>No</v>
      </c>
      <c r="Q23" s="356"/>
      <c r="R23" s="356"/>
      <c r="S23" s="253"/>
      <c r="T23" s="241"/>
      <c r="U23" s="58"/>
      <c r="AA23" s="494" t="s">
        <v>558</v>
      </c>
      <c r="AB23" s="495"/>
      <c r="AC23" s="495"/>
      <c r="AD23" s="495"/>
      <c r="AE23" s="495"/>
      <c r="AF23" s="496"/>
      <c r="AG23" s="166"/>
    </row>
    <row r="24" spans="1:38" ht="14.25" customHeight="1" thickBot="1">
      <c r="A24" s="499"/>
      <c r="B24" s="96" t="s">
        <v>397</v>
      </c>
      <c r="C24" s="95" t="s">
        <v>412</v>
      </c>
      <c r="D24" s="94">
        <v>530.30999999999995</v>
      </c>
      <c r="E24" s="94">
        <v>200</v>
      </c>
      <c r="F24" s="94">
        <v>22.35</v>
      </c>
      <c r="G24" s="73">
        <v>0.5</v>
      </c>
      <c r="H24" s="73">
        <f t="shared" si="2"/>
        <v>11.175000000000001</v>
      </c>
      <c r="I24" s="94">
        <f t="shared" si="10"/>
        <v>188.82499999999999</v>
      </c>
      <c r="J24" s="93">
        <f t="shared" si="11"/>
        <v>5.5875000000000004</v>
      </c>
      <c r="K24" s="301" t="s">
        <v>411</v>
      </c>
      <c r="L24" s="92">
        <v>660.63</v>
      </c>
      <c r="M24" s="92">
        <v>150</v>
      </c>
      <c r="N24" s="91">
        <f t="shared" si="8"/>
        <v>22.35</v>
      </c>
      <c r="O24" s="205">
        <f t="shared" si="12"/>
        <v>138.82499999999999</v>
      </c>
      <c r="P24" s="82" t="str">
        <f t="shared" si="9"/>
        <v>No</v>
      </c>
      <c r="Q24" s="356"/>
      <c r="R24" s="356"/>
      <c r="T24" s="553" t="s">
        <v>454</v>
      </c>
      <c r="U24" s="554"/>
      <c r="V24" s="358"/>
      <c r="AA24" s="336" t="s">
        <v>470</v>
      </c>
      <c r="AB24" s="338" t="s">
        <v>471</v>
      </c>
      <c r="AC24" s="338" t="s">
        <v>472</v>
      </c>
      <c r="AD24" s="337" t="s">
        <v>473</v>
      </c>
      <c r="AE24" s="338" t="s">
        <v>474</v>
      </c>
      <c r="AF24" s="339" t="s">
        <v>527</v>
      </c>
      <c r="AG24" s="340" t="s">
        <v>418</v>
      </c>
    </row>
    <row r="25" spans="1:38" ht="13.5" thickBot="1">
      <c r="A25" s="164" t="s">
        <v>410</v>
      </c>
      <c r="B25" s="87" t="s">
        <v>409</v>
      </c>
      <c r="C25" s="163"/>
      <c r="D25" s="85"/>
      <c r="E25" s="85"/>
      <c r="F25" s="85"/>
      <c r="G25" s="184">
        <v>0.5</v>
      </c>
      <c r="H25" s="184">
        <f t="shared" si="2"/>
        <v>0</v>
      </c>
      <c r="I25" s="184"/>
      <c r="J25" s="183"/>
      <c r="K25" s="100"/>
      <c r="L25" s="83"/>
      <c r="M25" s="83"/>
      <c r="N25" s="82"/>
      <c r="O25" s="100"/>
      <c r="P25" s="82"/>
      <c r="Q25" s="255"/>
      <c r="R25" s="255"/>
      <c r="T25" s="90"/>
      <c r="U25" s="357"/>
      <c r="V25" s="99"/>
      <c r="AA25" s="60" t="s">
        <v>84</v>
      </c>
      <c r="AB25" s="343">
        <f>AG4+U4</f>
        <v>0</v>
      </c>
      <c r="AC25" s="343">
        <f t="shared" ref="AC25:AF36" si="15">AH4+V4</f>
        <v>3</v>
      </c>
      <c r="AD25" s="343">
        <f t="shared" si="15"/>
        <v>2</v>
      </c>
      <c r="AE25" s="343">
        <f t="shared" si="15"/>
        <v>1</v>
      </c>
      <c r="AF25" s="343">
        <f t="shared" si="15"/>
        <v>0</v>
      </c>
      <c r="AG25" s="344">
        <f>SUM(AB25:AF25)</f>
        <v>6</v>
      </c>
    </row>
    <row r="26" spans="1:38" ht="15" customHeight="1" thickBot="1">
      <c r="A26" s="519" t="s">
        <v>408</v>
      </c>
      <c r="B26" s="160" t="s">
        <v>14</v>
      </c>
      <c r="C26" s="86" t="s">
        <v>407</v>
      </c>
      <c r="D26" s="85">
        <v>391.72</v>
      </c>
      <c r="E26" s="84">
        <v>400</v>
      </c>
      <c r="F26" s="85">
        <v>664.51419999999996</v>
      </c>
      <c r="G26" s="85">
        <v>0.5</v>
      </c>
      <c r="H26" s="85">
        <f t="shared" si="2"/>
        <v>332.25709999999998</v>
      </c>
      <c r="I26" s="94">
        <f>E26-H26</f>
        <v>67.74290000000002</v>
      </c>
      <c r="J26" s="93">
        <f>H26/E26*100</f>
        <v>83.064274999999995</v>
      </c>
      <c r="K26" s="100" t="s">
        <v>406</v>
      </c>
      <c r="L26" s="83">
        <v>799.22</v>
      </c>
      <c r="M26" s="83">
        <v>300</v>
      </c>
      <c r="N26" s="82">
        <f t="shared" ref="N26:N56" si="16">F26</f>
        <v>664.51419999999996</v>
      </c>
      <c r="O26" s="124">
        <f>M26-H26</f>
        <v>-32.25709999999998</v>
      </c>
      <c r="P26" s="220" t="str">
        <f t="shared" ref="P26:P56" si="17">IF(O26&gt;=0,"No","Yes")</f>
        <v>Yes</v>
      </c>
      <c r="Q26" s="557" t="s">
        <v>14</v>
      </c>
      <c r="R26" s="560">
        <v>11</v>
      </c>
      <c r="T26" s="138" t="s">
        <v>390</v>
      </c>
      <c r="U26" s="137" t="s">
        <v>389</v>
      </c>
      <c r="V26" s="136" t="s">
        <v>388</v>
      </c>
      <c r="AA26" s="60" t="s">
        <v>85</v>
      </c>
      <c r="AB26" s="343">
        <f t="shared" ref="AB26:AB36" si="18">AG5+U5</f>
        <v>0</v>
      </c>
      <c r="AC26" s="343">
        <f t="shared" si="15"/>
        <v>4</v>
      </c>
      <c r="AD26" s="343">
        <f t="shared" si="15"/>
        <v>3</v>
      </c>
      <c r="AE26" s="343">
        <f t="shared" si="15"/>
        <v>0</v>
      </c>
      <c r="AF26" s="343">
        <f t="shared" si="15"/>
        <v>2</v>
      </c>
      <c r="AG26" s="60">
        <f t="shared" ref="AG26:AG36" si="19">SUM(AB26:AF26)</f>
        <v>9</v>
      </c>
    </row>
    <row r="27" spans="1:38" ht="14.25" customHeight="1" thickBot="1">
      <c r="A27" s="520"/>
      <c r="B27" s="75" t="s">
        <v>360</v>
      </c>
      <c r="C27" s="74" t="s">
        <v>55</v>
      </c>
      <c r="D27" s="157">
        <v>566.26</v>
      </c>
      <c r="E27" s="157">
        <v>300</v>
      </c>
      <c r="F27" s="157">
        <v>424.66829999999999</v>
      </c>
      <c r="G27" s="73">
        <v>0.5</v>
      </c>
      <c r="H27" s="73">
        <f t="shared" si="2"/>
        <v>212.33414999999999</v>
      </c>
      <c r="I27" s="94">
        <f t="shared" ref="I27:I56" si="20">E27-H27</f>
        <v>87.665850000000006</v>
      </c>
      <c r="J27" s="93">
        <f t="shared" ref="J27:J56" si="21">F27/E27*100</f>
        <v>141.55610000000001</v>
      </c>
      <c r="K27" s="300" t="s">
        <v>405</v>
      </c>
      <c r="L27" s="156">
        <v>973.76</v>
      </c>
      <c r="M27" s="156">
        <v>300</v>
      </c>
      <c r="N27" s="71">
        <f t="shared" si="16"/>
        <v>424.66829999999999</v>
      </c>
      <c r="O27" s="237">
        <f>M27-H27</f>
        <v>87.665850000000006</v>
      </c>
      <c r="P27" s="203" t="str">
        <f t="shared" si="17"/>
        <v>No</v>
      </c>
      <c r="Q27" s="558"/>
      <c r="R27" s="562"/>
      <c r="T27" s="133"/>
      <c r="U27" s="132"/>
      <c r="V27" s="99"/>
      <c r="AA27" s="60" t="s">
        <v>86</v>
      </c>
      <c r="AB27" s="343">
        <f t="shared" si="18"/>
        <v>0</v>
      </c>
      <c r="AC27" s="343">
        <f t="shared" si="15"/>
        <v>0</v>
      </c>
      <c r="AD27" s="343">
        <f t="shared" si="15"/>
        <v>2</v>
      </c>
      <c r="AE27" s="343">
        <f t="shared" si="15"/>
        <v>0</v>
      </c>
      <c r="AF27" s="343">
        <f t="shared" si="15"/>
        <v>1</v>
      </c>
      <c r="AG27" s="60">
        <f t="shared" si="19"/>
        <v>3</v>
      </c>
    </row>
    <row r="28" spans="1:38" ht="15" customHeight="1" thickBot="1">
      <c r="A28" s="499" t="s">
        <v>404</v>
      </c>
      <c r="B28" s="63" t="s">
        <v>6</v>
      </c>
      <c r="C28" s="114" t="s">
        <v>47</v>
      </c>
      <c r="D28" s="94">
        <v>341.46499999999997</v>
      </c>
      <c r="E28" s="93">
        <v>400</v>
      </c>
      <c r="F28" s="94">
        <v>414.50749999999999</v>
      </c>
      <c r="G28" s="85">
        <v>0.5</v>
      </c>
      <c r="H28" s="85">
        <f t="shared" si="2"/>
        <v>207.25375</v>
      </c>
      <c r="I28" s="85">
        <f t="shared" si="20"/>
        <v>192.74625</v>
      </c>
      <c r="J28" s="84">
        <f t="shared" si="21"/>
        <v>103.62687500000001</v>
      </c>
      <c r="K28" s="301" t="s">
        <v>403</v>
      </c>
      <c r="L28" s="92">
        <v>849.47500000000002</v>
      </c>
      <c r="M28" s="92">
        <v>400</v>
      </c>
      <c r="N28" s="91">
        <f t="shared" si="16"/>
        <v>414.50749999999999</v>
      </c>
      <c r="O28" s="237">
        <f t="shared" ref="O28:O29" si="22">M28-H28</f>
        <v>192.74625</v>
      </c>
      <c r="P28" s="203" t="str">
        <f t="shared" si="17"/>
        <v>No</v>
      </c>
      <c r="Q28" s="557" t="s">
        <v>351</v>
      </c>
      <c r="R28" s="560" t="s">
        <v>351</v>
      </c>
      <c r="T28" s="133" t="s">
        <v>14</v>
      </c>
      <c r="U28" s="132">
        <v>11</v>
      </c>
      <c r="V28" s="230"/>
      <c r="AA28" s="60" t="s">
        <v>87</v>
      </c>
      <c r="AB28" s="343">
        <f t="shared" si="18"/>
        <v>1</v>
      </c>
      <c r="AC28" s="343">
        <f t="shared" si="15"/>
        <v>7</v>
      </c>
      <c r="AD28" s="343">
        <f t="shared" si="15"/>
        <v>10</v>
      </c>
      <c r="AE28" s="343">
        <f t="shared" si="15"/>
        <v>6</v>
      </c>
      <c r="AF28" s="343">
        <f t="shared" si="15"/>
        <v>0</v>
      </c>
      <c r="AG28" s="60">
        <f t="shared" si="19"/>
        <v>24</v>
      </c>
    </row>
    <row r="29" spans="1:38" ht="14.25" customHeight="1" thickBot="1">
      <c r="A29" s="499"/>
      <c r="B29" s="63" t="s">
        <v>402</v>
      </c>
      <c r="C29" s="114" t="s">
        <v>386</v>
      </c>
      <c r="D29" s="94">
        <v>894.93</v>
      </c>
      <c r="E29" s="93">
        <v>150</v>
      </c>
      <c r="F29" s="94">
        <v>185.4342</v>
      </c>
      <c r="G29" s="94">
        <v>0.5</v>
      </c>
      <c r="H29" s="94">
        <f t="shared" si="2"/>
        <v>92.717100000000002</v>
      </c>
      <c r="I29" s="94">
        <f t="shared" si="20"/>
        <v>57.282899999999998</v>
      </c>
      <c r="J29" s="93">
        <f t="shared" si="21"/>
        <v>123.62280000000001</v>
      </c>
      <c r="K29" s="301" t="s">
        <v>385</v>
      </c>
      <c r="L29" s="92">
        <v>975.03499999999997</v>
      </c>
      <c r="M29" s="92">
        <v>150</v>
      </c>
      <c r="N29" s="91">
        <f t="shared" si="16"/>
        <v>185.4342</v>
      </c>
      <c r="O29" s="237">
        <f t="shared" si="22"/>
        <v>57.282899999999998</v>
      </c>
      <c r="P29" s="203" t="str">
        <f t="shared" si="17"/>
        <v>No</v>
      </c>
      <c r="Q29" s="559"/>
      <c r="R29" s="561"/>
      <c r="T29" s="227" t="s">
        <v>19</v>
      </c>
      <c r="U29" s="226">
        <v>47</v>
      </c>
      <c r="V29" s="89"/>
      <c r="AA29" s="60" t="s">
        <v>88</v>
      </c>
      <c r="AB29" s="343">
        <f t="shared" si="18"/>
        <v>1</v>
      </c>
      <c r="AC29" s="343">
        <f t="shared" si="15"/>
        <v>0</v>
      </c>
      <c r="AD29" s="343">
        <f t="shared" si="15"/>
        <v>7</v>
      </c>
      <c r="AE29" s="343">
        <f t="shared" si="15"/>
        <v>1</v>
      </c>
      <c r="AF29" s="343">
        <f t="shared" si="15"/>
        <v>0</v>
      </c>
      <c r="AG29" s="60">
        <f t="shared" si="19"/>
        <v>9</v>
      </c>
    </row>
    <row r="30" spans="1:38" ht="14.25" customHeight="1" thickBot="1">
      <c r="A30" s="499"/>
      <c r="B30" s="96" t="s">
        <v>401</v>
      </c>
      <c r="C30" s="95" t="s">
        <v>378</v>
      </c>
      <c r="D30" s="108">
        <v>839.23</v>
      </c>
      <c r="E30" s="108">
        <v>150</v>
      </c>
      <c r="F30" s="108">
        <v>213.84829999999999</v>
      </c>
      <c r="G30" s="94">
        <v>0.5</v>
      </c>
      <c r="H30" s="94">
        <f t="shared" si="2"/>
        <v>106.92415</v>
      </c>
      <c r="I30" s="94">
        <f t="shared" si="20"/>
        <v>43.075850000000003</v>
      </c>
      <c r="J30" s="93">
        <f t="shared" si="21"/>
        <v>142.56553333333332</v>
      </c>
      <c r="K30" s="302" t="s">
        <v>400</v>
      </c>
      <c r="L30" s="106">
        <v>1347.24</v>
      </c>
      <c r="M30" s="106">
        <v>100</v>
      </c>
      <c r="N30" s="105">
        <f t="shared" si="16"/>
        <v>213.84829999999999</v>
      </c>
      <c r="O30" s="235">
        <f>M30-H30</f>
        <v>-6.9241499999999974</v>
      </c>
      <c r="P30" s="220" t="str">
        <f t="shared" si="17"/>
        <v>Yes</v>
      </c>
      <c r="Q30" s="559"/>
      <c r="R30" s="561"/>
      <c r="T30" s="165" t="s">
        <v>369</v>
      </c>
      <c r="U30" s="259">
        <f>SUM(U27:U29)</f>
        <v>58</v>
      </c>
      <c r="V30" s="357"/>
      <c r="AA30" s="60" t="s">
        <v>89</v>
      </c>
      <c r="AB30" s="343">
        <f t="shared" si="18"/>
        <v>0</v>
      </c>
      <c r="AC30" s="343">
        <f t="shared" si="15"/>
        <v>5</v>
      </c>
      <c r="AD30" s="343">
        <f t="shared" si="15"/>
        <v>1</v>
      </c>
      <c r="AE30" s="343">
        <f t="shared" si="15"/>
        <v>1</v>
      </c>
      <c r="AF30" s="343">
        <f t="shared" si="15"/>
        <v>0</v>
      </c>
      <c r="AG30" s="60">
        <f t="shared" si="19"/>
        <v>7</v>
      </c>
    </row>
    <row r="31" spans="1:38" ht="14.25" customHeight="1" thickBot="1">
      <c r="A31" s="499"/>
      <c r="B31" s="96" t="s">
        <v>399</v>
      </c>
      <c r="C31" s="95" t="s">
        <v>52</v>
      </c>
      <c r="D31" s="94">
        <v>428.91</v>
      </c>
      <c r="E31" s="93">
        <v>200</v>
      </c>
      <c r="F31" s="94">
        <v>320.7817</v>
      </c>
      <c r="G31" s="94">
        <v>0.5</v>
      </c>
      <c r="H31" s="94">
        <f t="shared" si="2"/>
        <v>160.39085</v>
      </c>
      <c r="I31" s="94">
        <f t="shared" si="20"/>
        <v>39.60915</v>
      </c>
      <c r="J31" s="93">
        <f t="shared" si="21"/>
        <v>160.39085</v>
      </c>
      <c r="K31" s="301" t="s">
        <v>398</v>
      </c>
      <c r="L31" s="92">
        <v>762.03</v>
      </c>
      <c r="M31" s="92">
        <v>150</v>
      </c>
      <c r="N31" s="91">
        <f t="shared" si="16"/>
        <v>320.7817</v>
      </c>
      <c r="O31" s="235">
        <f>M31-H31</f>
        <v>-10.39085</v>
      </c>
      <c r="P31" s="220" t="str">
        <f t="shared" si="17"/>
        <v>Yes</v>
      </c>
      <c r="Q31" s="559"/>
      <c r="R31" s="561"/>
      <c r="T31" s="258" t="s">
        <v>365</v>
      </c>
      <c r="U31" s="257">
        <f>U30/9100.11497</f>
        <v>6.3735458498278726E-3</v>
      </c>
      <c r="V31" s="357"/>
      <c r="W31" s="357"/>
      <c r="X31" s="17"/>
      <c r="AA31" s="60" t="s">
        <v>90</v>
      </c>
      <c r="AB31" s="343">
        <f t="shared" si="18"/>
        <v>0</v>
      </c>
      <c r="AC31" s="343">
        <f t="shared" si="15"/>
        <v>0</v>
      </c>
      <c r="AD31" s="343">
        <f t="shared" si="15"/>
        <v>1</v>
      </c>
      <c r="AE31" s="343">
        <f t="shared" si="15"/>
        <v>1</v>
      </c>
      <c r="AF31" s="343">
        <f t="shared" si="15"/>
        <v>1</v>
      </c>
      <c r="AG31" s="60">
        <f t="shared" si="19"/>
        <v>3</v>
      </c>
    </row>
    <row r="32" spans="1:38" ht="14.25" customHeight="1" thickBot="1">
      <c r="A32" s="499"/>
      <c r="B32" s="96" t="s">
        <v>396</v>
      </c>
      <c r="C32" s="95" t="s">
        <v>56</v>
      </c>
      <c r="D32" s="94">
        <v>268.91000000000003</v>
      </c>
      <c r="E32" s="94">
        <v>250</v>
      </c>
      <c r="F32" s="94">
        <v>277.57420000000002</v>
      </c>
      <c r="G32" s="73">
        <v>0.5</v>
      </c>
      <c r="H32" s="73">
        <f t="shared" si="2"/>
        <v>138.78710000000001</v>
      </c>
      <c r="I32" s="73">
        <f t="shared" si="20"/>
        <v>111.21289999999999</v>
      </c>
      <c r="J32" s="299">
        <f t="shared" si="21"/>
        <v>111.02968</v>
      </c>
      <c r="K32" s="301" t="s">
        <v>395</v>
      </c>
      <c r="L32" s="92">
        <v>922.03</v>
      </c>
      <c r="M32" s="92">
        <v>250</v>
      </c>
      <c r="N32" s="105">
        <f t="shared" si="16"/>
        <v>277.57420000000002</v>
      </c>
      <c r="O32" s="143">
        <f>M32-H32</f>
        <v>111.21289999999999</v>
      </c>
      <c r="P32" s="203" t="str">
        <f t="shared" si="17"/>
        <v>No</v>
      </c>
      <c r="Q32" s="558"/>
      <c r="R32" s="562"/>
      <c r="T32" s="135"/>
      <c r="U32" s="135"/>
      <c r="V32" s="135"/>
      <c r="W32" s="357"/>
      <c r="AA32" s="60" t="s">
        <v>91</v>
      </c>
      <c r="AB32" s="343">
        <f t="shared" si="18"/>
        <v>0</v>
      </c>
      <c r="AC32" s="343">
        <f t="shared" si="15"/>
        <v>7</v>
      </c>
      <c r="AD32" s="343">
        <f t="shared" si="15"/>
        <v>2</v>
      </c>
      <c r="AE32" s="343">
        <f t="shared" si="15"/>
        <v>1</v>
      </c>
      <c r="AF32" s="343">
        <f t="shared" si="15"/>
        <v>0</v>
      </c>
      <c r="AG32" s="60">
        <f t="shared" si="19"/>
        <v>10</v>
      </c>
    </row>
    <row r="33" spans="1:33" ht="13.5" thickBot="1">
      <c r="A33" s="497" t="s">
        <v>382</v>
      </c>
      <c r="B33" s="87" t="s">
        <v>393</v>
      </c>
      <c r="C33" s="86" t="s">
        <v>392</v>
      </c>
      <c r="D33" s="85">
        <v>774.56</v>
      </c>
      <c r="E33" s="85">
        <v>450</v>
      </c>
      <c r="F33" s="85">
        <v>593.39</v>
      </c>
      <c r="G33" s="85">
        <v>0.5</v>
      </c>
      <c r="H33" s="85">
        <f t="shared" si="2"/>
        <v>296.69499999999999</v>
      </c>
      <c r="I33" s="94">
        <f t="shared" si="20"/>
        <v>153.30500000000001</v>
      </c>
      <c r="J33" s="93">
        <f t="shared" si="21"/>
        <v>131.86444444444444</v>
      </c>
      <c r="K33" s="100" t="s">
        <v>391</v>
      </c>
      <c r="L33" s="83">
        <v>778.62</v>
      </c>
      <c r="M33" s="83">
        <v>450</v>
      </c>
      <c r="N33" s="82">
        <f t="shared" si="16"/>
        <v>593.39</v>
      </c>
      <c r="O33" s="205">
        <f>M33-H33</f>
        <v>153.30500000000001</v>
      </c>
      <c r="P33" s="203" t="str">
        <f t="shared" si="17"/>
        <v>No</v>
      </c>
      <c r="Q33" s="239"/>
      <c r="R33" s="239"/>
      <c r="S33" s="253"/>
      <c r="T33" s="256"/>
      <c r="U33" s="256"/>
      <c r="V33" s="135"/>
      <c r="AA33" s="60" t="s">
        <v>92</v>
      </c>
      <c r="AB33" s="343">
        <f t="shared" si="18"/>
        <v>0</v>
      </c>
      <c r="AC33" s="343">
        <f t="shared" si="15"/>
        <v>2</v>
      </c>
      <c r="AD33" s="343">
        <f t="shared" si="15"/>
        <v>5</v>
      </c>
      <c r="AE33" s="343">
        <f t="shared" si="15"/>
        <v>0</v>
      </c>
      <c r="AF33" s="343">
        <f t="shared" si="15"/>
        <v>0</v>
      </c>
      <c r="AG33" s="60">
        <f t="shared" si="19"/>
        <v>7</v>
      </c>
    </row>
    <row r="34" spans="1:33" ht="14.25" customHeight="1" thickBot="1">
      <c r="A34" s="499"/>
      <c r="B34" s="96" t="s">
        <v>387</v>
      </c>
      <c r="C34" s="95" t="s">
        <v>386</v>
      </c>
      <c r="D34" s="108">
        <v>894.93</v>
      </c>
      <c r="E34" s="107">
        <v>150</v>
      </c>
      <c r="F34" s="108">
        <v>185.4342</v>
      </c>
      <c r="G34" s="94">
        <v>0.5</v>
      </c>
      <c r="H34" s="94">
        <f t="shared" si="2"/>
        <v>92.717100000000002</v>
      </c>
      <c r="I34" s="94">
        <f t="shared" si="20"/>
        <v>57.282899999999998</v>
      </c>
      <c r="J34" s="93">
        <f t="shared" si="21"/>
        <v>123.62280000000001</v>
      </c>
      <c r="K34" s="302" t="s">
        <v>385</v>
      </c>
      <c r="L34" s="106">
        <v>975.03499999999997</v>
      </c>
      <c r="M34" s="106">
        <v>150</v>
      </c>
      <c r="N34" s="105">
        <f t="shared" si="16"/>
        <v>185.4342</v>
      </c>
      <c r="O34" s="205">
        <f t="shared" ref="O34:O56" si="23">M34-H34</f>
        <v>57.282899999999998</v>
      </c>
      <c r="P34" s="203" t="str">
        <f t="shared" si="17"/>
        <v>No</v>
      </c>
      <c r="Q34" s="356"/>
      <c r="R34" s="356"/>
      <c r="S34" s="253"/>
      <c r="T34" s="135"/>
      <c r="U34" s="135"/>
      <c r="V34" s="135"/>
      <c r="AA34" s="60" t="s">
        <v>93</v>
      </c>
      <c r="AB34" s="343">
        <f t="shared" si="18"/>
        <v>1</v>
      </c>
      <c r="AC34" s="343">
        <f t="shared" si="15"/>
        <v>0</v>
      </c>
      <c r="AD34" s="343">
        <f t="shared" si="15"/>
        <v>2</v>
      </c>
      <c r="AE34" s="343">
        <f t="shared" si="15"/>
        <v>2</v>
      </c>
      <c r="AF34" s="343">
        <f t="shared" si="15"/>
        <v>0</v>
      </c>
      <c r="AG34" s="60">
        <f t="shared" si="19"/>
        <v>5</v>
      </c>
    </row>
    <row r="35" spans="1:33" ht="14.25" customHeight="1" thickBot="1">
      <c r="A35" s="499"/>
      <c r="B35" s="96" t="s">
        <v>383</v>
      </c>
      <c r="C35" s="95" t="s">
        <v>382</v>
      </c>
      <c r="D35" s="94">
        <v>553.46500000000003</v>
      </c>
      <c r="E35" s="93">
        <v>300</v>
      </c>
      <c r="F35" s="94">
        <v>491.47570000000002</v>
      </c>
      <c r="G35" s="73">
        <v>0.5</v>
      </c>
      <c r="H35" s="73">
        <f t="shared" si="2"/>
        <v>245.73785000000001</v>
      </c>
      <c r="I35" s="94">
        <f t="shared" si="20"/>
        <v>54.262149999999991</v>
      </c>
      <c r="J35" s="93">
        <f t="shared" si="21"/>
        <v>163.82523333333333</v>
      </c>
      <c r="K35" s="301" t="s">
        <v>381</v>
      </c>
      <c r="L35" s="92">
        <v>660.12</v>
      </c>
      <c r="M35" s="92">
        <v>300</v>
      </c>
      <c r="N35" s="91">
        <f t="shared" si="16"/>
        <v>491.47570000000002</v>
      </c>
      <c r="O35" s="205">
        <f t="shared" si="23"/>
        <v>54.262149999999991</v>
      </c>
      <c r="P35" s="203" t="str">
        <f t="shared" si="17"/>
        <v>No</v>
      </c>
      <c r="Q35" s="356"/>
      <c r="R35" s="356"/>
      <c r="S35" s="253"/>
      <c r="T35" s="256"/>
      <c r="U35" s="135"/>
      <c r="V35" s="135"/>
      <c r="W35" s="357"/>
      <c r="AA35" s="60" t="s">
        <v>94</v>
      </c>
      <c r="AB35" s="343">
        <f t="shared" si="18"/>
        <v>0</v>
      </c>
      <c r="AC35" s="343">
        <f t="shared" si="15"/>
        <v>1</v>
      </c>
      <c r="AD35" s="343">
        <f t="shared" si="15"/>
        <v>2</v>
      </c>
      <c r="AE35" s="343">
        <f t="shared" si="15"/>
        <v>3</v>
      </c>
      <c r="AF35" s="343">
        <f t="shared" si="15"/>
        <v>0</v>
      </c>
      <c r="AG35" s="60">
        <f t="shared" si="19"/>
        <v>6</v>
      </c>
    </row>
    <row r="36" spans="1:33" ht="13.5" thickBot="1">
      <c r="A36" s="497" t="s">
        <v>375</v>
      </c>
      <c r="B36" s="87" t="s">
        <v>379</v>
      </c>
      <c r="C36" s="86" t="s">
        <v>378</v>
      </c>
      <c r="D36" s="85">
        <v>839.23</v>
      </c>
      <c r="E36" s="84">
        <v>150</v>
      </c>
      <c r="F36" s="85">
        <v>213.84829999999999</v>
      </c>
      <c r="G36" s="85">
        <v>0.5</v>
      </c>
      <c r="H36" s="85">
        <f t="shared" si="2"/>
        <v>106.92415</v>
      </c>
      <c r="I36" s="85">
        <f t="shared" si="20"/>
        <v>43.075850000000003</v>
      </c>
      <c r="J36" s="84">
        <f t="shared" si="21"/>
        <v>142.56553333333332</v>
      </c>
      <c r="K36" s="100" t="s">
        <v>377</v>
      </c>
      <c r="L36" s="83">
        <v>844.89</v>
      </c>
      <c r="M36" s="83">
        <v>150</v>
      </c>
      <c r="N36" s="82">
        <f t="shared" si="16"/>
        <v>213.84829999999999</v>
      </c>
      <c r="O36" s="205">
        <f t="shared" si="23"/>
        <v>43.075850000000003</v>
      </c>
      <c r="P36" s="203" t="str">
        <f t="shared" si="17"/>
        <v>No</v>
      </c>
      <c r="Q36" s="356"/>
      <c r="R36" s="356"/>
      <c r="S36" s="253"/>
      <c r="AA36" s="326" t="s">
        <v>469</v>
      </c>
      <c r="AB36" s="343">
        <f t="shared" si="18"/>
        <v>0</v>
      </c>
      <c r="AC36" s="343">
        <f t="shared" si="15"/>
        <v>1</v>
      </c>
      <c r="AD36" s="343">
        <f t="shared" si="15"/>
        <v>1</v>
      </c>
      <c r="AE36" s="343">
        <f t="shared" si="15"/>
        <v>0</v>
      </c>
      <c r="AF36" s="343">
        <f t="shared" si="15"/>
        <v>0</v>
      </c>
      <c r="AG36" s="326">
        <f t="shared" si="19"/>
        <v>2</v>
      </c>
    </row>
    <row r="37" spans="1:33" ht="14.25" customHeight="1" thickBot="1">
      <c r="A37" s="499"/>
      <c r="B37" s="96" t="s">
        <v>376</v>
      </c>
      <c r="C37" s="95" t="s">
        <v>375</v>
      </c>
      <c r="D37" s="94">
        <v>497.76499999999999</v>
      </c>
      <c r="E37" s="94">
        <v>800</v>
      </c>
      <c r="F37" s="94">
        <v>1151.328</v>
      </c>
      <c r="G37" s="73">
        <v>0.5</v>
      </c>
      <c r="H37" s="73">
        <f t="shared" si="2"/>
        <v>575.66399999999999</v>
      </c>
      <c r="I37" s="73">
        <f t="shared" si="20"/>
        <v>224.33600000000001</v>
      </c>
      <c r="J37" s="299">
        <f t="shared" si="21"/>
        <v>143.916</v>
      </c>
      <c r="K37" s="301" t="s">
        <v>374</v>
      </c>
      <c r="L37" s="92">
        <v>503.42500000000001</v>
      </c>
      <c r="M37" s="92">
        <v>800</v>
      </c>
      <c r="N37" s="91">
        <f t="shared" si="16"/>
        <v>1151.328</v>
      </c>
      <c r="O37" s="205">
        <f t="shared" si="23"/>
        <v>224.33600000000001</v>
      </c>
      <c r="P37" s="203" t="str">
        <f t="shared" si="17"/>
        <v>No</v>
      </c>
      <c r="Q37" s="255"/>
      <c r="R37" s="255"/>
      <c r="S37" s="253"/>
      <c r="AA37" s="340" t="s">
        <v>479</v>
      </c>
      <c r="AB37" s="349">
        <f>SUM(AB25:AB36)</f>
        <v>3</v>
      </c>
      <c r="AC37" s="349">
        <f>SUM(AC25:AC36)</f>
        <v>30</v>
      </c>
      <c r="AD37" s="349">
        <f>SUM(AD25:AD36)</f>
        <v>38</v>
      </c>
      <c r="AE37" s="349">
        <f>SUM(AE25:AE36)</f>
        <v>16</v>
      </c>
      <c r="AF37" s="349">
        <f>SUM(AF25:AF36)</f>
        <v>4</v>
      </c>
      <c r="AG37" s="350">
        <f t="shared" ref="AG37" si="24">SUM(AG25:AG36)</f>
        <v>91</v>
      </c>
    </row>
    <row r="38" spans="1:33" ht="13.5" thickBot="1">
      <c r="A38" s="353" t="s">
        <v>372</v>
      </c>
      <c r="B38" s="87" t="s">
        <v>373</v>
      </c>
      <c r="C38" s="86" t="s">
        <v>372</v>
      </c>
      <c r="D38" s="85">
        <v>285.27999999999997</v>
      </c>
      <c r="E38" s="85">
        <v>500</v>
      </c>
      <c r="F38" s="85">
        <v>779.52329999999995</v>
      </c>
      <c r="G38" s="184">
        <v>0.5</v>
      </c>
      <c r="H38" s="184">
        <f t="shared" si="2"/>
        <v>389.76164999999997</v>
      </c>
      <c r="I38" s="94">
        <f t="shared" si="20"/>
        <v>110.23835000000003</v>
      </c>
      <c r="J38" s="93">
        <f t="shared" si="21"/>
        <v>155.90465999999998</v>
      </c>
      <c r="K38" s="100" t="s">
        <v>371</v>
      </c>
      <c r="L38" s="83">
        <v>539.80499999999995</v>
      </c>
      <c r="M38" s="83">
        <v>300</v>
      </c>
      <c r="N38" s="82">
        <f t="shared" si="16"/>
        <v>779.52329999999995</v>
      </c>
      <c r="O38" s="281">
        <f t="shared" si="23"/>
        <v>-89.761649999999975</v>
      </c>
      <c r="P38" s="220" t="str">
        <f t="shared" si="17"/>
        <v>Yes</v>
      </c>
      <c r="Q38" s="222" t="s">
        <v>19</v>
      </c>
      <c r="R38" s="221">
        <v>47</v>
      </c>
      <c r="AA38" s="340" t="s">
        <v>478</v>
      </c>
      <c r="AB38" s="351">
        <f>PRODUCT(AB37*AD7)</f>
        <v>45</v>
      </c>
      <c r="AC38" s="416">
        <f>PRODUCT(AC37*AD8)</f>
        <v>491.06700000000001</v>
      </c>
      <c r="AD38" s="416">
        <f>PRODUCT(AD37*AD9)</f>
        <v>636.37459999999999</v>
      </c>
      <c r="AE38" s="416">
        <f>PRODUCT(AE37*AD10)</f>
        <v>270.18560000000002</v>
      </c>
      <c r="AF38" s="416">
        <f>PRODUCT(AF37*AD11)</f>
        <v>68</v>
      </c>
      <c r="AG38" s="421">
        <f>SUM(AB38:AF38)</f>
        <v>1510.6272000000001</v>
      </c>
    </row>
    <row r="39" spans="1:33" ht="13.5" thickBot="1">
      <c r="A39" s="497" t="s">
        <v>60</v>
      </c>
      <c r="B39" s="87" t="s">
        <v>368</v>
      </c>
      <c r="C39" s="86" t="s">
        <v>367</v>
      </c>
      <c r="D39" s="85">
        <v>239.47</v>
      </c>
      <c r="E39" s="84">
        <v>750</v>
      </c>
      <c r="F39" s="85">
        <v>886.15449999999998</v>
      </c>
      <c r="G39" s="85">
        <v>0.5</v>
      </c>
      <c r="H39" s="85">
        <f t="shared" si="2"/>
        <v>443.07724999999999</v>
      </c>
      <c r="I39" s="85">
        <f t="shared" si="20"/>
        <v>306.92275000000001</v>
      </c>
      <c r="J39" s="84">
        <f t="shared" si="21"/>
        <v>118.15393333333333</v>
      </c>
      <c r="K39" s="100" t="s">
        <v>366</v>
      </c>
      <c r="L39" s="83">
        <v>585.61500000000001</v>
      </c>
      <c r="M39" s="83">
        <v>450</v>
      </c>
      <c r="N39" s="82">
        <f t="shared" si="16"/>
        <v>886.15449999999998</v>
      </c>
      <c r="O39" s="205">
        <f t="shared" si="23"/>
        <v>6.9227500000000077</v>
      </c>
      <c r="P39" s="203" t="str">
        <f t="shared" si="17"/>
        <v>No</v>
      </c>
      <c r="Q39" s="219" t="s">
        <v>351</v>
      </c>
      <c r="R39" s="218" t="s">
        <v>351</v>
      </c>
      <c r="AA39" s="340" t="s">
        <v>528</v>
      </c>
      <c r="AB39" s="351">
        <f>AB37*AC7</f>
        <v>300</v>
      </c>
      <c r="AC39" s="351">
        <f>AC37*AC8</f>
        <v>4500</v>
      </c>
      <c r="AD39" s="351">
        <f>AD37*AC9</f>
        <v>7600</v>
      </c>
      <c r="AE39" s="351">
        <f>AE37*AC10</f>
        <v>4000</v>
      </c>
      <c r="AF39" s="351">
        <f>AF37*AC11</f>
        <v>1200</v>
      </c>
      <c r="AG39" s="340">
        <f>SUM(AB39:AF39)</f>
        <v>17600</v>
      </c>
    </row>
    <row r="40" spans="1:33" ht="14.25" customHeight="1" thickBot="1">
      <c r="A40" s="498"/>
      <c r="B40" s="75" t="s">
        <v>364</v>
      </c>
      <c r="C40" s="74" t="s">
        <v>61</v>
      </c>
      <c r="D40" s="73">
        <v>381.34</v>
      </c>
      <c r="E40" s="73">
        <v>200</v>
      </c>
      <c r="F40" s="73">
        <v>233.80699999999999</v>
      </c>
      <c r="G40" s="73">
        <v>0.5</v>
      </c>
      <c r="H40" s="73">
        <f t="shared" si="2"/>
        <v>116.90349999999999</v>
      </c>
      <c r="I40" s="73">
        <f t="shared" si="20"/>
        <v>83.096500000000006</v>
      </c>
      <c r="J40" s="299">
        <f t="shared" si="21"/>
        <v>116.90350000000001</v>
      </c>
      <c r="K40" s="303" t="s">
        <v>328</v>
      </c>
      <c r="L40" s="72">
        <v>673.16499999999996</v>
      </c>
      <c r="M40" s="72">
        <v>150</v>
      </c>
      <c r="N40" s="119">
        <f t="shared" si="16"/>
        <v>233.80699999999999</v>
      </c>
      <c r="O40" s="205">
        <f t="shared" si="23"/>
        <v>33.096500000000006</v>
      </c>
      <c r="P40" s="203" t="str">
        <f t="shared" si="17"/>
        <v>No</v>
      </c>
      <c r="Q40" s="217"/>
      <c r="R40" s="216"/>
    </row>
    <row r="41" spans="1:33" ht="13.5" thickBot="1">
      <c r="A41" s="499" t="s">
        <v>363</v>
      </c>
      <c r="B41" s="63" t="s">
        <v>362</v>
      </c>
      <c r="C41" s="114" t="s">
        <v>74</v>
      </c>
      <c r="D41" s="94">
        <v>632.29499999999996</v>
      </c>
      <c r="E41" s="94">
        <v>300</v>
      </c>
      <c r="F41" s="94">
        <v>416.14780000000002</v>
      </c>
      <c r="G41" s="85">
        <v>0.5</v>
      </c>
      <c r="H41" s="85">
        <f t="shared" si="2"/>
        <v>208.07390000000001</v>
      </c>
      <c r="I41" s="94">
        <f t="shared" si="20"/>
        <v>91.926099999999991</v>
      </c>
      <c r="J41" s="93">
        <f t="shared" si="21"/>
        <v>138.71593333333334</v>
      </c>
      <c r="K41" s="301" t="s">
        <v>361</v>
      </c>
      <c r="L41" s="92">
        <v>692.19500000000005</v>
      </c>
      <c r="M41" s="92">
        <v>300</v>
      </c>
      <c r="N41" s="91">
        <f t="shared" si="16"/>
        <v>416.14780000000002</v>
      </c>
      <c r="O41" s="205">
        <f t="shared" si="23"/>
        <v>91.926099999999991</v>
      </c>
      <c r="P41" s="203" t="str">
        <f t="shared" si="17"/>
        <v>No</v>
      </c>
      <c r="Q41" s="239"/>
      <c r="R41" s="239"/>
    </row>
    <row r="42" spans="1:33" ht="14.25" customHeight="1" thickBot="1">
      <c r="A42" s="499"/>
      <c r="B42" s="96" t="s">
        <v>360</v>
      </c>
      <c r="C42" s="95" t="s">
        <v>55</v>
      </c>
      <c r="D42" s="108">
        <v>566.26</v>
      </c>
      <c r="E42" s="108">
        <v>300</v>
      </c>
      <c r="F42" s="108">
        <v>424.66829999999999</v>
      </c>
      <c r="G42" s="94">
        <v>0.5</v>
      </c>
      <c r="H42" s="94">
        <f t="shared" si="2"/>
        <v>212.33414999999999</v>
      </c>
      <c r="I42" s="94">
        <f t="shared" si="20"/>
        <v>87.665850000000006</v>
      </c>
      <c r="J42" s="93">
        <f t="shared" si="21"/>
        <v>141.55610000000001</v>
      </c>
      <c r="K42" s="302" t="s">
        <v>359</v>
      </c>
      <c r="L42" s="106">
        <v>1033.6600000000001</v>
      </c>
      <c r="M42" s="106">
        <v>300</v>
      </c>
      <c r="N42" s="105">
        <f t="shared" si="16"/>
        <v>424.66829999999999</v>
      </c>
      <c r="O42" s="205">
        <f t="shared" si="23"/>
        <v>87.665850000000006</v>
      </c>
      <c r="P42" s="203" t="str">
        <f t="shared" si="17"/>
        <v>No</v>
      </c>
      <c r="Q42" s="356"/>
      <c r="R42" s="356"/>
      <c r="S42" s="253"/>
    </row>
    <row r="43" spans="1:33" ht="14.25" customHeight="1" thickBot="1">
      <c r="A43" s="499"/>
      <c r="B43" s="96" t="s">
        <v>358</v>
      </c>
      <c r="C43" s="95" t="s">
        <v>62</v>
      </c>
      <c r="D43" s="94">
        <v>174.54</v>
      </c>
      <c r="E43" s="94">
        <v>250</v>
      </c>
      <c r="F43" s="94">
        <v>80.336669999999998</v>
      </c>
      <c r="G43" s="73">
        <v>0.5</v>
      </c>
      <c r="H43" s="73">
        <f t="shared" si="2"/>
        <v>40.168334999999999</v>
      </c>
      <c r="I43" s="94">
        <f t="shared" si="20"/>
        <v>209.83166499999999</v>
      </c>
      <c r="J43" s="93">
        <f t="shared" si="21"/>
        <v>32.134667999999998</v>
      </c>
      <c r="K43" s="301" t="s">
        <v>357</v>
      </c>
      <c r="L43" s="92">
        <v>811.21</v>
      </c>
      <c r="M43" s="92">
        <v>150</v>
      </c>
      <c r="N43" s="105">
        <f t="shared" si="16"/>
        <v>80.336669999999998</v>
      </c>
      <c r="O43" s="205">
        <f t="shared" si="23"/>
        <v>109.831665</v>
      </c>
      <c r="P43" s="203" t="str">
        <f t="shared" si="17"/>
        <v>No</v>
      </c>
      <c r="Q43" s="356"/>
      <c r="R43" s="356"/>
      <c r="S43" s="253"/>
    </row>
    <row r="44" spans="1:33" ht="13.5" thickBot="1">
      <c r="A44" s="353" t="s">
        <v>355</v>
      </c>
      <c r="B44" s="87" t="s">
        <v>356</v>
      </c>
      <c r="C44" s="86" t="s">
        <v>355</v>
      </c>
      <c r="D44" s="85">
        <v>517.28</v>
      </c>
      <c r="E44" s="85">
        <v>200</v>
      </c>
      <c r="F44" s="85">
        <v>67.241829999999993</v>
      </c>
      <c r="G44" s="184">
        <v>0.5</v>
      </c>
      <c r="H44" s="184">
        <f t="shared" si="2"/>
        <v>33.620914999999997</v>
      </c>
      <c r="I44" s="184">
        <f t="shared" si="20"/>
        <v>166.379085</v>
      </c>
      <c r="J44" s="183">
        <f t="shared" si="21"/>
        <v>33.620914999999997</v>
      </c>
      <c r="K44" s="100" t="s">
        <v>354</v>
      </c>
      <c r="L44" s="83">
        <v>607.995</v>
      </c>
      <c r="M44" s="83">
        <v>150</v>
      </c>
      <c r="N44" s="82">
        <f t="shared" si="16"/>
        <v>67.241829999999993</v>
      </c>
      <c r="O44" s="205">
        <f t="shared" si="23"/>
        <v>116.379085</v>
      </c>
      <c r="P44" s="203" t="str">
        <f t="shared" si="17"/>
        <v>No</v>
      </c>
      <c r="Q44" s="356"/>
      <c r="R44" s="356"/>
      <c r="S44" s="253"/>
    </row>
    <row r="45" spans="1:33" ht="13.5" thickBot="1">
      <c r="A45" s="497" t="s">
        <v>349</v>
      </c>
      <c r="B45" s="87" t="s">
        <v>353</v>
      </c>
      <c r="C45" s="86" t="s">
        <v>342</v>
      </c>
      <c r="D45" s="85">
        <v>592.98500000000001</v>
      </c>
      <c r="E45" s="85">
        <v>150</v>
      </c>
      <c r="F45" s="85">
        <v>175.91919999999999</v>
      </c>
      <c r="G45" s="85">
        <v>0.5</v>
      </c>
      <c r="H45" s="85">
        <f t="shared" si="2"/>
        <v>87.959599999999995</v>
      </c>
      <c r="I45" s="94">
        <f t="shared" si="20"/>
        <v>62.040400000000005</v>
      </c>
      <c r="J45" s="93">
        <f t="shared" si="21"/>
        <v>117.27946666666666</v>
      </c>
      <c r="K45" s="100" t="s">
        <v>352</v>
      </c>
      <c r="L45" s="83">
        <v>1051.23</v>
      </c>
      <c r="M45" s="83">
        <v>150</v>
      </c>
      <c r="N45" s="82">
        <f t="shared" si="16"/>
        <v>175.91919999999999</v>
      </c>
      <c r="O45" s="205">
        <f t="shared" si="23"/>
        <v>62.040400000000005</v>
      </c>
      <c r="P45" s="203" t="str">
        <f t="shared" si="17"/>
        <v>No</v>
      </c>
      <c r="Q45" s="356"/>
      <c r="R45" s="356"/>
      <c r="S45" s="253"/>
    </row>
    <row r="46" spans="1:33" ht="14.25" customHeight="1" thickBot="1">
      <c r="A46" s="499"/>
      <c r="B46" s="96" t="s">
        <v>350</v>
      </c>
      <c r="C46" s="95" t="s">
        <v>349</v>
      </c>
      <c r="D46" s="108">
        <v>374.84</v>
      </c>
      <c r="E46" s="108">
        <v>200</v>
      </c>
      <c r="F46" s="108">
        <v>115.1143</v>
      </c>
      <c r="G46" s="94">
        <v>0.5</v>
      </c>
      <c r="H46" s="94">
        <f t="shared" si="2"/>
        <v>57.55715</v>
      </c>
      <c r="I46" s="94">
        <f t="shared" si="20"/>
        <v>142.44284999999999</v>
      </c>
      <c r="J46" s="93">
        <f t="shared" si="21"/>
        <v>57.55715</v>
      </c>
      <c r="K46" s="302" t="s">
        <v>348</v>
      </c>
      <c r="L46" s="106">
        <v>838.745</v>
      </c>
      <c r="M46" s="106">
        <v>150</v>
      </c>
      <c r="N46" s="105">
        <f t="shared" si="16"/>
        <v>115.1143</v>
      </c>
      <c r="O46" s="205">
        <f t="shared" si="23"/>
        <v>92.442849999999993</v>
      </c>
      <c r="P46" s="203" t="str">
        <f t="shared" si="17"/>
        <v>No</v>
      </c>
      <c r="Q46" s="356"/>
      <c r="R46" s="356"/>
      <c r="S46" s="253"/>
    </row>
    <row r="47" spans="1:33" ht="14.25" customHeight="1" thickBot="1">
      <c r="A47" s="499"/>
      <c r="B47" s="96" t="s">
        <v>347</v>
      </c>
      <c r="C47" s="95" t="s">
        <v>335</v>
      </c>
      <c r="D47" s="108">
        <v>675.17499999999995</v>
      </c>
      <c r="E47" s="108">
        <v>150</v>
      </c>
      <c r="F47" s="108">
        <v>87.5685</v>
      </c>
      <c r="G47" s="94">
        <v>0.5</v>
      </c>
      <c r="H47" s="94">
        <f t="shared" si="2"/>
        <v>43.78425</v>
      </c>
      <c r="I47" s="94">
        <f t="shared" si="20"/>
        <v>106.21575</v>
      </c>
      <c r="J47" s="93">
        <f t="shared" si="21"/>
        <v>58.379000000000005</v>
      </c>
      <c r="K47" s="302" t="s">
        <v>346</v>
      </c>
      <c r="L47" s="106">
        <v>792.93499999999995</v>
      </c>
      <c r="M47" s="106">
        <v>150</v>
      </c>
      <c r="N47" s="105">
        <f t="shared" si="16"/>
        <v>87.5685</v>
      </c>
      <c r="O47" s="205">
        <f t="shared" si="23"/>
        <v>106.21575</v>
      </c>
      <c r="P47" s="203" t="str">
        <f t="shared" si="17"/>
        <v>No</v>
      </c>
      <c r="Q47" s="356"/>
      <c r="R47" s="356"/>
      <c r="S47" s="253"/>
    </row>
    <row r="48" spans="1:33" ht="14.25" customHeight="1" thickBot="1">
      <c r="A48" s="499"/>
      <c r="B48" s="96" t="s">
        <v>339</v>
      </c>
      <c r="C48" s="95" t="s">
        <v>338</v>
      </c>
      <c r="D48" s="94">
        <v>768.38499999999999</v>
      </c>
      <c r="E48" s="94">
        <v>150</v>
      </c>
      <c r="F48" s="94">
        <v>46.164000000000001</v>
      </c>
      <c r="G48" s="73">
        <v>0.5</v>
      </c>
      <c r="H48" s="73">
        <f t="shared" si="2"/>
        <v>23.082000000000001</v>
      </c>
      <c r="I48" s="94">
        <f t="shared" si="20"/>
        <v>126.91800000000001</v>
      </c>
      <c r="J48" s="93">
        <f t="shared" si="21"/>
        <v>30.776000000000003</v>
      </c>
      <c r="K48" s="301" t="s">
        <v>345</v>
      </c>
      <c r="L48" s="92">
        <v>934.80499999999995</v>
      </c>
      <c r="M48" s="92">
        <v>150</v>
      </c>
      <c r="N48" s="91">
        <f t="shared" si="16"/>
        <v>46.164000000000001</v>
      </c>
      <c r="O48" s="205">
        <f t="shared" si="23"/>
        <v>126.91800000000001</v>
      </c>
      <c r="P48" s="203" t="str">
        <f t="shared" si="17"/>
        <v>No</v>
      </c>
      <c r="Q48" s="356"/>
      <c r="R48" s="356"/>
      <c r="S48" s="253"/>
    </row>
    <row r="49" spans="1:19" ht="13.5" thickBot="1">
      <c r="A49" s="497" t="s">
        <v>344</v>
      </c>
      <c r="B49" s="87" t="s">
        <v>343</v>
      </c>
      <c r="C49" s="86" t="s">
        <v>342</v>
      </c>
      <c r="D49" s="85">
        <v>592.98500000000001</v>
      </c>
      <c r="E49" s="85">
        <v>150</v>
      </c>
      <c r="F49" s="85">
        <v>175.91919999999999</v>
      </c>
      <c r="G49" s="85">
        <v>0.5</v>
      </c>
      <c r="H49" s="85">
        <f t="shared" si="2"/>
        <v>87.959599999999995</v>
      </c>
      <c r="I49" s="85">
        <f t="shared" si="20"/>
        <v>62.040400000000005</v>
      </c>
      <c r="J49" s="84">
        <f t="shared" si="21"/>
        <v>117.27946666666666</v>
      </c>
      <c r="K49" s="100" t="s">
        <v>341</v>
      </c>
      <c r="L49" s="83">
        <v>992.44500000000005</v>
      </c>
      <c r="M49" s="83">
        <v>150</v>
      </c>
      <c r="N49" s="82">
        <f t="shared" si="16"/>
        <v>175.91919999999999</v>
      </c>
      <c r="O49" s="205">
        <f t="shared" si="23"/>
        <v>62.040400000000005</v>
      </c>
      <c r="P49" s="203" t="str">
        <f t="shared" si="17"/>
        <v>No</v>
      </c>
      <c r="Q49" s="356"/>
      <c r="R49" s="356"/>
      <c r="S49" s="253"/>
    </row>
    <row r="50" spans="1:19" ht="14.25" customHeight="1" thickBot="1">
      <c r="A50" s="499"/>
      <c r="B50" s="96" t="s">
        <v>339</v>
      </c>
      <c r="C50" s="95" t="s">
        <v>338</v>
      </c>
      <c r="D50" s="94">
        <v>768.38499999999999</v>
      </c>
      <c r="E50" s="94">
        <v>150</v>
      </c>
      <c r="F50" s="94">
        <v>46.164000000000001</v>
      </c>
      <c r="G50" s="73">
        <v>0.5</v>
      </c>
      <c r="H50" s="73">
        <f t="shared" si="2"/>
        <v>23.082000000000001</v>
      </c>
      <c r="I50" s="73">
        <f t="shared" si="20"/>
        <v>126.91800000000001</v>
      </c>
      <c r="J50" s="299">
        <f t="shared" si="21"/>
        <v>30.776000000000003</v>
      </c>
      <c r="K50" s="301" t="s">
        <v>337</v>
      </c>
      <c r="L50" s="92">
        <v>817.04499999999996</v>
      </c>
      <c r="M50" s="92">
        <v>150</v>
      </c>
      <c r="N50" s="91">
        <f t="shared" si="16"/>
        <v>46.164000000000001</v>
      </c>
      <c r="O50" s="205">
        <f t="shared" si="23"/>
        <v>126.91800000000001</v>
      </c>
      <c r="P50" s="203" t="str">
        <f t="shared" si="17"/>
        <v>No</v>
      </c>
      <c r="Q50" s="356"/>
      <c r="R50" s="356"/>
      <c r="S50" s="253"/>
    </row>
    <row r="51" spans="1:19" ht="13.5" thickBot="1">
      <c r="A51" s="497" t="s">
        <v>340</v>
      </c>
      <c r="B51" s="87" t="s">
        <v>339</v>
      </c>
      <c r="C51" s="86" t="s">
        <v>338</v>
      </c>
      <c r="D51" s="85">
        <v>768.38499999999999</v>
      </c>
      <c r="E51" s="85">
        <v>150</v>
      </c>
      <c r="F51" s="85">
        <v>46.164000000000001</v>
      </c>
      <c r="G51" s="85">
        <v>0.5</v>
      </c>
      <c r="H51" s="85">
        <f t="shared" si="2"/>
        <v>23.082000000000001</v>
      </c>
      <c r="I51" s="94">
        <f t="shared" si="20"/>
        <v>126.91800000000001</v>
      </c>
      <c r="J51" s="93">
        <f t="shared" si="21"/>
        <v>30.776000000000003</v>
      </c>
      <c r="K51" s="100" t="s">
        <v>337</v>
      </c>
      <c r="L51" s="83">
        <v>817.04499999999996</v>
      </c>
      <c r="M51" s="83">
        <v>150</v>
      </c>
      <c r="N51" s="82">
        <f t="shared" si="16"/>
        <v>46.164000000000001</v>
      </c>
      <c r="O51" s="205">
        <f t="shared" si="23"/>
        <v>126.91800000000001</v>
      </c>
      <c r="P51" s="203" t="str">
        <f t="shared" si="17"/>
        <v>No</v>
      </c>
      <c r="Q51" s="356"/>
      <c r="R51" s="356"/>
      <c r="S51" s="253"/>
    </row>
    <row r="52" spans="1:19" ht="14.25" customHeight="1" thickBot="1">
      <c r="A52" s="499"/>
      <c r="B52" s="96" t="s">
        <v>30</v>
      </c>
      <c r="C52" s="95" t="s">
        <v>326</v>
      </c>
      <c r="D52" s="94">
        <v>317.27</v>
      </c>
      <c r="E52" s="94">
        <v>200</v>
      </c>
      <c r="F52" s="94">
        <v>136.87530000000001</v>
      </c>
      <c r="G52" s="73">
        <v>0.5</v>
      </c>
      <c r="H52" s="73">
        <f t="shared" si="2"/>
        <v>68.437650000000005</v>
      </c>
      <c r="I52" s="94">
        <f t="shared" si="20"/>
        <v>131.56234999999998</v>
      </c>
      <c r="J52" s="93">
        <f t="shared" si="21"/>
        <v>68.437650000000005</v>
      </c>
      <c r="K52" s="301" t="s">
        <v>325</v>
      </c>
      <c r="L52" s="92">
        <v>518.48</v>
      </c>
      <c r="M52" s="92">
        <v>200</v>
      </c>
      <c r="N52" s="91">
        <f t="shared" si="16"/>
        <v>136.87530000000001</v>
      </c>
      <c r="O52" s="205">
        <f t="shared" si="23"/>
        <v>131.56234999999998</v>
      </c>
      <c r="P52" s="203" t="str">
        <f t="shared" si="17"/>
        <v>No</v>
      </c>
      <c r="Q52" s="356"/>
      <c r="R52" s="356"/>
      <c r="S52" s="253"/>
    </row>
    <row r="53" spans="1:19" ht="13.5" thickBot="1">
      <c r="A53" s="497" t="s">
        <v>336</v>
      </c>
      <c r="B53" s="87" t="s">
        <v>28</v>
      </c>
      <c r="C53" s="86" t="s">
        <v>335</v>
      </c>
      <c r="D53" s="85">
        <v>675.17499999999995</v>
      </c>
      <c r="E53" s="85">
        <v>150</v>
      </c>
      <c r="F53" s="85">
        <v>87.5685</v>
      </c>
      <c r="G53" s="85">
        <v>0.5</v>
      </c>
      <c r="H53" s="85">
        <f t="shared" si="2"/>
        <v>43.78425</v>
      </c>
      <c r="I53" s="85">
        <f t="shared" si="20"/>
        <v>106.21575</v>
      </c>
      <c r="J53" s="84">
        <f t="shared" si="21"/>
        <v>58.379000000000005</v>
      </c>
      <c r="K53" s="100" t="s">
        <v>334</v>
      </c>
      <c r="L53" s="83">
        <v>792.93499999999995</v>
      </c>
      <c r="M53" s="83">
        <v>150</v>
      </c>
      <c r="N53" s="82">
        <f t="shared" si="16"/>
        <v>87.5685</v>
      </c>
      <c r="O53" s="205">
        <f t="shared" si="23"/>
        <v>106.21575</v>
      </c>
      <c r="P53" s="203" t="str">
        <f t="shared" si="17"/>
        <v>No</v>
      </c>
      <c r="Q53" s="356"/>
      <c r="R53" s="356"/>
      <c r="S53" s="253"/>
    </row>
    <row r="54" spans="1:19" ht="13.5" thickBot="1">
      <c r="A54" s="499"/>
      <c r="B54" s="96" t="s">
        <v>333</v>
      </c>
      <c r="C54" s="95" t="s">
        <v>332</v>
      </c>
      <c r="D54" s="94">
        <v>300.33499999999998</v>
      </c>
      <c r="E54" s="94">
        <v>200</v>
      </c>
      <c r="F54" s="94">
        <v>33.29833</v>
      </c>
      <c r="G54" s="73">
        <v>0.5</v>
      </c>
      <c r="H54" s="73">
        <f t="shared" si="2"/>
        <v>16.649165</v>
      </c>
      <c r="I54" s="73">
        <f t="shared" si="20"/>
        <v>183.35083499999999</v>
      </c>
      <c r="J54" s="299">
        <f t="shared" si="21"/>
        <v>16.649165</v>
      </c>
      <c r="K54" s="301" t="s">
        <v>331</v>
      </c>
      <c r="L54" s="92">
        <v>524.75</v>
      </c>
      <c r="M54" s="92">
        <v>200</v>
      </c>
      <c r="N54" s="91">
        <f t="shared" si="16"/>
        <v>33.29833</v>
      </c>
      <c r="O54" s="205">
        <f t="shared" si="23"/>
        <v>183.35083499999999</v>
      </c>
      <c r="P54" s="203" t="str">
        <f t="shared" si="17"/>
        <v>No</v>
      </c>
      <c r="Q54" s="356"/>
      <c r="R54" s="356"/>
      <c r="S54" s="253"/>
    </row>
    <row r="55" spans="1:19" ht="13.5" thickBot="1">
      <c r="A55" s="497" t="s">
        <v>330</v>
      </c>
      <c r="B55" s="87" t="s">
        <v>329</v>
      </c>
      <c r="C55" s="86" t="s">
        <v>61</v>
      </c>
      <c r="D55" s="85">
        <v>381.34</v>
      </c>
      <c r="E55" s="85">
        <v>200</v>
      </c>
      <c r="F55" s="85">
        <v>233.80699999999999</v>
      </c>
      <c r="G55" s="85">
        <v>0.5</v>
      </c>
      <c r="H55" s="85">
        <f t="shared" si="2"/>
        <v>116.90349999999999</v>
      </c>
      <c r="I55" s="85">
        <f t="shared" si="20"/>
        <v>83.096500000000006</v>
      </c>
      <c r="J55" s="84">
        <f t="shared" si="21"/>
        <v>116.90350000000001</v>
      </c>
      <c r="K55" s="100" t="s">
        <v>328</v>
      </c>
      <c r="L55" s="83">
        <v>673.16499999999996</v>
      </c>
      <c r="M55" s="83">
        <v>200</v>
      </c>
      <c r="N55" s="82">
        <f t="shared" si="16"/>
        <v>233.80699999999999</v>
      </c>
      <c r="O55" s="205">
        <f t="shared" si="23"/>
        <v>83.096500000000006</v>
      </c>
      <c r="P55" s="203" t="str">
        <f t="shared" si="17"/>
        <v>No</v>
      </c>
      <c r="Q55" s="356"/>
      <c r="R55" s="356"/>
      <c r="S55" s="253"/>
    </row>
    <row r="56" spans="1:19" ht="14.25" customHeight="1" thickBot="1">
      <c r="A56" s="498"/>
      <c r="B56" s="75" t="s">
        <v>30</v>
      </c>
      <c r="C56" s="74" t="s">
        <v>326</v>
      </c>
      <c r="D56" s="73">
        <v>317.27</v>
      </c>
      <c r="E56" s="73">
        <v>200</v>
      </c>
      <c r="F56" s="73">
        <v>136.87530000000001</v>
      </c>
      <c r="G56" s="73">
        <v>0.5</v>
      </c>
      <c r="H56" s="73">
        <f t="shared" si="2"/>
        <v>68.437650000000005</v>
      </c>
      <c r="I56" s="73">
        <f t="shared" si="20"/>
        <v>131.56234999999998</v>
      </c>
      <c r="J56" s="299">
        <f t="shared" si="21"/>
        <v>68.437650000000005</v>
      </c>
      <c r="K56" s="303" t="s">
        <v>325</v>
      </c>
      <c r="L56" s="72">
        <v>518.48</v>
      </c>
      <c r="M56" s="72">
        <v>200</v>
      </c>
      <c r="N56" s="71">
        <f t="shared" si="16"/>
        <v>136.87530000000001</v>
      </c>
      <c r="O56" s="205">
        <f t="shared" si="23"/>
        <v>131.56234999999998</v>
      </c>
      <c r="P56" s="254" t="str">
        <f t="shared" si="17"/>
        <v>No</v>
      </c>
      <c r="Q56" s="356"/>
      <c r="R56" s="356"/>
      <c r="S56" s="253"/>
    </row>
    <row r="57" spans="1:19">
      <c r="A57" s="357"/>
      <c r="B57" s="64"/>
      <c r="C57" s="357"/>
      <c r="D57" s="357"/>
      <c r="E57" s="357"/>
      <c r="F57" s="64"/>
      <c r="H57" s="64"/>
      <c r="K57" s="357"/>
      <c r="L57" s="357"/>
      <c r="M57" s="357"/>
      <c r="N57" s="357"/>
      <c r="O57" s="357"/>
      <c r="P57" s="357"/>
      <c r="Q57" s="356"/>
      <c r="R57" s="356"/>
    </row>
    <row r="58" spans="1:19">
      <c r="A58" s="357"/>
      <c r="B58" s="64"/>
      <c r="C58" s="357"/>
      <c r="D58" s="357"/>
      <c r="E58" s="357"/>
      <c r="F58" s="64"/>
      <c r="H58" s="64"/>
      <c r="K58" s="357"/>
      <c r="L58" s="357"/>
      <c r="M58" s="357"/>
      <c r="N58" s="357"/>
      <c r="O58" s="357"/>
      <c r="P58" s="357"/>
      <c r="Q58" s="356"/>
      <c r="R58" s="356"/>
    </row>
    <row r="59" spans="1:19">
      <c r="A59" s="357"/>
      <c r="B59" s="64"/>
      <c r="C59" s="357"/>
      <c r="D59" s="357"/>
      <c r="E59" s="357"/>
      <c r="F59" s="64"/>
      <c r="H59" s="64"/>
      <c r="K59" s="357"/>
      <c r="L59" s="357"/>
      <c r="M59" s="357"/>
      <c r="N59" s="357"/>
      <c r="O59" s="357"/>
      <c r="P59" s="357"/>
      <c r="Q59" s="356"/>
      <c r="R59" s="357"/>
    </row>
    <row r="60" spans="1:19">
      <c r="A60" s="357"/>
      <c r="B60" s="64"/>
      <c r="C60" s="357"/>
      <c r="D60" s="357"/>
      <c r="E60" s="357"/>
      <c r="F60" s="64"/>
      <c r="H60" s="64"/>
      <c r="K60" s="357"/>
      <c r="L60" s="357"/>
      <c r="M60" s="357"/>
      <c r="N60" s="357"/>
      <c r="O60" s="357"/>
      <c r="P60" s="357"/>
      <c r="Q60" s="356"/>
      <c r="R60" s="357"/>
    </row>
    <row r="61" spans="1:19">
      <c r="A61" s="357"/>
      <c r="B61" s="64"/>
      <c r="C61" s="357"/>
      <c r="D61" s="357"/>
      <c r="E61" s="357"/>
      <c r="F61" s="64"/>
      <c r="H61" s="64"/>
      <c r="K61" s="357"/>
      <c r="L61" s="357"/>
      <c r="M61" s="357"/>
      <c r="N61" s="357"/>
      <c r="O61" s="357"/>
      <c r="P61" s="357"/>
      <c r="Q61" s="356"/>
      <c r="R61" s="357"/>
    </row>
    <row r="62" spans="1:19">
      <c r="A62" s="357"/>
      <c r="B62" s="65"/>
      <c r="C62" s="357"/>
      <c r="D62" s="357"/>
      <c r="E62" s="357"/>
      <c r="F62" s="64"/>
      <c r="H62" s="64"/>
      <c r="K62" s="357"/>
      <c r="L62" s="357"/>
      <c r="M62" s="357"/>
      <c r="N62" s="357"/>
      <c r="O62" s="357"/>
      <c r="P62" s="357"/>
      <c r="Q62" s="356"/>
      <c r="R62" s="357"/>
    </row>
    <row r="63" spans="1:19">
      <c r="A63" s="357"/>
      <c r="B63" s="65"/>
      <c r="C63" s="357"/>
      <c r="D63" s="357"/>
      <c r="E63" s="357"/>
      <c r="F63" s="64"/>
      <c r="H63" s="64"/>
      <c r="K63" s="357"/>
      <c r="L63" s="357"/>
      <c r="M63" s="357"/>
      <c r="N63" s="357"/>
      <c r="O63" s="357"/>
      <c r="P63" s="357"/>
      <c r="Q63" s="356"/>
      <c r="R63" s="357"/>
    </row>
    <row r="64" spans="1:19">
      <c r="A64" s="357"/>
      <c r="B64" s="65"/>
      <c r="C64" s="357"/>
      <c r="D64" s="357"/>
      <c r="E64" s="357"/>
      <c r="F64" s="64"/>
      <c r="H64" s="64"/>
      <c r="K64" s="357"/>
      <c r="L64" s="357"/>
      <c r="M64" s="357"/>
      <c r="N64" s="357"/>
      <c r="O64" s="357"/>
      <c r="P64" s="357"/>
      <c r="Q64" s="356"/>
      <c r="R64" s="357"/>
    </row>
    <row r="65" spans="1:21">
      <c r="A65" s="357"/>
      <c r="B65" s="64"/>
      <c r="C65" s="357"/>
      <c r="D65" s="357"/>
      <c r="M65" s="357"/>
      <c r="N65" s="357"/>
      <c r="P65" s="357"/>
      <c r="Q65" s="356"/>
      <c r="R65" s="357"/>
    </row>
    <row r="66" spans="1:21">
      <c r="A66" s="357"/>
      <c r="B66" s="64"/>
      <c r="C66" s="357"/>
      <c r="D66" s="357"/>
      <c r="M66" s="357"/>
      <c r="N66" s="357"/>
      <c r="P66" s="357"/>
      <c r="Q66" s="356"/>
      <c r="R66" s="357"/>
    </row>
    <row r="67" spans="1:21">
      <c r="A67" s="357"/>
      <c r="B67" s="64"/>
      <c r="C67" s="357"/>
      <c r="D67" s="357"/>
      <c r="M67" s="357"/>
      <c r="N67" s="357"/>
      <c r="P67" s="357"/>
      <c r="Q67" s="356"/>
      <c r="R67" s="357"/>
    </row>
    <row r="68" spans="1:21">
      <c r="A68" s="357"/>
      <c r="B68" s="64"/>
      <c r="C68" s="357"/>
      <c r="D68" s="357"/>
      <c r="E68" s="357"/>
      <c r="F68" s="64"/>
      <c r="H68" s="64"/>
      <c r="K68" s="357"/>
      <c r="L68" s="357"/>
      <c r="M68" s="357"/>
      <c r="N68" s="357"/>
      <c r="O68" s="357"/>
      <c r="P68" s="357"/>
      <c r="Q68" s="356"/>
      <c r="R68" s="357"/>
    </row>
    <row r="69" spans="1:21">
      <c r="B69" s="64"/>
      <c r="C69" s="357"/>
      <c r="D69" s="357"/>
      <c r="E69" s="357"/>
      <c r="F69" s="64"/>
      <c r="H69" s="64"/>
      <c r="K69" s="357"/>
      <c r="L69" s="357"/>
      <c r="M69" s="357"/>
      <c r="N69" s="357"/>
      <c r="O69" s="357"/>
      <c r="P69" s="357"/>
      <c r="Q69" s="356"/>
      <c r="R69" s="357"/>
      <c r="T69" s="58"/>
      <c r="U69" s="58"/>
    </row>
    <row r="70" spans="1:21">
      <c r="B70" s="64"/>
      <c r="C70" s="357"/>
      <c r="D70" s="357"/>
      <c r="E70" s="357"/>
      <c r="F70" s="64"/>
      <c r="H70" s="64"/>
      <c r="K70" s="357"/>
      <c r="L70" s="357"/>
      <c r="M70" s="357"/>
      <c r="N70" s="357"/>
      <c r="O70" s="357"/>
      <c r="P70" s="357"/>
      <c r="Q70" s="356"/>
      <c r="R70" s="357"/>
      <c r="T70" s="58"/>
      <c r="U70" s="58"/>
    </row>
    <row r="71" spans="1:21">
      <c r="B71" s="64"/>
      <c r="C71" s="357"/>
      <c r="D71" s="357"/>
      <c r="E71" s="357"/>
      <c r="F71" s="64"/>
      <c r="H71" s="64"/>
      <c r="K71" s="357"/>
      <c r="L71" s="357"/>
      <c r="M71" s="357"/>
      <c r="N71" s="357"/>
      <c r="O71" s="357"/>
      <c r="P71" s="357"/>
      <c r="Q71" s="356"/>
      <c r="R71" s="357"/>
      <c r="T71" s="58"/>
      <c r="U71" s="58"/>
    </row>
    <row r="72" spans="1:21">
      <c r="B72" s="64"/>
      <c r="C72" s="357"/>
      <c r="D72" s="357"/>
      <c r="E72" s="357"/>
      <c r="F72" s="64"/>
      <c r="H72" s="64"/>
      <c r="K72" s="357"/>
      <c r="L72" s="357"/>
      <c r="M72" s="357"/>
      <c r="N72" s="357"/>
      <c r="O72" s="357"/>
      <c r="P72" s="357"/>
      <c r="Q72" s="356"/>
      <c r="R72" s="357"/>
      <c r="T72" s="58"/>
      <c r="U72" s="58"/>
    </row>
    <row r="73" spans="1:21">
      <c r="B73" s="64"/>
      <c r="C73" s="357"/>
      <c r="D73" s="357"/>
      <c r="E73" s="357"/>
      <c r="F73" s="64"/>
      <c r="H73" s="64"/>
      <c r="K73" s="357"/>
      <c r="L73" s="357"/>
      <c r="M73" s="357"/>
      <c r="N73" s="357"/>
      <c r="O73" s="357"/>
      <c r="P73" s="357"/>
      <c r="Q73" s="356"/>
      <c r="R73" s="357"/>
      <c r="T73" s="58"/>
    </row>
    <row r="74" spans="1:21">
      <c r="B74" s="64"/>
      <c r="C74" s="357"/>
      <c r="D74" s="357"/>
      <c r="E74" s="357"/>
      <c r="F74" s="64"/>
      <c r="H74" s="64"/>
      <c r="K74" s="357"/>
      <c r="L74" s="357"/>
      <c r="M74" s="357"/>
      <c r="N74" s="357"/>
      <c r="O74" s="357"/>
      <c r="P74" s="357"/>
      <c r="Q74" s="356"/>
      <c r="R74" s="357"/>
      <c r="T74" s="58"/>
    </row>
    <row r="75" spans="1:21">
      <c r="B75" s="64"/>
      <c r="C75" s="357"/>
      <c r="D75" s="357"/>
      <c r="E75" s="357"/>
      <c r="F75" s="64"/>
      <c r="H75" s="64"/>
      <c r="K75" s="357"/>
      <c r="L75" s="357"/>
      <c r="M75" s="357"/>
      <c r="N75" s="357"/>
      <c r="O75" s="357"/>
      <c r="P75" s="357"/>
      <c r="Q75" s="356"/>
      <c r="R75" s="357"/>
    </row>
    <row r="76" spans="1:21">
      <c r="B76" s="64"/>
      <c r="C76" s="357"/>
      <c r="D76" s="357"/>
      <c r="E76" s="357"/>
      <c r="F76" s="64"/>
      <c r="H76" s="64"/>
      <c r="K76" s="357"/>
      <c r="L76" s="357"/>
      <c r="M76" s="357"/>
      <c r="N76" s="357"/>
      <c r="O76" s="357"/>
      <c r="P76" s="357"/>
      <c r="Q76" s="356"/>
      <c r="R76" s="357"/>
    </row>
    <row r="77" spans="1:21">
      <c r="B77" s="64"/>
      <c r="C77" s="357"/>
      <c r="D77" s="357"/>
      <c r="E77" s="357"/>
      <c r="F77" s="64"/>
      <c r="H77" s="64"/>
      <c r="K77" s="357"/>
      <c r="L77" s="357"/>
      <c r="M77" s="357"/>
      <c r="N77" s="357"/>
      <c r="O77" s="357"/>
      <c r="P77" s="357"/>
      <c r="Q77" s="356"/>
      <c r="R77" s="357"/>
    </row>
    <row r="78" spans="1:21">
      <c r="B78" s="64"/>
      <c r="C78" s="357"/>
      <c r="D78" s="357"/>
      <c r="E78" s="357"/>
      <c r="F78" s="64"/>
      <c r="H78" s="64"/>
      <c r="K78" s="357"/>
      <c r="L78" s="357"/>
      <c r="M78" s="357"/>
      <c r="N78" s="357"/>
      <c r="O78" s="357"/>
      <c r="P78" s="357"/>
      <c r="Q78" s="356"/>
      <c r="R78" s="357"/>
    </row>
    <row r="79" spans="1:21">
      <c r="B79" s="64"/>
      <c r="C79" s="357"/>
      <c r="D79" s="357"/>
      <c r="E79" s="357"/>
      <c r="F79" s="64"/>
      <c r="H79" s="64"/>
      <c r="K79" s="357"/>
      <c r="L79" s="357"/>
      <c r="M79" s="357"/>
      <c r="N79" s="357"/>
      <c r="O79" s="357"/>
      <c r="P79" s="357"/>
      <c r="Q79" s="356"/>
      <c r="R79" s="357"/>
    </row>
    <row r="80" spans="1:21">
      <c r="B80" s="64"/>
      <c r="C80" s="357"/>
      <c r="D80" s="357"/>
      <c r="E80" s="357"/>
      <c r="F80" s="64"/>
      <c r="H80" s="64"/>
      <c r="K80" s="357"/>
      <c r="L80" s="357"/>
      <c r="M80" s="357"/>
      <c r="N80" s="357"/>
      <c r="O80" s="357"/>
      <c r="P80" s="357"/>
      <c r="Q80" s="356"/>
      <c r="R80" s="357"/>
    </row>
    <row r="81" spans="2:18">
      <c r="B81" s="64"/>
      <c r="C81" s="357"/>
      <c r="D81" s="357"/>
      <c r="E81" s="357"/>
      <c r="F81" s="64"/>
      <c r="H81" s="64"/>
      <c r="K81" s="357"/>
      <c r="L81" s="357"/>
      <c r="M81" s="357"/>
      <c r="N81" s="357"/>
      <c r="O81" s="357"/>
      <c r="P81" s="357"/>
      <c r="Q81" s="356"/>
      <c r="R81" s="357"/>
    </row>
    <row r="82" spans="2:18">
      <c r="B82" s="64"/>
      <c r="C82" s="357"/>
      <c r="D82" s="357"/>
      <c r="E82" s="357"/>
      <c r="F82" s="64"/>
      <c r="H82" s="64"/>
      <c r="K82" s="357"/>
      <c r="L82" s="357"/>
      <c r="M82" s="357"/>
      <c r="N82" s="357"/>
      <c r="O82" s="357"/>
      <c r="P82" s="357"/>
      <c r="Q82" s="356"/>
      <c r="R82" s="357"/>
    </row>
    <row r="83" spans="2:18">
      <c r="B83" s="64"/>
      <c r="C83" s="357"/>
      <c r="D83" s="357"/>
      <c r="E83" s="357"/>
      <c r="F83" s="64"/>
      <c r="H83" s="64"/>
      <c r="K83" s="357"/>
      <c r="L83" s="357"/>
      <c r="M83" s="357"/>
      <c r="N83" s="357"/>
      <c r="O83" s="357"/>
      <c r="P83" s="357"/>
      <c r="Q83" s="356"/>
      <c r="R83" s="357"/>
    </row>
    <row r="84" spans="2:18">
      <c r="B84" s="64"/>
      <c r="C84" s="357"/>
      <c r="D84" s="357"/>
      <c r="E84" s="357"/>
      <c r="F84" s="64"/>
      <c r="H84" s="64"/>
      <c r="K84" s="357"/>
      <c r="L84" s="357"/>
      <c r="M84" s="357"/>
      <c r="N84" s="357"/>
      <c r="O84" s="357"/>
      <c r="P84" s="357"/>
      <c r="Q84" s="356"/>
      <c r="R84" s="357"/>
    </row>
    <row r="85" spans="2:18">
      <c r="B85" s="64"/>
      <c r="C85" s="357"/>
      <c r="D85" s="357"/>
      <c r="E85" s="357"/>
      <c r="F85" s="64"/>
      <c r="H85" s="64"/>
      <c r="K85" s="357"/>
      <c r="L85" s="357"/>
      <c r="M85" s="357"/>
      <c r="N85" s="357"/>
      <c r="O85" s="357"/>
      <c r="P85" s="357"/>
      <c r="Q85" s="356"/>
      <c r="R85" s="357"/>
    </row>
    <row r="86" spans="2:18">
      <c r="B86" s="64"/>
      <c r="C86" s="357"/>
      <c r="D86" s="357"/>
      <c r="E86" s="357"/>
      <c r="F86" s="64"/>
      <c r="H86" s="64"/>
      <c r="K86" s="357"/>
      <c r="L86" s="357"/>
      <c r="M86" s="357"/>
      <c r="N86" s="357"/>
      <c r="O86" s="357"/>
      <c r="P86" s="357"/>
      <c r="Q86" s="356"/>
      <c r="R86" s="357"/>
    </row>
    <row r="87" spans="2:18">
      <c r="B87" s="64"/>
      <c r="C87" s="357"/>
      <c r="D87" s="357"/>
      <c r="E87" s="357"/>
      <c r="F87" s="64"/>
      <c r="H87" s="64"/>
      <c r="K87" s="357"/>
      <c r="L87" s="357"/>
      <c r="M87" s="357"/>
      <c r="N87" s="357"/>
      <c r="O87" s="357"/>
      <c r="P87" s="357"/>
      <c r="Q87" s="356"/>
      <c r="R87" s="357"/>
    </row>
    <row r="88" spans="2:18">
      <c r="B88" s="64"/>
      <c r="C88" s="357"/>
      <c r="D88" s="357"/>
      <c r="E88" s="357"/>
      <c r="F88" s="64"/>
      <c r="H88" s="64"/>
      <c r="K88" s="357"/>
      <c r="L88" s="357"/>
      <c r="M88" s="357"/>
      <c r="N88" s="357"/>
      <c r="O88" s="357"/>
      <c r="P88" s="357"/>
      <c r="Q88" s="356"/>
      <c r="R88" s="357"/>
    </row>
    <row r="89" spans="2:18">
      <c r="B89" s="64"/>
      <c r="C89" s="357"/>
      <c r="D89" s="357"/>
      <c r="E89" s="357"/>
      <c r="F89" s="64"/>
      <c r="H89" s="64"/>
      <c r="K89" s="357"/>
      <c r="L89" s="357"/>
      <c r="M89" s="357"/>
      <c r="N89" s="357"/>
      <c r="O89" s="357"/>
      <c r="P89" s="357"/>
      <c r="Q89" s="356"/>
      <c r="R89" s="357"/>
    </row>
    <row r="90" spans="2:18">
      <c r="B90" s="64"/>
      <c r="C90" s="357"/>
      <c r="D90" s="357"/>
      <c r="E90" s="357"/>
      <c r="F90" s="64"/>
      <c r="H90" s="64"/>
      <c r="K90" s="357"/>
      <c r="L90" s="357"/>
      <c r="M90" s="357"/>
      <c r="N90" s="357"/>
      <c r="O90" s="357"/>
      <c r="P90" s="357"/>
      <c r="Q90" s="356"/>
      <c r="R90" s="357"/>
    </row>
    <row r="91" spans="2:18">
      <c r="B91" s="64"/>
      <c r="C91" s="357"/>
      <c r="D91" s="357"/>
      <c r="E91" s="357"/>
      <c r="F91" s="64"/>
      <c r="H91" s="64"/>
      <c r="K91" s="357"/>
      <c r="L91" s="357"/>
      <c r="M91" s="357"/>
      <c r="N91" s="357"/>
      <c r="O91" s="357"/>
      <c r="P91" s="357"/>
      <c r="Q91" s="356"/>
      <c r="R91" s="357"/>
    </row>
    <row r="92" spans="2:18">
      <c r="B92" s="64"/>
      <c r="C92" s="357"/>
      <c r="D92" s="357"/>
      <c r="E92" s="357"/>
      <c r="F92" s="64"/>
      <c r="H92" s="64"/>
      <c r="K92" s="357"/>
      <c r="L92" s="357"/>
      <c r="M92" s="357"/>
      <c r="N92" s="357"/>
      <c r="O92" s="357"/>
      <c r="P92" s="357"/>
      <c r="Q92" s="356"/>
      <c r="R92" s="357"/>
    </row>
    <row r="93" spans="2:18">
      <c r="B93" s="64"/>
      <c r="C93" s="357"/>
      <c r="D93" s="357"/>
      <c r="E93" s="357"/>
      <c r="F93" s="64"/>
      <c r="H93" s="64"/>
      <c r="K93" s="357"/>
      <c r="L93" s="357"/>
      <c r="M93" s="357"/>
      <c r="N93" s="357"/>
      <c r="O93" s="357"/>
      <c r="P93" s="357"/>
      <c r="Q93" s="356"/>
      <c r="R93" s="357"/>
    </row>
    <row r="94" spans="2:18">
      <c r="B94" s="64"/>
      <c r="C94" s="357"/>
      <c r="D94" s="357"/>
      <c r="E94" s="357"/>
      <c r="F94" s="64"/>
      <c r="H94" s="64"/>
      <c r="K94" s="357"/>
      <c r="L94" s="357"/>
      <c r="M94" s="357"/>
      <c r="N94" s="357"/>
      <c r="O94" s="357"/>
      <c r="P94" s="357"/>
      <c r="Q94" s="356"/>
      <c r="R94" s="357"/>
    </row>
    <row r="95" spans="2:18">
      <c r="B95" s="64"/>
      <c r="C95" s="357"/>
      <c r="D95" s="357"/>
      <c r="E95" s="357"/>
      <c r="F95" s="64"/>
      <c r="H95" s="64"/>
      <c r="K95" s="357"/>
      <c r="L95" s="357"/>
      <c r="M95" s="357"/>
      <c r="N95" s="357"/>
      <c r="O95" s="357"/>
      <c r="P95" s="357"/>
      <c r="Q95" s="356"/>
      <c r="R95" s="357"/>
    </row>
    <row r="96" spans="2:18">
      <c r="B96" s="64"/>
      <c r="C96" s="357"/>
      <c r="D96" s="357"/>
      <c r="E96" s="357"/>
      <c r="F96" s="64"/>
      <c r="H96" s="64"/>
      <c r="K96" s="357"/>
      <c r="L96" s="357"/>
      <c r="M96" s="357"/>
      <c r="N96" s="357"/>
      <c r="O96" s="357"/>
      <c r="P96" s="357"/>
      <c r="Q96" s="356"/>
      <c r="R96" s="357"/>
    </row>
    <row r="97" spans="2:18">
      <c r="B97" s="64"/>
      <c r="C97" s="357"/>
      <c r="D97" s="357"/>
      <c r="E97" s="357"/>
      <c r="F97" s="64"/>
      <c r="H97" s="64"/>
      <c r="K97" s="357"/>
      <c r="L97" s="357"/>
      <c r="M97" s="357"/>
      <c r="N97" s="357"/>
      <c r="O97" s="357"/>
      <c r="P97" s="357"/>
      <c r="Q97" s="356"/>
      <c r="R97" s="357"/>
    </row>
    <row r="98" spans="2:18">
      <c r="B98" s="64"/>
      <c r="C98" s="357"/>
      <c r="D98" s="357"/>
      <c r="E98" s="357"/>
      <c r="F98" s="64"/>
      <c r="H98" s="64"/>
      <c r="K98" s="357"/>
      <c r="L98" s="357"/>
      <c r="M98" s="357"/>
      <c r="N98" s="357"/>
      <c r="O98" s="357"/>
      <c r="P98" s="357"/>
      <c r="Q98" s="356"/>
      <c r="R98" s="357"/>
    </row>
    <row r="99" spans="2:18">
      <c r="B99" s="64"/>
      <c r="C99" s="357"/>
      <c r="D99" s="357"/>
      <c r="E99" s="357"/>
      <c r="F99" s="64"/>
      <c r="H99" s="64"/>
      <c r="K99" s="357"/>
      <c r="L99" s="357"/>
      <c r="M99" s="357"/>
      <c r="N99" s="357"/>
      <c r="O99" s="357"/>
      <c r="P99" s="357"/>
      <c r="Q99" s="356"/>
      <c r="R99" s="357"/>
    </row>
    <row r="100" spans="2:18">
      <c r="B100" s="64"/>
      <c r="C100" s="357"/>
      <c r="D100" s="357"/>
      <c r="E100" s="357"/>
      <c r="F100" s="64"/>
      <c r="H100" s="64"/>
      <c r="K100" s="357"/>
      <c r="L100" s="357"/>
      <c r="M100" s="357"/>
      <c r="N100" s="357"/>
      <c r="O100" s="357"/>
      <c r="P100" s="357"/>
      <c r="Q100" s="356"/>
      <c r="R100" s="357"/>
    </row>
    <row r="101" spans="2:18">
      <c r="B101" s="64"/>
      <c r="C101" s="357"/>
      <c r="D101" s="357"/>
      <c r="E101" s="357"/>
      <c r="F101" s="64"/>
      <c r="H101" s="64"/>
      <c r="K101" s="357"/>
      <c r="L101" s="357"/>
      <c r="M101" s="357"/>
      <c r="N101" s="357"/>
      <c r="O101" s="357"/>
      <c r="P101" s="357"/>
      <c r="Q101" s="356"/>
      <c r="R101" s="357"/>
    </row>
    <row r="102" spans="2:18">
      <c r="B102" s="64"/>
      <c r="C102" s="357"/>
      <c r="D102" s="357"/>
      <c r="E102" s="357"/>
      <c r="F102" s="64"/>
      <c r="H102" s="64"/>
      <c r="K102" s="357"/>
      <c r="L102" s="357"/>
      <c r="M102" s="357"/>
      <c r="N102" s="357"/>
      <c r="O102" s="357"/>
      <c r="P102" s="357"/>
      <c r="Q102" s="356"/>
      <c r="R102" s="357"/>
    </row>
    <row r="103" spans="2:18">
      <c r="B103" s="64"/>
      <c r="C103" s="357"/>
      <c r="D103" s="357"/>
      <c r="E103" s="357"/>
      <c r="F103" s="64"/>
      <c r="H103" s="64"/>
      <c r="K103" s="357"/>
      <c r="L103" s="357"/>
      <c r="M103" s="357"/>
      <c r="N103" s="357"/>
      <c r="O103" s="357"/>
      <c r="P103" s="357"/>
      <c r="Q103" s="356"/>
      <c r="R103" s="357"/>
    </row>
    <row r="104" spans="2:18">
      <c r="B104" s="64"/>
      <c r="C104" s="357"/>
      <c r="D104" s="357"/>
      <c r="E104" s="357"/>
      <c r="F104" s="64"/>
      <c r="H104" s="64"/>
      <c r="K104" s="357"/>
      <c r="L104" s="357"/>
      <c r="M104" s="357"/>
      <c r="N104" s="357"/>
      <c r="O104" s="357"/>
      <c r="P104" s="357"/>
      <c r="Q104" s="356"/>
      <c r="R104" s="357"/>
    </row>
    <row r="105" spans="2:18">
      <c r="B105" s="64"/>
      <c r="C105" s="357"/>
      <c r="D105" s="357"/>
      <c r="E105" s="357"/>
      <c r="F105" s="64"/>
      <c r="H105" s="64"/>
      <c r="K105" s="357"/>
      <c r="L105" s="357"/>
      <c r="M105" s="357"/>
      <c r="N105" s="357"/>
      <c r="O105" s="357"/>
      <c r="P105" s="357"/>
      <c r="Q105" s="356"/>
      <c r="R105" s="357"/>
    </row>
    <row r="106" spans="2:18">
      <c r="B106" s="64"/>
      <c r="C106" s="357"/>
      <c r="D106" s="357"/>
      <c r="E106" s="357"/>
      <c r="F106" s="64"/>
      <c r="H106" s="64"/>
      <c r="K106" s="357"/>
      <c r="L106" s="357"/>
      <c r="M106" s="357"/>
      <c r="N106" s="357"/>
      <c r="O106" s="357"/>
      <c r="P106" s="357"/>
      <c r="Q106" s="356"/>
      <c r="R106" s="357"/>
    </row>
    <row r="107" spans="2:18">
      <c r="B107" s="64"/>
      <c r="C107" s="357"/>
      <c r="D107" s="357"/>
      <c r="E107" s="357"/>
      <c r="F107" s="64"/>
      <c r="H107" s="64"/>
      <c r="K107" s="357"/>
      <c r="L107" s="357"/>
      <c r="M107" s="357"/>
      <c r="N107" s="357"/>
      <c r="O107" s="357"/>
      <c r="P107" s="357"/>
      <c r="Q107" s="356"/>
      <c r="R107" s="357"/>
    </row>
    <row r="108" spans="2:18">
      <c r="B108" s="64"/>
      <c r="C108" s="357"/>
      <c r="D108" s="357"/>
      <c r="E108" s="357"/>
      <c r="F108" s="64"/>
      <c r="H108" s="64"/>
      <c r="K108" s="357"/>
      <c r="L108" s="357"/>
      <c r="M108" s="357"/>
      <c r="N108" s="357"/>
      <c r="O108" s="357"/>
      <c r="P108" s="357"/>
      <c r="Q108" s="356"/>
      <c r="R108" s="357"/>
    </row>
    <row r="109" spans="2:18">
      <c r="B109" s="64"/>
      <c r="C109" s="357"/>
      <c r="D109" s="357"/>
      <c r="E109" s="357"/>
      <c r="F109" s="64"/>
      <c r="H109" s="64"/>
      <c r="K109" s="357"/>
      <c r="L109" s="357"/>
      <c r="M109" s="357"/>
      <c r="N109" s="357"/>
      <c r="O109" s="357"/>
      <c r="P109" s="357"/>
      <c r="Q109" s="356"/>
      <c r="R109" s="357"/>
    </row>
    <row r="110" spans="2:18">
      <c r="B110" s="64"/>
      <c r="C110" s="357"/>
      <c r="D110" s="357"/>
      <c r="E110" s="357"/>
      <c r="F110" s="64"/>
      <c r="H110" s="64"/>
      <c r="K110" s="357"/>
      <c r="L110" s="357"/>
      <c r="M110" s="357"/>
      <c r="N110" s="357"/>
      <c r="O110" s="357"/>
      <c r="P110" s="357"/>
      <c r="Q110" s="356"/>
      <c r="R110" s="357"/>
    </row>
    <row r="111" spans="2:18">
      <c r="B111" s="64"/>
      <c r="C111" s="357"/>
      <c r="D111" s="357"/>
      <c r="E111" s="357"/>
      <c r="F111" s="64"/>
      <c r="H111" s="64"/>
      <c r="K111" s="357"/>
      <c r="L111" s="357"/>
      <c r="M111" s="357"/>
      <c r="N111" s="357"/>
      <c r="O111" s="357"/>
      <c r="P111" s="357"/>
      <c r="Q111" s="356"/>
      <c r="R111" s="357"/>
    </row>
    <row r="112" spans="2:18">
      <c r="B112" s="64"/>
      <c r="C112" s="357"/>
      <c r="D112" s="357"/>
      <c r="E112" s="357"/>
      <c r="F112" s="64"/>
      <c r="H112" s="64"/>
      <c r="K112" s="357"/>
      <c r="L112" s="357"/>
      <c r="M112" s="357"/>
      <c r="N112" s="357"/>
      <c r="O112" s="357"/>
      <c r="P112" s="357"/>
      <c r="Q112" s="356"/>
      <c r="R112" s="357"/>
    </row>
    <row r="113" spans="1:18">
      <c r="B113" s="64"/>
      <c r="C113" s="357"/>
      <c r="D113" s="357"/>
      <c r="E113" s="357"/>
      <c r="F113" s="64"/>
      <c r="H113" s="64"/>
      <c r="K113" s="357"/>
      <c r="L113" s="357"/>
      <c r="M113" s="357"/>
      <c r="N113" s="357"/>
      <c r="O113" s="357"/>
      <c r="P113" s="357"/>
      <c r="Q113" s="356"/>
      <c r="R113" s="357"/>
    </row>
    <row r="114" spans="1:18">
      <c r="B114" s="64"/>
      <c r="C114" s="357"/>
      <c r="D114" s="357"/>
      <c r="E114" s="357"/>
      <c r="F114" s="64"/>
      <c r="H114" s="64"/>
      <c r="K114" s="357"/>
      <c r="L114" s="357"/>
      <c r="M114" s="357"/>
      <c r="N114" s="357"/>
      <c r="O114" s="357"/>
      <c r="P114" s="357"/>
      <c r="Q114" s="356"/>
      <c r="R114" s="357"/>
    </row>
    <row r="115" spans="1:18">
      <c r="B115" s="64"/>
      <c r="C115" s="357"/>
      <c r="D115" s="357"/>
      <c r="E115" s="357"/>
      <c r="F115" s="64"/>
      <c r="H115" s="64"/>
      <c r="K115" s="357"/>
      <c r="L115" s="357"/>
      <c r="M115" s="357"/>
      <c r="N115" s="357"/>
      <c r="O115" s="357"/>
      <c r="P115" s="357"/>
      <c r="Q115" s="356"/>
      <c r="R115" s="357"/>
    </row>
    <row r="116" spans="1:18">
      <c r="B116" s="64"/>
      <c r="C116" s="357"/>
      <c r="D116" s="357"/>
      <c r="E116" s="357"/>
      <c r="F116" s="64"/>
      <c r="H116" s="64"/>
      <c r="K116" s="357"/>
      <c r="L116" s="357"/>
      <c r="M116" s="357"/>
      <c r="N116" s="357"/>
      <c r="O116" s="357"/>
      <c r="P116" s="357"/>
      <c r="Q116" s="356"/>
      <c r="R116" s="357"/>
    </row>
    <row r="117" spans="1:18">
      <c r="B117" s="64"/>
      <c r="C117" s="357"/>
      <c r="D117" s="357"/>
      <c r="E117" s="357"/>
      <c r="F117" s="64"/>
      <c r="H117" s="64"/>
      <c r="K117" s="357"/>
      <c r="L117" s="357"/>
      <c r="M117" s="357"/>
      <c r="N117" s="357"/>
      <c r="O117" s="357"/>
      <c r="P117" s="357"/>
      <c r="Q117" s="356"/>
      <c r="R117" s="357"/>
    </row>
    <row r="118" spans="1:18">
      <c r="B118" s="64"/>
      <c r="C118" s="357"/>
      <c r="D118" s="357"/>
      <c r="E118" s="357"/>
      <c r="F118" s="64"/>
      <c r="H118" s="64"/>
      <c r="K118" s="357"/>
      <c r="L118" s="357"/>
      <c r="M118" s="357"/>
      <c r="N118" s="357"/>
      <c r="O118" s="357"/>
      <c r="P118" s="357"/>
      <c r="Q118" s="356"/>
      <c r="R118" s="357"/>
    </row>
    <row r="119" spans="1:18">
      <c r="B119" s="64"/>
      <c r="C119" s="357"/>
      <c r="D119" s="357"/>
      <c r="E119" s="357"/>
      <c r="F119" s="64"/>
      <c r="H119" s="64"/>
      <c r="K119" s="357"/>
      <c r="L119" s="357"/>
      <c r="M119" s="357"/>
      <c r="N119" s="357"/>
      <c r="O119" s="357"/>
      <c r="P119" s="357"/>
      <c r="Q119" s="356"/>
      <c r="R119" s="357"/>
    </row>
    <row r="120" spans="1:18">
      <c r="B120" s="64"/>
      <c r="C120" s="357"/>
      <c r="D120" s="357"/>
      <c r="E120" s="357"/>
      <c r="F120" s="64"/>
      <c r="H120" s="64"/>
      <c r="K120" s="357"/>
      <c r="L120" s="357"/>
      <c r="M120" s="357"/>
      <c r="N120" s="357"/>
      <c r="O120" s="357"/>
      <c r="P120" s="357"/>
      <c r="Q120" s="356"/>
      <c r="R120" s="357"/>
    </row>
    <row r="121" spans="1:18">
      <c r="B121" s="64"/>
      <c r="C121" s="357"/>
      <c r="D121" s="357"/>
      <c r="E121" s="357"/>
      <c r="F121" s="64"/>
      <c r="H121" s="64"/>
      <c r="K121" s="357"/>
      <c r="L121" s="357"/>
      <c r="M121" s="357"/>
      <c r="N121" s="357"/>
      <c r="O121" s="357"/>
      <c r="P121" s="357"/>
      <c r="Q121" s="356"/>
      <c r="R121" s="357"/>
    </row>
    <row r="122" spans="1:18">
      <c r="B122" s="64"/>
      <c r="C122" s="357"/>
      <c r="D122" s="357"/>
      <c r="E122" s="357"/>
      <c r="F122" s="64"/>
      <c r="H122" s="64"/>
      <c r="K122" s="357"/>
      <c r="L122" s="357"/>
      <c r="M122" s="357"/>
      <c r="N122" s="357"/>
      <c r="O122" s="357"/>
      <c r="P122" s="357"/>
      <c r="Q122" s="356"/>
      <c r="R122" s="357"/>
    </row>
    <row r="123" spans="1:18">
      <c r="B123" s="64"/>
      <c r="C123" s="357"/>
      <c r="D123" s="357"/>
      <c r="E123" s="357"/>
      <c r="F123" s="64"/>
      <c r="H123" s="64"/>
      <c r="K123" s="357"/>
      <c r="L123" s="357"/>
      <c r="M123" s="357"/>
      <c r="N123" s="357"/>
      <c r="O123" s="357"/>
      <c r="P123" s="357"/>
      <c r="Q123" s="356"/>
      <c r="R123" s="357"/>
    </row>
    <row r="124" spans="1:18">
      <c r="A124" s="357"/>
      <c r="B124" s="64"/>
      <c r="C124" s="357"/>
      <c r="D124" s="357"/>
      <c r="E124" s="357"/>
      <c r="F124" s="64"/>
      <c r="H124" s="64"/>
      <c r="K124" s="357"/>
      <c r="L124" s="357"/>
      <c r="M124" s="357"/>
      <c r="N124" s="357"/>
      <c r="O124" s="357"/>
      <c r="P124" s="357"/>
      <c r="Q124" s="356"/>
      <c r="R124" s="357"/>
    </row>
    <row r="125" spans="1:18">
      <c r="A125" s="357"/>
      <c r="B125" s="64"/>
      <c r="C125" s="357"/>
      <c r="D125" s="357"/>
      <c r="E125" s="357"/>
      <c r="F125" s="64"/>
      <c r="H125" s="64"/>
      <c r="K125" s="357"/>
      <c r="L125" s="357"/>
      <c r="M125" s="357"/>
      <c r="N125" s="357"/>
      <c r="O125" s="357"/>
      <c r="P125" s="357"/>
      <c r="Q125" s="356"/>
      <c r="R125" s="357"/>
    </row>
    <row r="126" spans="1:18">
      <c r="A126" s="357"/>
      <c r="B126" s="64"/>
      <c r="C126" s="357"/>
      <c r="D126" s="357"/>
      <c r="E126" s="357"/>
      <c r="F126" s="64"/>
      <c r="H126" s="64"/>
      <c r="K126" s="357"/>
      <c r="L126" s="357"/>
      <c r="M126" s="357"/>
      <c r="N126" s="357"/>
      <c r="O126" s="357"/>
      <c r="P126" s="357"/>
      <c r="Q126" s="356"/>
      <c r="R126" s="357"/>
    </row>
    <row r="127" spans="1:18">
      <c r="A127" s="357"/>
      <c r="B127" s="64"/>
      <c r="C127" s="357"/>
      <c r="D127" s="357"/>
      <c r="E127" s="357"/>
      <c r="F127" s="64"/>
      <c r="H127" s="64"/>
      <c r="K127" s="357"/>
      <c r="L127" s="357"/>
      <c r="M127" s="357"/>
      <c r="N127" s="357"/>
      <c r="O127" s="357"/>
      <c r="P127" s="357"/>
      <c r="Q127" s="356"/>
      <c r="R127" s="357"/>
    </row>
    <row r="128" spans="1:18">
      <c r="A128" s="357"/>
      <c r="B128" s="64"/>
      <c r="C128" s="357"/>
      <c r="D128" s="357"/>
      <c r="E128" s="357"/>
      <c r="F128" s="64"/>
      <c r="H128" s="64"/>
      <c r="K128" s="357"/>
      <c r="L128" s="357"/>
      <c r="M128" s="357"/>
      <c r="N128" s="357"/>
      <c r="O128" s="357"/>
      <c r="P128" s="357"/>
      <c r="Q128" s="356"/>
      <c r="R128" s="357"/>
    </row>
    <row r="129" spans="1:18">
      <c r="A129" s="357"/>
      <c r="B129" s="64"/>
      <c r="C129" s="357"/>
      <c r="D129" s="357"/>
      <c r="E129" s="357"/>
      <c r="F129" s="64"/>
      <c r="H129" s="64"/>
      <c r="K129" s="357"/>
      <c r="L129" s="357"/>
      <c r="M129" s="357"/>
      <c r="N129" s="357"/>
      <c r="O129" s="357"/>
      <c r="P129" s="357"/>
      <c r="Q129" s="356"/>
      <c r="R129" s="357"/>
    </row>
    <row r="130" spans="1:18">
      <c r="A130" s="357"/>
      <c r="B130" s="64"/>
      <c r="C130" s="357"/>
      <c r="D130" s="357"/>
      <c r="E130" s="357"/>
      <c r="F130" s="64"/>
      <c r="H130" s="64"/>
      <c r="K130" s="357"/>
      <c r="L130" s="357"/>
      <c r="M130" s="357"/>
      <c r="N130" s="357"/>
      <c r="O130" s="357"/>
      <c r="P130" s="357"/>
      <c r="Q130" s="356"/>
      <c r="R130" s="357"/>
    </row>
    <row r="131" spans="1:18">
      <c r="A131" s="357"/>
      <c r="B131" s="64"/>
      <c r="C131" s="357"/>
      <c r="D131" s="357"/>
      <c r="E131" s="357"/>
      <c r="F131" s="64"/>
      <c r="H131" s="64"/>
      <c r="K131" s="357"/>
      <c r="L131" s="357"/>
      <c r="M131" s="357"/>
      <c r="N131" s="357"/>
      <c r="O131" s="357"/>
      <c r="P131" s="357"/>
      <c r="Q131" s="356"/>
      <c r="R131" s="357"/>
    </row>
    <row r="132" spans="1:18">
      <c r="A132" s="357"/>
      <c r="B132" s="64"/>
      <c r="C132" s="357"/>
      <c r="D132" s="357"/>
      <c r="E132" s="357"/>
      <c r="F132" s="64"/>
      <c r="H132" s="64"/>
      <c r="K132" s="357"/>
      <c r="L132" s="357"/>
      <c r="M132" s="357"/>
      <c r="N132" s="357"/>
      <c r="O132" s="357"/>
      <c r="P132" s="357"/>
      <c r="Q132" s="356"/>
      <c r="R132" s="357"/>
    </row>
    <row r="133" spans="1:18">
      <c r="A133" s="357"/>
      <c r="B133" s="64"/>
      <c r="C133" s="357"/>
      <c r="D133" s="357"/>
      <c r="E133" s="357"/>
      <c r="F133" s="64"/>
      <c r="H133" s="64"/>
      <c r="K133" s="357"/>
      <c r="L133" s="357"/>
      <c r="M133" s="357"/>
      <c r="N133" s="357"/>
      <c r="O133" s="357"/>
      <c r="P133" s="357"/>
      <c r="Q133" s="356"/>
      <c r="R133" s="357"/>
    </row>
    <row r="134" spans="1:18">
      <c r="A134" s="357"/>
      <c r="B134" s="64"/>
      <c r="C134" s="357"/>
      <c r="D134" s="357"/>
      <c r="E134" s="357"/>
      <c r="F134" s="64"/>
      <c r="H134" s="64"/>
      <c r="K134" s="357"/>
      <c r="L134" s="357"/>
      <c r="M134" s="357"/>
      <c r="N134" s="357"/>
      <c r="O134" s="357"/>
      <c r="P134" s="357"/>
      <c r="Q134" s="356"/>
      <c r="R134" s="357"/>
    </row>
    <row r="135" spans="1:18">
      <c r="A135" s="357"/>
      <c r="B135" s="64"/>
      <c r="C135" s="357"/>
      <c r="D135" s="357"/>
      <c r="E135" s="357"/>
      <c r="F135" s="64"/>
      <c r="H135" s="64"/>
      <c r="K135" s="357"/>
      <c r="L135" s="357"/>
      <c r="M135" s="357"/>
      <c r="N135" s="357"/>
      <c r="O135" s="357"/>
      <c r="P135" s="357"/>
      <c r="Q135" s="356"/>
      <c r="R135" s="357"/>
    </row>
    <row r="136" spans="1:18">
      <c r="A136" s="357"/>
      <c r="B136" s="64"/>
      <c r="C136" s="357"/>
      <c r="D136" s="357"/>
      <c r="E136" s="357"/>
      <c r="F136" s="64"/>
      <c r="H136" s="64"/>
      <c r="K136" s="357"/>
      <c r="L136" s="357"/>
      <c r="M136" s="357"/>
      <c r="N136" s="357"/>
      <c r="O136" s="357"/>
      <c r="P136" s="357"/>
      <c r="Q136" s="356"/>
      <c r="R136" s="357"/>
    </row>
    <row r="137" spans="1:18">
      <c r="A137" s="357"/>
      <c r="B137" s="64"/>
      <c r="C137" s="357"/>
      <c r="D137" s="357"/>
      <c r="E137" s="357"/>
      <c r="F137" s="64"/>
      <c r="H137" s="64"/>
      <c r="K137" s="357"/>
      <c r="L137" s="357"/>
      <c r="M137" s="357"/>
      <c r="N137" s="357"/>
      <c r="O137" s="357"/>
      <c r="P137" s="357"/>
      <c r="Q137" s="356"/>
      <c r="R137" s="357"/>
    </row>
    <row r="138" spans="1:18">
      <c r="A138" s="357"/>
      <c r="B138" s="64"/>
      <c r="C138" s="357"/>
      <c r="D138" s="357"/>
      <c r="E138" s="357"/>
      <c r="F138" s="64"/>
      <c r="H138" s="64"/>
      <c r="K138" s="357"/>
      <c r="L138" s="357"/>
      <c r="M138" s="357"/>
      <c r="N138" s="357"/>
      <c r="O138" s="357"/>
      <c r="P138" s="357"/>
      <c r="Q138" s="356"/>
      <c r="R138" s="357"/>
    </row>
    <row r="139" spans="1:18">
      <c r="A139" s="357"/>
      <c r="B139" s="64"/>
      <c r="C139" s="357"/>
      <c r="D139" s="357"/>
      <c r="E139" s="357"/>
      <c r="F139" s="64"/>
      <c r="H139" s="64"/>
      <c r="K139" s="357"/>
      <c r="L139" s="357"/>
      <c r="M139" s="357"/>
      <c r="N139" s="357"/>
      <c r="O139" s="357"/>
      <c r="P139" s="357"/>
      <c r="Q139" s="356"/>
      <c r="R139" s="357"/>
    </row>
    <row r="140" spans="1:18">
      <c r="A140" s="357"/>
      <c r="B140" s="64"/>
      <c r="C140" s="357"/>
      <c r="D140" s="357"/>
      <c r="E140" s="357"/>
      <c r="F140" s="64"/>
      <c r="H140" s="64"/>
      <c r="K140" s="357"/>
      <c r="L140" s="357"/>
      <c r="M140" s="357"/>
      <c r="N140" s="357"/>
      <c r="O140" s="357"/>
      <c r="P140" s="357"/>
      <c r="Q140" s="356"/>
      <c r="R140" s="357"/>
    </row>
    <row r="141" spans="1:18">
      <c r="A141" s="357"/>
      <c r="B141" s="64"/>
      <c r="C141" s="357"/>
      <c r="D141" s="357"/>
      <c r="E141" s="357"/>
      <c r="F141" s="64"/>
      <c r="H141" s="64"/>
      <c r="K141" s="357"/>
      <c r="L141" s="357"/>
      <c r="M141" s="357"/>
      <c r="N141" s="357"/>
      <c r="O141" s="357"/>
      <c r="P141" s="357"/>
      <c r="Q141" s="356"/>
      <c r="R141" s="357"/>
    </row>
    <row r="142" spans="1:18">
      <c r="A142" s="357"/>
      <c r="B142" s="64"/>
      <c r="C142" s="357"/>
      <c r="D142" s="357"/>
      <c r="E142" s="357"/>
      <c r="F142" s="64"/>
      <c r="H142" s="64"/>
      <c r="K142" s="357"/>
      <c r="L142" s="357"/>
      <c r="M142" s="357"/>
      <c r="N142" s="357"/>
      <c r="O142" s="357"/>
      <c r="P142" s="357"/>
      <c r="Q142" s="356"/>
      <c r="R142" s="357"/>
    </row>
    <row r="143" spans="1:18">
      <c r="A143" s="357"/>
      <c r="B143" s="64"/>
      <c r="C143" s="357"/>
      <c r="D143" s="357"/>
      <c r="E143" s="357"/>
      <c r="F143" s="64"/>
      <c r="H143" s="64"/>
      <c r="K143" s="357"/>
      <c r="L143" s="357"/>
      <c r="M143" s="357"/>
      <c r="N143" s="357"/>
      <c r="O143" s="357"/>
      <c r="P143" s="357"/>
      <c r="Q143" s="356"/>
      <c r="R143" s="357"/>
    </row>
    <row r="144" spans="1:18">
      <c r="A144" s="357"/>
      <c r="B144" s="64"/>
      <c r="C144" s="357"/>
      <c r="D144" s="357"/>
      <c r="E144" s="357"/>
      <c r="F144" s="64"/>
      <c r="H144" s="64"/>
      <c r="K144" s="357"/>
      <c r="L144" s="357"/>
      <c r="M144" s="357"/>
      <c r="N144" s="357"/>
      <c r="O144" s="357"/>
      <c r="P144" s="357"/>
      <c r="Q144" s="356"/>
      <c r="R144" s="357"/>
    </row>
    <row r="145" spans="1:18">
      <c r="A145" s="357"/>
      <c r="B145" s="64"/>
      <c r="C145" s="357"/>
      <c r="D145" s="357"/>
      <c r="E145" s="357"/>
      <c r="F145" s="64"/>
      <c r="H145" s="64"/>
      <c r="K145" s="357"/>
      <c r="L145" s="357"/>
      <c r="M145" s="357"/>
      <c r="N145" s="357"/>
      <c r="O145" s="357"/>
      <c r="P145" s="357"/>
      <c r="Q145" s="356"/>
      <c r="R145" s="357"/>
    </row>
    <row r="146" spans="1:18">
      <c r="A146" s="357"/>
      <c r="B146" s="64"/>
      <c r="C146" s="357"/>
      <c r="D146" s="357"/>
      <c r="E146" s="357"/>
      <c r="F146" s="64"/>
      <c r="H146" s="64"/>
      <c r="K146" s="357"/>
      <c r="L146" s="357"/>
      <c r="M146" s="357"/>
      <c r="N146" s="357"/>
      <c r="O146" s="357"/>
      <c r="P146" s="357"/>
      <c r="Q146" s="356"/>
      <c r="R146" s="357"/>
    </row>
    <row r="147" spans="1:18">
      <c r="A147" s="357"/>
      <c r="B147" s="64"/>
      <c r="C147" s="357"/>
      <c r="D147" s="357"/>
      <c r="E147" s="357"/>
      <c r="F147" s="64"/>
      <c r="H147" s="64"/>
      <c r="K147" s="357"/>
      <c r="L147" s="357"/>
      <c r="M147" s="357"/>
      <c r="N147" s="357"/>
      <c r="O147" s="357"/>
      <c r="P147" s="357"/>
      <c r="Q147" s="356"/>
      <c r="R147" s="357"/>
    </row>
    <row r="148" spans="1:18">
      <c r="A148" s="357"/>
      <c r="B148" s="64"/>
      <c r="C148" s="357"/>
      <c r="D148" s="357"/>
      <c r="E148" s="357"/>
      <c r="F148" s="64"/>
      <c r="H148" s="64"/>
      <c r="K148" s="357"/>
      <c r="L148" s="357"/>
      <c r="M148" s="357"/>
      <c r="N148" s="357"/>
      <c r="O148" s="357"/>
      <c r="P148" s="357"/>
      <c r="Q148" s="356"/>
      <c r="R148" s="357"/>
    </row>
    <row r="149" spans="1:18">
      <c r="A149" s="357"/>
      <c r="B149" s="64"/>
      <c r="C149" s="357"/>
      <c r="D149" s="357"/>
      <c r="E149" s="357"/>
      <c r="F149" s="64"/>
      <c r="H149" s="64"/>
      <c r="K149" s="357"/>
      <c r="L149" s="357"/>
      <c r="M149" s="357"/>
      <c r="N149" s="357"/>
      <c r="O149" s="357"/>
      <c r="P149" s="357"/>
      <c r="Q149" s="356"/>
      <c r="R149" s="357"/>
    </row>
    <row r="150" spans="1:18">
      <c r="A150" s="357"/>
      <c r="B150" s="64"/>
      <c r="C150" s="357"/>
      <c r="D150" s="357"/>
      <c r="E150" s="357"/>
      <c r="F150" s="64"/>
      <c r="H150" s="64"/>
      <c r="K150" s="357"/>
      <c r="L150" s="357"/>
      <c r="M150" s="357"/>
      <c r="N150" s="357"/>
      <c r="O150" s="357"/>
      <c r="P150" s="357"/>
      <c r="Q150" s="356"/>
      <c r="R150" s="357"/>
    </row>
    <row r="151" spans="1:18">
      <c r="A151" s="357"/>
      <c r="B151" s="64"/>
      <c r="C151" s="357"/>
      <c r="D151" s="357"/>
      <c r="E151" s="357"/>
      <c r="F151" s="64"/>
      <c r="H151" s="64"/>
      <c r="K151" s="357"/>
      <c r="L151" s="357"/>
      <c r="M151" s="357"/>
      <c r="N151" s="357"/>
      <c r="O151" s="357"/>
      <c r="P151" s="357"/>
      <c r="Q151" s="356"/>
      <c r="R151" s="357"/>
    </row>
    <row r="152" spans="1:18">
      <c r="A152" s="357"/>
      <c r="B152" s="64"/>
      <c r="C152" s="357"/>
      <c r="D152" s="357"/>
      <c r="E152" s="357"/>
      <c r="F152" s="64"/>
      <c r="H152" s="64"/>
      <c r="K152" s="357"/>
      <c r="L152" s="357"/>
      <c r="M152" s="357"/>
      <c r="N152" s="357"/>
      <c r="O152" s="357"/>
      <c r="P152" s="357"/>
      <c r="Q152" s="356"/>
      <c r="R152" s="357"/>
    </row>
    <row r="153" spans="1:18">
      <c r="A153" s="357"/>
      <c r="B153" s="64"/>
      <c r="C153" s="357"/>
      <c r="D153" s="357"/>
      <c r="E153" s="357"/>
      <c r="F153" s="64"/>
      <c r="H153" s="64"/>
      <c r="K153" s="357"/>
      <c r="L153" s="357"/>
      <c r="M153" s="357"/>
      <c r="N153" s="357"/>
      <c r="O153" s="357"/>
      <c r="P153" s="357"/>
      <c r="Q153" s="356"/>
      <c r="R153" s="357"/>
    </row>
    <row r="154" spans="1:18">
      <c r="A154" s="357"/>
      <c r="B154" s="64"/>
      <c r="C154" s="357"/>
      <c r="D154" s="357"/>
      <c r="E154" s="357"/>
      <c r="F154" s="64"/>
      <c r="H154" s="64"/>
      <c r="K154" s="357"/>
      <c r="L154" s="357"/>
      <c r="M154" s="357"/>
      <c r="N154" s="357"/>
      <c r="O154" s="357"/>
      <c r="P154" s="357"/>
      <c r="Q154" s="356"/>
      <c r="R154" s="357"/>
    </row>
    <row r="155" spans="1:18">
      <c r="A155" s="357"/>
      <c r="B155" s="64"/>
      <c r="C155" s="357"/>
      <c r="D155" s="357"/>
      <c r="E155" s="357"/>
      <c r="F155" s="64"/>
      <c r="H155" s="64"/>
      <c r="K155" s="357"/>
      <c r="L155" s="357"/>
      <c r="M155" s="357"/>
      <c r="N155" s="357"/>
      <c r="O155" s="357"/>
      <c r="P155" s="357"/>
      <c r="Q155" s="356"/>
      <c r="R155" s="357"/>
    </row>
    <row r="156" spans="1:18">
      <c r="A156" s="357"/>
      <c r="B156" s="64"/>
      <c r="C156" s="357"/>
      <c r="D156" s="357"/>
      <c r="E156" s="357"/>
      <c r="F156" s="64"/>
      <c r="H156" s="64"/>
      <c r="K156" s="357"/>
      <c r="L156" s="357"/>
      <c r="M156" s="357"/>
      <c r="N156" s="357"/>
      <c r="O156" s="357"/>
      <c r="P156" s="357"/>
      <c r="Q156" s="356"/>
      <c r="R156" s="357"/>
    </row>
    <row r="157" spans="1:18">
      <c r="A157" s="357"/>
      <c r="B157" s="64"/>
      <c r="C157" s="357"/>
      <c r="D157" s="357"/>
      <c r="E157" s="357"/>
      <c r="F157" s="64"/>
      <c r="H157" s="64"/>
      <c r="K157" s="357"/>
      <c r="L157" s="357"/>
      <c r="M157" s="357"/>
      <c r="N157" s="357"/>
      <c r="O157" s="357"/>
      <c r="P157" s="357"/>
      <c r="Q157" s="356"/>
      <c r="R157" s="357"/>
    </row>
    <row r="158" spans="1:18">
      <c r="A158" s="357"/>
      <c r="B158" s="64"/>
      <c r="C158" s="357"/>
      <c r="D158" s="357"/>
      <c r="E158" s="357"/>
      <c r="F158" s="64"/>
      <c r="H158" s="64"/>
      <c r="K158" s="357"/>
      <c r="L158" s="357"/>
      <c r="M158" s="357"/>
      <c r="N158" s="357"/>
      <c r="O158" s="357"/>
      <c r="P158" s="357"/>
      <c r="Q158" s="356"/>
      <c r="R158" s="357"/>
    </row>
    <row r="159" spans="1:18">
      <c r="A159" s="357"/>
      <c r="B159" s="64"/>
      <c r="C159" s="357"/>
      <c r="D159" s="357"/>
      <c r="E159" s="357"/>
      <c r="F159" s="64"/>
      <c r="H159" s="64"/>
      <c r="K159" s="357"/>
      <c r="L159" s="357"/>
      <c r="M159" s="357"/>
      <c r="N159" s="357"/>
      <c r="O159" s="357"/>
      <c r="P159" s="357"/>
      <c r="Q159" s="356"/>
      <c r="R159" s="357"/>
    </row>
    <row r="160" spans="1:18">
      <c r="A160" s="357"/>
      <c r="B160" s="64"/>
      <c r="C160" s="357"/>
      <c r="D160" s="357"/>
      <c r="E160" s="357"/>
      <c r="F160" s="64"/>
      <c r="H160" s="64"/>
      <c r="K160" s="357"/>
      <c r="L160" s="357"/>
      <c r="M160" s="357"/>
      <c r="N160" s="357"/>
      <c r="O160" s="357"/>
      <c r="P160" s="357"/>
      <c r="Q160" s="356"/>
      <c r="R160" s="357"/>
    </row>
    <row r="161" spans="1:18">
      <c r="A161" s="357"/>
      <c r="B161" s="64"/>
      <c r="C161" s="357"/>
      <c r="D161" s="357"/>
      <c r="E161" s="357"/>
      <c r="F161" s="64"/>
      <c r="H161" s="64"/>
      <c r="K161" s="357"/>
      <c r="L161" s="357"/>
      <c r="M161" s="357"/>
      <c r="N161" s="357"/>
      <c r="O161" s="357"/>
      <c r="P161" s="357"/>
      <c r="Q161" s="356"/>
      <c r="R161" s="357"/>
    </row>
    <row r="162" spans="1:18">
      <c r="A162" s="357"/>
      <c r="B162" s="64"/>
      <c r="C162" s="357"/>
      <c r="D162" s="357"/>
      <c r="E162" s="357"/>
      <c r="F162" s="64"/>
      <c r="H162" s="64"/>
      <c r="K162" s="357"/>
      <c r="L162" s="357"/>
      <c r="M162" s="357"/>
      <c r="N162" s="357"/>
      <c r="O162" s="357"/>
      <c r="P162" s="357"/>
      <c r="Q162" s="356"/>
      <c r="R162" s="357"/>
    </row>
    <row r="163" spans="1:18">
      <c r="A163" s="357"/>
      <c r="B163" s="64"/>
      <c r="C163" s="357"/>
      <c r="D163" s="357"/>
      <c r="E163" s="357"/>
      <c r="F163" s="64"/>
      <c r="H163" s="64"/>
      <c r="K163" s="357"/>
      <c r="L163" s="357"/>
      <c r="M163" s="357"/>
      <c r="N163" s="357"/>
      <c r="O163" s="357"/>
      <c r="P163" s="357"/>
      <c r="Q163" s="356"/>
      <c r="R163" s="357"/>
    </row>
    <row r="164" spans="1:18">
      <c r="A164" s="357"/>
      <c r="B164" s="64"/>
      <c r="C164" s="357"/>
      <c r="D164" s="357"/>
      <c r="E164" s="357"/>
      <c r="F164" s="64"/>
      <c r="H164" s="64"/>
      <c r="K164" s="357"/>
      <c r="L164" s="357"/>
      <c r="M164" s="357"/>
      <c r="N164" s="357"/>
      <c r="O164" s="357"/>
      <c r="P164" s="357"/>
      <c r="Q164" s="356"/>
      <c r="R164" s="357"/>
    </row>
    <row r="165" spans="1:18">
      <c r="A165" s="357"/>
      <c r="B165" s="64"/>
      <c r="C165" s="357"/>
      <c r="D165" s="357"/>
      <c r="E165" s="357"/>
      <c r="F165" s="64"/>
      <c r="H165" s="64"/>
      <c r="K165" s="357"/>
      <c r="L165" s="357"/>
      <c r="M165" s="357"/>
      <c r="N165" s="357"/>
      <c r="O165" s="357"/>
      <c r="P165" s="357"/>
      <c r="Q165" s="356"/>
      <c r="R165" s="357"/>
    </row>
    <row r="166" spans="1:18">
      <c r="A166" s="357"/>
      <c r="B166" s="64"/>
      <c r="C166" s="357"/>
      <c r="D166" s="357"/>
      <c r="E166" s="357"/>
      <c r="F166" s="64"/>
      <c r="H166" s="64"/>
      <c r="K166" s="357"/>
      <c r="L166" s="357"/>
      <c r="M166" s="357"/>
      <c r="N166" s="357"/>
      <c r="O166" s="357"/>
      <c r="P166" s="357"/>
      <c r="Q166" s="356"/>
      <c r="R166" s="357"/>
    </row>
    <row r="167" spans="1:18">
      <c r="A167" s="357"/>
      <c r="B167" s="64"/>
      <c r="C167" s="357"/>
      <c r="D167" s="357"/>
      <c r="E167" s="357"/>
      <c r="F167" s="64"/>
      <c r="H167" s="64"/>
      <c r="K167" s="357"/>
      <c r="L167" s="357"/>
      <c r="M167" s="357"/>
      <c r="N167" s="357"/>
      <c r="O167" s="357"/>
      <c r="P167" s="357"/>
      <c r="Q167" s="356"/>
      <c r="R167" s="357"/>
    </row>
    <row r="168" spans="1:18">
      <c r="A168" s="357"/>
      <c r="B168" s="64"/>
      <c r="C168" s="357"/>
      <c r="D168" s="357"/>
      <c r="E168" s="357"/>
      <c r="F168" s="64"/>
      <c r="H168" s="64"/>
      <c r="K168" s="357"/>
      <c r="L168" s="357"/>
      <c r="M168" s="357"/>
      <c r="N168" s="357"/>
      <c r="O168" s="357"/>
      <c r="P168" s="357"/>
      <c r="Q168" s="356"/>
      <c r="R168" s="357"/>
    </row>
    <row r="169" spans="1:18">
      <c r="A169" s="357"/>
      <c r="B169" s="64"/>
      <c r="C169" s="357"/>
      <c r="D169" s="357"/>
      <c r="E169" s="357"/>
      <c r="F169" s="64"/>
      <c r="H169" s="64"/>
      <c r="K169" s="357"/>
      <c r="L169" s="357"/>
      <c r="M169" s="357"/>
      <c r="N169" s="357"/>
      <c r="O169" s="357"/>
      <c r="P169" s="357"/>
      <c r="Q169" s="356"/>
      <c r="R169" s="357"/>
    </row>
    <row r="170" spans="1:18">
      <c r="A170" s="357"/>
      <c r="B170" s="64"/>
      <c r="C170" s="357"/>
      <c r="D170" s="357"/>
      <c r="E170" s="357"/>
      <c r="F170" s="64"/>
      <c r="H170" s="64"/>
      <c r="K170" s="357"/>
      <c r="L170" s="357"/>
      <c r="M170" s="357"/>
      <c r="N170" s="357"/>
      <c r="O170" s="357"/>
      <c r="P170" s="357"/>
      <c r="Q170" s="356"/>
      <c r="R170" s="357"/>
    </row>
    <row r="171" spans="1:18">
      <c r="A171" s="357"/>
      <c r="B171" s="64"/>
      <c r="C171" s="357"/>
      <c r="D171" s="357"/>
      <c r="E171" s="357"/>
      <c r="F171" s="64"/>
      <c r="H171" s="64"/>
      <c r="K171" s="357"/>
      <c r="L171" s="357"/>
      <c r="M171" s="357"/>
      <c r="N171" s="357"/>
      <c r="O171" s="357"/>
      <c r="P171" s="357"/>
      <c r="Q171" s="356"/>
      <c r="R171" s="357"/>
    </row>
    <row r="172" spans="1:18">
      <c r="A172" s="357"/>
      <c r="B172" s="64"/>
      <c r="C172" s="357"/>
      <c r="D172" s="357"/>
      <c r="E172" s="357"/>
      <c r="F172" s="64"/>
      <c r="H172" s="64"/>
      <c r="K172" s="357"/>
      <c r="L172" s="357"/>
      <c r="M172" s="357"/>
      <c r="N172" s="357"/>
      <c r="O172" s="357"/>
      <c r="P172" s="357"/>
      <c r="Q172" s="356"/>
      <c r="R172" s="357"/>
    </row>
    <row r="173" spans="1:18">
      <c r="A173" s="357"/>
      <c r="B173" s="64"/>
      <c r="C173" s="357"/>
      <c r="D173" s="357"/>
      <c r="E173" s="357"/>
      <c r="F173" s="64"/>
      <c r="H173" s="64"/>
      <c r="K173" s="357"/>
      <c r="L173" s="357"/>
      <c r="M173" s="357"/>
      <c r="N173" s="357"/>
      <c r="O173" s="357"/>
      <c r="P173" s="357"/>
      <c r="Q173" s="356"/>
      <c r="R173" s="357"/>
    </row>
    <row r="174" spans="1:18">
      <c r="A174" s="357"/>
      <c r="B174" s="64"/>
      <c r="C174" s="357"/>
      <c r="D174" s="357"/>
      <c r="E174" s="357"/>
      <c r="F174" s="64"/>
      <c r="H174" s="64"/>
      <c r="K174" s="357"/>
      <c r="L174" s="357"/>
      <c r="M174" s="357"/>
      <c r="N174" s="357"/>
      <c r="O174" s="357"/>
      <c r="P174" s="357"/>
      <c r="Q174" s="356"/>
      <c r="R174" s="357"/>
    </row>
    <row r="175" spans="1:18">
      <c r="A175" s="357"/>
      <c r="B175" s="64"/>
      <c r="C175" s="357"/>
      <c r="D175" s="357"/>
      <c r="E175" s="357"/>
      <c r="F175" s="64"/>
      <c r="H175" s="64"/>
      <c r="K175" s="357"/>
      <c r="L175" s="357"/>
      <c r="M175" s="357"/>
      <c r="N175" s="357"/>
      <c r="O175" s="357"/>
      <c r="P175" s="357"/>
      <c r="Q175" s="356"/>
      <c r="R175" s="357"/>
    </row>
    <row r="176" spans="1:18">
      <c r="A176" s="357"/>
      <c r="B176" s="64"/>
      <c r="C176" s="357"/>
      <c r="D176" s="357"/>
      <c r="E176" s="357"/>
      <c r="F176" s="64"/>
      <c r="H176" s="64"/>
      <c r="K176" s="357"/>
      <c r="L176" s="357"/>
      <c r="M176" s="357"/>
      <c r="N176" s="357"/>
      <c r="O176" s="357"/>
      <c r="P176" s="357"/>
      <c r="Q176" s="356"/>
      <c r="R176" s="357"/>
    </row>
    <row r="177" spans="1:18">
      <c r="A177" s="357"/>
      <c r="B177" s="64"/>
      <c r="C177" s="357"/>
      <c r="D177" s="357"/>
      <c r="E177" s="357"/>
      <c r="F177" s="64"/>
      <c r="H177" s="64"/>
      <c r="K177" s="357"/>
      <c r="L177" s="357"/>
      <c r="M177" s="357"/>
      <c r="N177" s="357"/>
      <c r="O177" s="357"/>
      <c r="P177" s="357"/>
      <c r="Q177" s="356"/>
      <c r="R177" s="357"/>
    </row>
    <row r="178" spans="1:18">
      <c r="A178" s="357"/>
      <c r="B178" s="64"/>
      <c r="C178" s="357"/>
      <c r="D178" s="357"/>
      <c r="E178" s="357"/>
      <c r="F178" s="64"/>
      <c r="H178" s="64"/>
      <c r="K178" s="357"/>
      <c r="L178" s="357"/>
      <c r="M178" s="357"/>
      <c r="N178" s="357"/>
      <c r="O178" s="357"/>
      <c r="P178" s="357"/>
      <c r="Q178" s="356"/>
      <c r="R178" s="357"/>
    </row>
    <row r="179" spans="1:18">
      <c r="A179" s="357"/>
      <c r="B179" s="64"/>
      <c r="C179" s="357"/>
      <c r="D179" s="357"/>
      <c r="E179" s="357"/>
      <c r="F179" s="64"/>
      <c r="H179" s="64"/>
      <c r="K179" s="357"/>
      <c r="L179" s="357"/>
      <c r="M179" s="357"/>
      <c r="N179" s="357"/>
      <c r="O179" s="357"/>
      <c r="P179" s="357"/>
      <c r="Q179" s="356"/>
      <c r="R179" s="357"/>
    </row>
  </sheetData>
  <dataConsolidate/>
  <mergeCells count="26">
    <mergeCell ref="A26:A27"/>
    <mergeCell ref="Q26:Q27"/>
    <mergeCell ref="R26:R27"/>
    <mergeCell ref="A55:A56"/>
    <mergeCell ref="A28:A32"/>
    <mergeCell ref="Q28:Q32"/>
    <mergeCell ref="R28:R32"/>
    <mergeCell ref="A33:A35"/>
    <mergeCell ref="A36:A37"/>
    <mergeCell ref="A39:A40"/>
    <mergeCell ref="A41:A43"/>
    <mergeCell ref="A45:A48"/>
    <mergeCell ref="A49:A50"/>
    <mergeCell ref="A51:A52"/>
    <mergeCell ref="A53:A54"/>
    <mergeCell ref="AF2:AK2"/>
    <mergeCell ref="AA23:AF23"/>
    <mergeCell ref="A9:A13"/>
    <mergeCell ref="C1:I1"/>
    <mergeCell ref="K1:P1"/>
    <mergeCell ref="T2:Y2"/>
    <mergeCell ref="A4:A5"/>
    <mergeCell ref="A6:A8"/>
    <mergeCell ref="A15:A20"/>
    <mergeCell ref="A21:A24"/>
    <mergeCell ref="T24:U24"/>
  </mergeCells>
  <conditionalFormatting sqref="O3:O56">
    <cfRule type="cellIs" dxfId="36" priority="5" operator="lessThan">
      <formula>0</formula>
    </cfRule>
  </conditionalFormatting>
  <conditionalFormatting sqref="M3:M56">
    <cfRule type="expression" dxfId="35" priority="4">
      <formula>(M3&lt;E3)</formula>
    </cfRule>
  </conditionalFormatting>
  <conditionalFormatting sqref="U4:Z15">
    <cfRule type="cellIs" dxfId="34" priority="3" operator="greaterThan">
      <formula>0</formula>
    </cfRule>
  </conditionalFormatting>
  <conditionalFormatting sqref="AG4:AL15">
    <cfRule type="cellIs" dxfId="33" priority="2" operator="greaterThan">
      <formula>0</formula>
    </cfRule>
  </conditionalFormatting>
  <conditionalFormatting sqref="AB25:AG36">
    <cfRule type="cellIs" dxfId="32" priority="1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9"/>
  <sheetViews>
    <sheetView topLeftCell="R1" zoomScale="80" zoomScaleNormal="80" workbookViewId="0">
      <selection activeCell="AI3" sqref="AI3"/>
    </sheetView>
  </sheetViews>
  <sheetFormatPr defaultColWidth="9" defaultRowHeight="12.75"/>
  <cols>
    <col min="1" max="1" width="13.42578125" style="5" customWidth="1"/>
    <col min="2" max="2" width="22.7109375" style="63" customWidth="1"/>
    <col min="3" max="3" width="26.7109375" style="59" customWidth="1"/>
    <col min="4" max="4" width="16.85546875" style="59" customWidth="1"/>
    <col min="5" max="5" width="16.7109375" style="62" customWidth="1"/>
    <col min="6" max="6" width="23.7109375" style="61" customWidth="1"/>
    <col min="7" max="7" width="15.42578125" style="61" customWidth="1"/>
    <col min="8" max="8" width="23.7109375" style="61" customWidth="1"/>
    <col min="9" max="10" width="16.140625" style="59" customWidth="1"/>
    <col min="11" max="11" width="28.85546875" style="59" customWidth="1"/>
    <col min="12" max="12" width="17.7109375" style="59" customWidth="1"/>
    <col min="13" max="13" width="16.140625" style="59" customWidth="1"/>
    <col min="14" max="14" width="17.7109375" style="59" customWidth="1"/>
    <col min="15" max="15" width="23.28515625" style="59" customWidth="1"/>
    <col min="16" max="16" width="17.5703125" style="62" customWidth="1"/>
    <col min="17" max="17" width="26.5703125" style="10" customWidth="1"/>
    <col min="18" max="18" width="35.140625" style="59" customWidth="1"/>
    <col min="19" max="19" width="23" style="58" customWidth="1"/>
    <col min="20" max="20" width="22.85546875" style="5" customWidth="1"/>
    <col min="21" max="21" width="23.7109375" style="5" customWidth="1"/>
    <col min="22" max="22" width="21.5703125" style="5" customWidth="1"/>
    <col min="23" max="16384" width="9" style="5"/>
  </cols>
  <sheetData>
    <row r="1" spans="1:38" ht="14.25" customHeight="1">
      <c r="A1" s="355"/>
      <c r="B1" s="200"/>
      <c r="C1" s="516" t="s">
        <v>453</v>
      </c>
      <c r="D1" s="517"/>
      <c r="E1" s="517"/>
      <c r="F1" s="517"/>
      <c r="G1" s="517"/>
      <c r="H1" s="517"/>
      <c r="I1" s="518"/>
      <c r="J1" s="354"/>
      <c r="K1" s="521" t="s">
        <v>452</v>
      </c>
      <c r="L1" s="522"/>
      <c r="M1" s="522"/>
      <c r="N1" s="522"/>
      <c r="O1" s="522"/>
      <c r="P1" s="552"/>
      <c r="Q1" s="7"/>
      <c r="R1" s="7"/>
    </row>
    <row r="2" spans="1:38" ht="13.5" thickBot="1">
      <c r="A2" s="355" t="s">
        <v>451</v>
      </c>
      <c r="B2" s="198" t="s">
        <v>450</v>
      </c>
      <c r="C2" s="197" t="s">
        <v>449</v>
      </c>
      <c r="D2" s="196" t="s">
        <v>34</v>
      </c>
      <c r="E2" s="196" t="s">
        <v>33</v>
      </c>
      <c r="F2" s="196" t="s">
        <v>448</v>
      </c>
      <c r="G2" s="196" t="s">
        <v>460</v>
      </c>
      <c r="H2" s="196" t="s">
        <v>461</v>
      </c>
      <c r="I2" s="196" t="s">
        <v>445</v>
      </c>
      <c r="J2" s="195" t="s">
        <v>458</v>
      </c>
      <c r="K2" s="192" t="s">
        <v>447</v>
      </c>
      <c r="L2" s="194" t="s">
        <v>34</v>
      </c>
      <c r="M2" s="194" t="s">
        <v>33</v>
      </c>
      <c r="N2" s="193" t="s">
        <v>446</v>
      </c>
      <c r="O2" s="192" t="s">
        <v>445</v>
      </c>
      <c r="P2" s="252" t="s">
        <v>457</v>
      </c>
      <c r="Q2" s="356"/>
      <c r="R2" s="357"/>
      <c r="T2" s="494" t="s">
        <v>565</v>
      </c>
      <c r="U2" s="495"/>
      <c r="V2" s="495"/>
      <c r="W2" s="495"/>
      <c r="X2" s="495"/>
      <c r="Y2" s="496"/>
      <c r="Z2" s="166"/>
      <c r="AF2" s="494" t="s">
        <v>561</v>
      </c>
      <c r="AG2" s="495"/>
      <c r="AH2" s="495"/>
      <c r="AI2" s="495"/>
      <c r="AJ2" s="495"/>
      <c r="AK2" s="496"/>
      <c r="AL2" s="166"/>
    </row>
    <row r="3" spans="1:38" ht="13.5" thickBot="1">
      <c r="A3" s="164" t="s">
        <v>439</v>
      </c>
      <c r="B3" s="186" t="s">
        <v>438</v>
      </c>
      <c r="C3" s="185" t="s">
        <v>437</v>
      </c>
      <c r="D3" s="184">
        <v>386.9</v>
      </c>
      <c r="E3" s="184">
        <v>200</v>
      </c>
      <c r="F3" s="184">
        <v>131.95400000000001</v>
      </c>
      <c r="G3" s="184">
        <v>0.5</v>
      </c>
      <c r="H3" s="184">
        <f>F3*G3</f>
        <v>65.977000000000004</v>
      </c>
      <c r="I3" s="184">
        <f>E3-H3</f>
        <v>134.023</v>
      </c>
      <c r="J3" s="183">
        <f>H3/E3*100</f>
        <v>32.988500000000002</v>
      </c>
      <c r="K3" s="180" t="s">
        <v>436</v>
      </c>
      <c r="L3" s="182">
        <v>598.85</v>
      </c>
      <c r="M3" s="182">
        <v>150</v>
      </c>
      <c r="N3" s="181">
        <f t="shared" ref="N3:N13" si="0">F3</f>
        <v>131.95400000000001</v>
      </c>
      <c r="O3" s="251">
        <f>M3-H3</f>
        <v>84.022999999999996</v>
      </c>
      <c r="P3" s="181" t="str">
        <f t="shared" ref="P3:P9" si="1">IF(O3&gt;=0,"No","Yes")</f>
        <v>No</v>
      </c>
      <c r="Q3" s="356"/>
      <c r="R3" s="356"/>
      <c r="T3" s="336" t="s">
        <v>470</v>
      </c>
      <c r="U3" s="338" t="s">
        <v>471</v>
      </c>
      <c r="V3" s="338" t="s">
        <v>472</v>
      </c>
      <c r="W3" s="338" t="s">
        <v>473</v>
      </c>
      <c r="X3" s="338" t="s">
        <v>474</v>
      </c>
      <c r="Y3" s="339" t="s">
        <v>475</v>
      </c>
      <c r="Z3" s="340" t="s">
        <v>418</v>
      </c>
      <c r="AF3" s="336" t="s">
        <v>470</v>
      </c>
      <c r="AG3" s="338" t="s">
        <v>471</v>
      </c>
      <c r="AH3" s="338" t="s">
        <v>472</v>
      </c>
      <c r="AI3" s="338" t="s">
        <v>473</v>
      </c>
      <c r="AJ3" s="338" t="s">
        <v>474</v>
      </c>
      <c r="AK3" s="339" t="s">
        <v>527</v>
      </c>
      <c r="AL3" s="340" t="s">
        <v>418</v>
      </c>
    </row>
    <row r="4" spans="1:38" ht="13.5" thickBot="1">
      <c r="A4" s="519" t="s">
        <v>44</v>
      </c>
      <c r="B4" s="179" t="s">
        <v>3</v>
      </c>
      <c r="C4" s="178" t="s">
        <v>44</v>
      </c>
      <c r="D4" s="177">
        <v>424.31</v>
      </c>
      <c r="E4" s="177">
        <v>200</v>
      </c>
      <c r="F4" s="177">
        <v>79.758499999999998</v>
      </c>
      <c r="G4" s="85">
        <v>0.5</v>
      </c>
      <c r="H4" s="85">
        <f t="shared" ref="H4:H56" si="2">F4*G4</f>
        <v>39.879249999999999</v>
      </c>
      <c r="I4" s="94">
        <f t="shared" ref="I4:I13" si="3">E4-H4</f>
        <v>160.12074999999999</v>
      </c>
      <c r="J4" s="93">
        <f t="shared" ref="J4:J13" si="4">H4/E4*100</f>
        <v>19.939624999999999</v>
      </c>
      <c r="K4" s="304" t="s">
        <v>435</v>
      </c>
      <c r="L4" s="176">
        <v>561.44000000000005</v>
      </c>
      <c r="M4" s="176">
        <v>150</v>
      </c>
      <c r="N4" s="175">
        <f t="shared" si="0"/>
        <v>79.758499999999998</v>
      </c>
      <c r="O4" s="251">
        <f t="shared" ref="O4:O13" si="5">M4-H4</f>
        <v>110.12075</v>
      </c>
      <c r="P4" s="182" t="str">
        <f t="shared" si="1"/>
        <v>No</v>
      </c>
      <c r="Q4" s="356"/>
      <c r="R4" s="356"/>
      <c r="T4" s="60" t="s">
        <v>84</v>
      </c>
      <c r="U4" s="341">
        <v>0</v>
      </c>
      <c r="V4" s="341">
        <v>0</v>
      </c>
      <c r="W4" s="342">
        <v>0</v>
      </c>
      <c r="X4" s="342">
        <v>0</v>
      </c>
      <c r="Y4" s="343">
        <v>0</v>
      </c>
      <c r="Z4" s="344">
        <f>SUM(U4:Y4)</f>
        <v>0</v>
      </c>
      <c r="AF4" s="60" t="s">
        <v>84</v>
      </c>
      <c r="AG4" s="343">
        <v>0</v>
      </c>
      <c r="AH4" s="343">
        <f>3</f>
        <v>3</v>
      </c>
      <c r="AI4" s="419">
        <f>1+1</f>
        <v>2</v>
      </c>
      <c r="AJ4" s="419">
        <f>1</f>
        <v>1</v>
      </c>
      <c r="AK4" s="343">
        <v>0</v>
      </c>
      <c r="AL4" s="344">
        <f>SUM(AG4:AK4)</f>
        <v>6</v>
      </c>
    </row>
    <row r="5" spans="1:38" ht="14.25" customHeight="1" thickBot="1">
      <c r="A5" s="499"/>
      <c r="B5" s="63" t="s">
        <v>25</v>
      </c>
      <c r="C5" s="114" t="s">
        <v>65</v>
      </c>
      <c r="D5" s="94">
        <v>645.40499999999997</v>
      </c>
      <c r="E5" s="94">
        <v>150</v>
      </c>
      <c r="F5" s="94">
        <v>101.52370000000001</v>
      </c>
      <c r="G5" s="73">
        <v>0.5</v>
      </c>
      <c r="H5" s="73">
        <f t="shared" si="2"/>
        <v>50.761850000000003</v>
      </c>
      <c r="I5" s="94">
        <f t="shared" si="3"/>
        <v>99.23814999999999</v>
      </c>
      <c r="J5" s="93">
        <f t="shared" si="4"/>
        <v>33.841233333333335</v>
      </c>
      <c r="K5" s="301" t="s">
        <v>430</v>
      </c>
      <c r="L5" s="92">
        <v>691.82</v>
      </c>
      <c r="M5" s="92">
        <v>150</v>
      </c>
      <c r="N5" s="91">
        <f t="shared" si="0"/>
        <v>101.52370000000001</v>
      </c>
      <c r="O5" s="251">
        <f t="shared" si="5"/>
        <v>99.23814999999999</v>
      </c>
      <c r="P5" s="182" t="str">
        <f t="shared" si="1"/>
        <v>No</v>
      </c>
      <c r="Q5" s="352" t="s">
        <v>441</v>
      </c>
      <c r="R5" s="352" t="s">
        <v>456</v>
      </c>
      <c r="T5" s="60" t="s">
        <v>85</v>
      </c>
      <c r="U5" s="341">
        <v>0</v>
      </c>
      <c r="V5" s="341">
        <v>0</v>
      </c>
      <c r="W5" s="341">
        <v>0</v>
      </c>
      <c r="X5" s="341">
        <v>0</v>
      </c>
      <c r="Y5" s="343">
        <v>0</v>
      </c>
      <c r="Z5" s="60">
        <f t="shared" ref="Z5:Z15" si="6">SUM(U5:Y5)</f>
        <v>0</v>
      </c>
      <c r="AF5" s="60" t="s">
        <v>85</v>
      </c>
      <c r="AG5" s="343">
        <v>0</v>
      </c>
      <c r="AH5" s="343">
        <f>2+1+1</f>
        <v>4</v>
      </c>
      <c r="AI5" s="343">
        <f>2+1</f>
        <v>3</v>
      </c>
      <c r="AJ5" s="343">
        <v>0</v>
      </c>
      <c r="AK5" s="343">
        <f>1+1</f>
        <v>2</v>
      </c>
      <c r="AL5" s="60">
        <f t="shared" ref="AL5:AL15" si="7">SUM(AG5:AK5)</f>
        <v>9</v>
      </c>
    </row>
    <row r="6" spans="1:38" ht="13.5" thickBot="1">
      <c r="A6" s="497" t="s">
        <v>434</v>
      </c>
      <c r="B6" s="87" t="s">
        <v>433</v>
      </c>
      <c r="C6" s="86" t="s">
        <v>392</v>
      </c>
      <c r="D6" s="85">
        <v>774.56</v>
      </c>
      <c r="E6" s="85">
        <v>450</v>
      </c>
      <c r="F6" s="85">
        <v>593.39</v>
      </c>
      <c r="G6" s="85">
        <v>0.5</v>
      </c>
      <c r="H6" s="85">
        <f t="shared" si="2"/>
        <v>296.69499999999999</v>
      </c>
      <c r="I6" s="85">
        <f t="shared" si="3"/>
        <v>153.30500000000001</v>
      </c>
      <c r="J6" s="84">
        <f t="shared" si="4"/>
        <v>65.932222222222222</v>
      </c>
      <c r="K6" s="100" t="s">
        <v>432</v>
      </c>
      <c r="L6" s="83">
        <v>778.62</v>
      </c>
      <c r="M6" s="83">
        <v>450</v>
      </c>
      <c r="N6" s="82">
        <f t="shared" si="0"/>
        <v>593.39</v>
      </c>
      <c r="O6" s="251">
        <f t="shared" si="5"/>
        <v>153.30500000000001</v>
      </c>
      <c r="P6" s="182" t="str">
        <f t="shared" si="1"/>
        <v>No</v>
      </c>
      <c r="Q6" s="219"/>
      <c r="R6" s="218"/>
      <c r="T6" s="60" t="s">
        <v>86</v>
      </c>
      <c r="U6" s="341">
        <v>0</v>
      </c>
      <c r="V6" s="341">
        <v>0</v>
      </c>
      <c r="W6" s="341">
        <v>0</v>
      </c>
      <c r="X6" s="341">
        <v>0</v>
      </c>
      <c r="Y6" s="343">
        <v>0</v>
      </c>
      <c r="Z6" s="60">
        <f t="shared" si="6"/>
        <v>0</v>
      </c>
      <c r="AB6" s="405" t="s">
        <v>476</v>
      </c>
      <c r="AC6" s="405" t="s">
        <v>477</v>
      </c>
      <c r="AD6" s="345" t="s">
        <v>478</v>
      </c>
      <c r="AF6" s="60" t="s">
        <v>86</v>
      </c>
      <c r="AG6" s="341">
        <v>0</v>
      </c>
      <c r="AH6" s="343">
        <v>0</v>
      </c>
      <c r="AI6" s="341">
        <f>1+1</f>
        <v>2</v>
      </c>
      <c r="AJ6" s="343">
        <v>0</v>
      </c>
      <c r="AK6" s="343">
        <f>1</f>
        <v>1</v>
      </c>
      <c r="AL6" s="60">
        <f t="shared" si="7"/>
        <v>3</v>
      </c>
    </row>
    <row r="7" spans="1:38" ht="14.25" customHeight="1" thickBot="1">
      <c r="A7" s="499"/>
      <c r="B7" s="96" t="s">
        <v>4</v>
      </c>
      <c r="C7" s="95" t="s">
        <v>45</v>
      </c>
      <c r="D7" s="108">
        <v>221.095</v>
      </c>
      <c r="E7" s="108">
        <v>250</v>
      </c>
      <c r="F7" s="108">
        <v>165.54</v>
      </c>
      <c r="G7" s="94">
        <v>0.5</v>
      </c>
      <c r="H7" s="94">
        <f t="shared" si="2"/>
        <v>82.77</v>
      </c>
      <c r="I7" s="94">
        <f t="shared" si="3"/>
        <v>167.23000000000002</v>
      </c>
      <c r="J7" s="93">
        <f t="shared" si="4"/>
        <v>33.107999999999997</v>
      </c>
      <c r="K7" s="302" t="s">
        <v>431</v>
      </c>
      <c r="L7" s="106">
        <v>904.18</v>
      </c>
      <c r="M7" s="106">
        <v>150</v>
      </c>
      <c r="N7" s="105">
        <f t="shared" si="0"/>
        <v>165.54</v>
      </c>
      <c r="O7" s="251">
        <f t="shared" si="5"/>
        <v>67.23</v>
      </c>
      <c r="P7" s="263" t="str">
        <f t="shared" si="1"/>
        <v>No</v>
      </c>
      <c r="Q7" s="262" t="s">
        <v>351</v>
      </c>
      <c r="R7" s="245" t="s">
        <v>351</v>
      </c>
      <c r="T7" s="60" t="s">
        <v>87</v>
      </c>
      <c r="U7" s="341">
        <v>0</v>
      </c>
      <c r="V7" s="341">
        <v>0</v>
      </c>
      <c r="W7" s="341">
        <v>0</v>
      </c>
      <c r="X7" s="341">
        <v>0</v>
      </c>
      <c r="Y7" s="343">
        <v>0</v>
      </c>
      <c r="Z7" s="60">
        <f t="shared" si="6"/>
        <v>0</v>
      </c>
      <c r="AB7" s="61" t="s">
        <v>471</v>
      </c>
      <c r="AC7" s="61">
        <v>100</v>
      </c>
      <c r="AD7" s="413">
        <v>15</v>
      </c>
      <c r="AF7" s="60" t="s">
        <v>87</v>
      </c>
      <c r="AG7" s="341">
        <v>0</v>
      </c>
      <c r="AH7" s="420">
        <f>3+2+2</f>
        <v>7</v>
      </c>
      <c r="AI7" s="343">
        <f>2+1+2+4+1</f>
        <v>10</v>
      </c>
      <c r="AJ7" s="343">
        <f>1+2+3</f>
        <v>6</v>
      </c>
      <c r="AK7" s="343">
        <v>0</v>
      </c>
      <c r="AL7" s="60">
        <f t="shared" si="7"/>
        <v>23</v>
      </c>
    </row>
    <row r="8" spans="1:38" ht="14.25" customHeight="1" thickBot="1">
      <c r="A8" s="499"/>
      <c r="B8" s="96" t="s">
        <v>25</v>
      </c>
      <c r="C8" s="95" t="s">
        <v>65</v>
      </c>
      <c r="D8" s="94">
        <v>645.40499999999997</v>
      </c>
      <c r="E8" s="94">
        <v>150</v>
      </c>
      <c r="F8" s="94">
        <v>101.52370000000001</v>
      </c>
      <c r="G8" s="73">
        <v>0.5</v>
      </c>
      <c r="H8" s="73">
        <f t="shared" si="2"/>
        <v>50.761850000000003</v>
      </c>
      <c r="I8" s="73">
        <f t="shared" si="3"/>
        <v>99.23814999999999</v>
      </c>
      <c r="J8" s="299">
        <f t="shared" si="4"/>
        <v>33.841233333333335</v>
      </c>
      <c r="K8" s="301" t="s">
        <v>430</v>
      </c>
      <c r="L8" s="92">
        <v>691.82</v>
      </c>
      <c r="M8" s="92">
        <v>150</v>
      </c>
      <c r="N8" s="91">
        <f t="shared" si="0"/>
        <v>101.52370000000001</v>
      </c>
      <c r="O8" s="251">
        <f t="shared" si="5"/>
        <v>99.23814999999999</v>
      </c>
      <c r="P8" s="182" t="str">
        <f t="shared" si="1"/>
        <v>No</v>
      </c>
      <c r="Q8" s="261"/>
      <c r="R8" s="245"/>
      <c r="T8" s="60" t="s">
        <v>88</v>
      </c>
      <c r="U8" s="341">
        <v>0</v>
      </c>
      <c r="V8" s="341">
        <v>0</v>
      </c>
      <c r="W8" s="341">
        <v>0</v>
      </c>
      <c r="X8" s="341">
        <v>0</v>
      </c>
      <c r="Y8" s="343">
        <v>0</v>
      </c>
      <c r="Z8" s="60">
        <f t="shared" si="6"/>
        <v>0</v>
      </c>
      <c r="AA8" s="356"/>
      <c r="AB8" s="346" t="s">
        <v>472</v>
      </c>
      <c r="AC8" s="346">
        <v>150</v>
      </c>
      <c r="AD8" s="414">
        <v>16.3689</v>
      </c>
      <c r="AF8" s="60" t="s">
        <v>88</v>
      </c>
      <c r="AG8" s="341">
        <v>0</v>
      </c>
      <c r="AH8" s="343">
        <v>0</v>
      </c>
      <c r="AI8" s="343">
        <f>1+1+1+2+1+1</f>
        <v>7</v>
      </c>
      <c r="AJ8" s="343">
        <f>1</f>
        <v>1</v>
      </c>
      <c r="AK8" s="343">
        <v>0</v>
      </c>
      <c r="AL8" s="60">
        <f t="shared" si="7"/>
        <v>8</v>
      </c>
    </row>
    <row r="9" spans="1:38" ht="13.5" thickBot="1">
      <c r="A9" s="497" t="s">
        <v>46</v>
      </c>
      <c r="B9" s="87" t="s">
        <v>5</v>
      </c>
      <c r="C9" s="86" t="s">
        <v>46</v>
      </c>
      <c r="D9" s="85">
        <v>87.444999999999993</v>
      </c>
      <c r="E9" s="85">
        <v>300</v>
      </c>
      <c r="F9" s="85">
        <v>330.03719999999998</v>
      </c>
      <c r="G9" s="85">
        <v>0.5</v>
      </c>
      <c r="H9" s="85">
        <f t="shared" si="2"/>
        <v>165.01859999999999</v>
      </c>
      <c r="I9" s="94">
        <f t="shared" si="3"/>
        <v>134.98140000000001</v>
      </c>
      <c r="J9" s="93">
        <f t="shared" si="4"/>
        <v>55.006199999999993</v>
      </c>
      <c r="K9" s="100" t="s">
        <v>429</v>
      </c>
      <c r="L9" s="83">
        <v>243.73500000000001</v>
      </c>
      <c r="M9" s="83">
        <v>250</v>
      </c>
      <c r="N9" s="82">
        <f t="shared" si="0"/>
        <v>330.03719999999998</v>
      </c>
      <c r="O9" s="251">
        <f t="shared" si="5"/>
        <v>84.981400000000008</v>
      </c>
      <c r="P9" s="181" t="str">
        <f t="shared" si="1"/>
        <v>No</v>
      </c>
      <c r="Q9" s="239"/>
      <c r="R9" s="239"/>
      <c r="S9" s="253"/>
      <c r="T9" s="60" t="s">
        <v>89</v>
      </c>
      <c r="U9" s="341">
        <v>0</v>
      </c>
      <c r="V9" s="341">
        <v>0</v>
      </c>
      <c r="W9" s="341">
        <v>0</v>
      </c>
      <c r="X9" s="341">
        <v>0</v>
      </c>
      <c r="Y9" s="343">
        <v>0</v>
      </c>
      <c r="Z9" s="60">
        <f t="shared" si="6"/>
        <v>0</v>
      </c>
      <c r="AA9" s="352"/>
      <c r="AB9" s="346" t="s">
        <v>473</v>
      </c>
      <c r="AC9" s="346">
        <v>200</v>
      </c>
      <c r="AD9" s="414">
        <v>16.746700000000001</v>
      </c>
      <c r="AF9" s="60" t="s">
        <v>89</v>
      </c>
      <c r="AG9" s="343">
        <v>0</v>
      </c>
      <c r="AH9" s="343">
        <f>2+2+1</f>
        <v>5</v>
      </c>
      <c r="AI9" s="343">
        <f>1</f>
        <v>1</v>
      </c>
      <c r="AJ9" s="343">
        <f>1</f>
        <v>1</v>
      </c>
      <c r="AK9" s="343">
        <v>0</v>
      </c>
      <c r="AL9" s="60">
        <f t="shared" si="7"/>
        <v>7</v>
      </c>
    </row>
    <row r="10" spans="1:38" ht="14.25" customHeight="1" thickBot="1">
      <c r="A10" s="499"/>
      <c r="B10" s="96" t="s">
        <v>7</v>
      </c>
      <c r="C10" s="95" t="s">
        <v>48</v>
      </c>
      <c r="D10" s="108">
        <v>457.755</v>
      </c>
      <c r="E10" s="108">
        <v>200</v>
      </c>
      <c r="F10" s="108">
        <v>200.11</v>
      </c>
      <c r="G10" s="94">
        <v>0.5</v>
      </c>
      <c r="H10" s="94">
        <f t="shared" si="2"/>
        <v>100.05500000000001</v>
      </c>
      <c r="I10" s="94">
        <f t="shared" si="3"/>
        <v>99.944999999999993</v>
      </c>
      <c r="J10" s="93">
        <f t="shared" si="4"/>
        <v>50.027500000000003</v>
      </c>
      <c r="K10" s="302" t="s">
        <v>428</v>
      </c>
      <c r="L10" s="106">
        <v>614.06500000000005</v>
      </c>
      <c r="M10" s="106">
        <v>150</v>
      </c>
      <c r="N10" s="105">
        <f t="shared" si="0"/>
        <v>200.11</v>
      </c>
      <c r="O10" s="251">
        <f t="shared" si="5"/>
        <v>49.944999999999993</v>
      </c>
      <c r="P10" s="260" t="s">
        <v>455</v>
      </c>
      <c r="Q10" s="356"/>
      <c r="R10" s="356"/>
      <c r="S10" s="253"/>
      <c r="T10" s="60" t="s">
        <v>90</v>
      </c>
      <c r="U10" s="341">
        <v>0</v>
      </c>
      <c r="V10" s="341">
        <v>0</v>
      </c>
      <c r="W10" s="341">
        <v>0</v>
      </c>
      <c r="X10" s="341">
        <v>0</v>
      </c>
      <c r="Y10" s="343">
        <v>0</v>
      </c>
      <c r="Z10" s="60">
        <f t="shared" si="6"/>
        <v>0</v>
      </c>
      <c r="AA10" s="352"/>
      <c r="AB10" s="346" t="s">
        <v>474</v>
      </c>
      <c r="AC10" s="346">
        <v>250</v>
      </c>
      <c r="AD10" s="414">
        <v>16.886600000000001</v>
      </c>
      <c r="AF10" s="60" t="s">
        <v>90</v>
      </c>
      <c r="AG10" s="341">
        <v>0</v>
      </c>
      <c r="AH10" s="341">
        <v>0</v>
      </c>
      <c r="AI10" s="341">
        <f>1</f>
        <v>1</v>
      </c>
      <c r="AJ10" s="343">
        <f>1</f>
        <v>1</v>
      </c>
      <c r="AK10" s="343">
        <f>1</f>
        <v>1</v>
      </c>
      <c r="AL10" s="60">
        <f t="shared" si="7"/>
        <v>3</v>
      </c>
    </row>
    <row r="11" spans="1:38" ht="14.25" customHeight="1" thickBot="1">
      <c r="A11" s="499"/>
      <c r="B11" s="96" t="s">
        <v>8</v>
      </c>
      <c r="C11" s="95" t="s">
        <v>74</v>
      </c>
      <c r="D11" s="108">
        <v>632.29</v>
      </c>
      <c r="E11" s="108">
        <v>300</v>
      </c>
      <c r="F11" s="108">
        <v>416.14780000000002</v>
      </c>
      <c r="G11" s="94">
        <v>0.5</v>
      </c>
      <c r="H11" s="94">
        <f t="shared" si="2"/>
        <v>208.07390000000001</v>
      </c>
      <c r="I11" s="94">
        <f t="shared" si="3"/>
        <v>91.926099999999991</v>
      </c>
      <c r="J11" s="93">
        <f t="shared" si="4"/>
        <v>69.35796666666667</v>
      </c>
      <c r="K11" s="302" t="s">
        <v>427</v>
      </c>
      <c r="L11" s="106">
        <v>692.19500000000005</v>
      </c>
      <c r="M11" s="106">
        <v>300</v>
      </c>
      <c r="N11" s="105">
        <f t="shared" si="0"/>
        <v>416.14780000000002</v>
      </c>
      <c r="O11" s="251">
        <f t="shared" si="5"/>
        <v>91.926099999999991</v>
      </c>
      <c r="P11" s="181" t="str">
        <f>IF(O11&gt;=0,"No","Yes")</f>
        <v>No</v>
      </c>
      <c r="Q11" s="356"/>
      <c r="R11" s="356"/>
      <c r="S11" s="253"/>
      <c r="T11" s="60" t="s">
        <v>91</v>
      </c>
      <c r="U11" s="341">
        <v>0</v>
      </c>
      <c r="V11" s="341">
        <v>0</v>
      </c>
      <c r="W11" s="343">
        <v>0</v>
      </c>
      <c r="X11" s="343">
        <v>0</v>
      </c>
      <c r="Y11" s="343">
        <v>0</v>
      </c>
      <c r="Z11" s="60">
        <f t="shared" si="6"/>
        <v>0</v>
      </c>
      <c r="AA11" s="356"/>
      <c r="AB11" s="347" t="s">
        <v>527</v>
      </c>
      <c r="AC11" s="347">
        <v>300</v>
      </c>
      <c r="AD11" s="415">
        <v>17</v>
      </c>
      <c r="AF11" s="60" t="s">
        <v>91</v>
      </c>
      <c r="AG11" s="341">
        <v>0</v>
      </c>
      <c r="AH11" s="341">
        <f>1+2+1+1+1+1</f>
        <v>7</v>
      </c>
      <c r="AI11" s="343">
        <f>1+1</f>
        <v>2</v>
      </c>
      <c r="AJ11" s="343">
        <f>1</f>
        <v>1</v>
      </c>
      <c r="AK11" s="343">
        <v>0</v>
      </c>
      <c r="AL11" s="60">
        <f t="shared" si="7"/>
        <v>10</v>
      </c>
    </row>
    <row r="12" spans="1:38" ht="14.25" customHeight="1" thickBot="1">
      <c r="A12" s="499"/>
      <c r="B12" s="96" t="s">
        <v>12</v>
      </c>
      <c r="C12" s="95" t="s">
        <v>52</v>
      </c>
      <c r="D12" s="108">
        <v>428.91</v>
      </c>
      <c r="E12" s="108">
        <v>200</v>
      </c>
      <c r="F12" s="108">
        <v>320.77999999999997</v>
      </c>
      <c r="G12" s="94">
        <v>0.5</v>
      </c>
      <c r="H12" s="94">
        <f t="shared" si="2"/>
        <v>160.38999999999999</v>
      </c>
      <c r="I12" s="94">
        <f t="shared" si="3"/>
        <v>39.610000000000014</v>
      </c>
      <c r="J12" s="93">
        <f t="shared" si="4"/>
        <v>80.194999999999993</v>
      </c>
      <c r="K12" s="302" t="s">
        <v>421</v>
      </c>
      <c r="L12" s="106">
        <v>440.09</v>
      </c>
      <c r="M12" s="106">
        <v>200</v>
      </c>
      <c r="N12" s="105">
        <f t="shared" si="0"/>
        <v>320.77999999999997</v>
      </c>
      <c r="O12" s="251">
        <f t="shared" si="5"/>
        <v>39.610000000000014</v>
      </c>
      <c r="P12" s="181" t="str">
        <f>IF(O12&gt;=0,"No","Yes")</f>
        <v>No</v>
      </c>
      <c r="Q12" s="356"/>
      <c r="R12" s="356"/>
      <c r="S12" s="253"/>
      <c r="T12" s="60" t="s">
        <v>92</v>
      </c>
      <c r="U12" s="343">
        <v>0</v>
      </c>
      <c r="V12" s="343">
        <v>0</v>
      </c>
      <c r="W12" s="343">
        <v>0</v>
      </c>
      <c r="X12" s="343">
        <v>0</v>
      </c>
      <c r="Y12" s="343">
        <v>0</v>
      </c>
      <c r="Z12" s="60">
        <f t="shared" si="6"/>
        <v>0</v>
      </c>
      <c r="AA12" s="356"/>
      <c r="AB12" s="356"/>
      <c r="AC12" s="356"/>
      <c r="AF12" s="60" t="s">
        <v>92</v>
      </c>
      <c r="AG12" s="343">
        <v>0</v>
      </c>
      <c r="AH12" s="341">
        <f>1+1</f>
        <v>2</v>
      </c>
      <c r="AI12" s="343">
        <f>4+1</f>
        <v>5</v>
      </c>
      <c r="AJ12" s="343">
        <v>0</v>
      </c>
      <c r="AK12" s="343">
        <v>0</v>
      </c>
      <c r="AL12" s="60">
        <f t="shared" si="7"/>
        <v>7</v>
      </c>
    </row>
    <row r="13" spans="1:38" ht="14.25" customHeight="1" thickBot="1">
      <c r="A13" s="499"/>
      <c r="B13" s="96" t="s">
        <v>397</v>
      </c>
      <c r="C13" s="95" t="s">
        <v>63</v>
      </c>
      <c r="D13" s="94">
        <v>530.30999999999995</v>
      </c>
      <c r="E13" s="94">
        <v>200</v>
      </c>
      <c r="F13" s="94">
        <v>22.35</v>
      </c>
      <c r="G13" s="73">
        <v>0.5</v>
      </c>
      <c r="H13" s="73">
        <f t="shared" si="2"/>
        <v>11.175000000000001</v>
      </c>
      <c r="I13" s="94">
        <f t="shared" si="3"/>
        <v>188.82499999999999</v>
      </c>
      <c r="J13" s="93">
        <f t="shared" si="4"/>
        <v>5.5875000000000004</v>
      </c>
      <c r="K13" s="301" t="s">
        <v>419</v>
      </c>
      <c r="L13" s="92">
        <v>541.49</v>
      </c>
      <c r="M13" s="92">
        <v>150</v>
      </c>
      <c r="N13" s="91">
        <f t="shared" si="0"/>
        <v>22.35</v>
      </c>
      <c r="O13" s="251">
        <f t="shared" si="5"/>
        <v>138.82499999999999</v>
      </c>
      <c r="P13" s="181" t="str">
        <f>IF(O13&gt;=0,"No","Yes")</f>
        <v>No</v>
      </c>
      <c r="Q13" s="356"/>
      <c r="R13" s="356"/>
      <c r="S13" s="253"/>
      <c r="T13" s="60" t="s">
        <v>93</v>
      </c>
      <c r="U13" s="343">
        <v>0</v>
      </c>
      <c r="V13" s="341">
        <v>0</v>
      </c>
      <c r="W13" s="343">
        <v>0</v>
      </c>
      <c r="X13" s="343">
        <v>0</v>
      </c>
      <c r="Y13" s="343">
        <v>0</v>
      </c>
      <c r="Z13" s="60">
        <f t="shared" si="6"/>
        <v>0</v>
      </c>
      <c r="AA13" s="356"/>
      <c r="AB13" s="356"/>
      <c r="AC13" s="356"/>
      <c r="AF13" s="60" t="s">
        <v>93</v>
      </c>
      <c r="AG13" s="343">
        <v>0</v>
      </c>
      <c r="AH13" s="341">
        <v>0</v>
      </c>
      <c r="AI13" s="343">
        <f>1+1</f>
        <v>2</v>
      </c>
      <c r="AJ13" s="343">
        <f>2</f>
        <v>2</v>
      </c>
      <c r="AK13" s="343">
        <v>0</v>
      </c>
      <c r="AL13" s="60">
        <f t="shared" si="7"/>
        <v>4</v>
      </c>
    </row>
    <row r="14" spans="1:38" ht="13.5" thickBot="1">
      <c r="A14" s="353" t="s">
        <v>427</v>
      </c>
      <c r="B14" s="87" t="s">
        <v>351</v>
      </c>
      <c r="C14" s="163"/>
      <c r="D14" s="85"/>
      <c r="E14" s="85"/>
      <c r="F14" s="85"/>
      <c r="G14" s="184">
        <v>0.5</v>
      </c>
      <c r="H14" s="184">
        <f t="shared" si="2"/>
        <v>0</v>
      </c>
      <c r="I14" s="184"/>
      <c r="J14" s="183"/>
      <c r="K14" s="100"/>
      <c r="L14" s="83"/>
      <c r="M14" s="83"/>
      <c r="N14" s="82"/>
      <c r="O14" s="100"/>
      <c r="P14" s="82"/>
      <c r="Q14" s="356"/>
      <c r="R14" s="356"/>
      <c r="S14" s="253"/>
      <c r="T14" s="60" t="s">
        <v>94</v>
      </c>
      <c r="U14" s="343">
        <v>0</v>
      </c>
      <c r="V14" s="341">
        <v>0</v>
      </c>
      <c r="W14" s="343">
        <v>0</v>
      </c>
      <c r="X14" s="343">
        <v>0</v>
      </c>
      <c r="Y14" s="343">
        <v>0</v>
      </c>
      <c r="Z14" s="60">
        <f t="shared" si="6"/>
        <v>0</v>
      </c>
      <c r="AA14" s="18"/>
      <c r="AB14" s="18"/>
      <c r="AC14" s="356"/>
      <c r="AF14" s="60" t="s">
        <v>94</v>
      </c>
      <c r="AG14" s="343">
        <v>0</v>
      </c>
      <c r="AH14" s="420">
        <f>1</f>
        <v>1</v>
      </c>
      <c r="AI14" s="343">
        <f>1+1</f>
        <v>2</v>
      </c>
      <c r="AJ14" s="343">
        <f>3</f>
        <v>3</v>
      </c>
      <c r="AK14" s="343">
        <v>0</v>
      </c>
      <c r="AL14" s="60">
        <f t="shared" si="7"/>
        <v>6</v>
      </c>
    </row>
    <row r="15" spans="1:38" ht="13.5" thickBot="1">
      <c r="A15" s="497" t="s">
        <v>49</v>
      </c>
      <c r="B15" s="87" t="s">
        <v>426</v>
      </c>
      <c r="C15" s="86" t="s">
        <v>47</v>
      </c>
      <c r="D15" s="85">
        <v>341.36500000000001</v>
      </c>
      <c r="E15" s="85">
        <v>400</v>
      </c>
      <c r="F15" s="85">
        <v>414.50749999999999</v>
      </c>
      <c r="G15" s="85">
        <v>0.5</v>
      </c>
      <c r="H15" s="85">
        <f t="shared" si="2"/>
        <v>207.25375</v>
      </c>
      <c r="I15" s="85">
        <f>E15-H15</f>
        <v>192.74625</v>
      </c>
      <c r="J15" s="84">
        <f>H15/E15*100</f>
        <v>51.813437500000006</v>
      </c>
      <c r="K15" s="100" t="s">
        <v>425</v>
      </c>
      <c r="L15" s="83">
        <v>527.53499999999997</v>
      </c>
      <c r="M15" s="83">
        <v>600</v>
      </c>
      <c r="N15" s="82">
        <f t="shared" ref="N15:N24" si="8">F15</f>
        <v>414.50749999999999</v>
      </c>
      <c r="O15" s="205">
        <f>M15-H15</f>
        <v>392.74625000000003</v>
      </c>
      <c r="P15" s="82" t="str">
        <f t="shared" ref="P15:P24" si="9">IF(O15&gt;=0,"No","Yes")</f>
        <v>No</v>
      </c>
      <c r="Q15" s="356"/>
      <c r="R15" s="356"/>
      <c r="S15" s="253"/>
      <c r="T15" s="326" t="s">
        <v>469</v>
      </c>
      <c r="U15" s="348">
        <v>0</v>
      </c>
      <c r="V15" s="348">
        <v>0</v>
      </c>
      <c r="W15" s="348">
        <v>0</v>
      </c>
      <c r="X15" s="348">
        <v>0</v>
      </c>
      <c r="Y15" s="348">
        <v>0</v>
      </c>
      <c r="Z15" s="326">
        <f t="shared" si="6"/>
        <v>0</v>
      </c>
      <c r="AA15" s="356"/>
      <c r="AB15" s="356"/>
      <c r="AF15" s="326" t="s">
        <v>469</v>
      </c>
      <c r="AG15" s="348">
        <v>0</v>
      </c>
      <c r="AH15" s="348">
        <f>1</f>
        <v>1</v>
      </c>
      <c r="AI15" s="348">
        <f>1</f>
        <v>1</v>
      </c>
      <c r="AJ15" s="348">
        <v>0</v>
      </c>
      <c r="AK15" s="348">
        <v>0</v>
      </c>
      <c r="AL15" s="326">
        <f t="shared" si="7"/>
        <v>2</v>
      </c>
    </row>
    <row r="16" spans="1:38" ht="14.25" customHeight="1" thickBot="1">
      <c r="A16" s="499"/>
      <c r="B16" s="96" t="s">
        <v>9</v>
      </c>
      <c r="C16" s="95" t="s">
        <v>424</v>
      </c>
      <c r="D16" s="108">
        <v>72.555000000000007</v>
      </c>
      <c r="E16" s="108">
        <v>300</v>
      </c>
      <c r="F16" s="108">
        <v>249.06020000000001</v>
      </c>
      <c r="G16" s="94">
        <v>0.5</v>
      </c>
      <c r="H16" s="94">
        <f t="shared" si="2"/>
        <v>124.5301</v>
      </c>
      <c r="I16" s="94">
        <f t="shared" ref="I16:I24" si="10">E16-H16</f>
        <v>175.4699</v>
      </c>
      <c r="J16" s="93">
        <f t="shared" ref="J16:J24" si="11">H16/E16*100</f>
        <v>41.510033333333332</v>
      </c>
      <c r="K16" s="302" t="s">
        <v>423</v>
      </c>
      <c r="L16" s="106">
        <v>258.625</v>
      </c>
      <c r="M16" s="106">
        <v>250</v>
      </c>
      <c r="N16" s="105">
        <f t="shared" si="8"/>
        <v>249.06020000000001</v>
      </c>
      <c r="O16" s="205">
        <f t="shared" ref="O16:O24" si="12">M16-H16</f>
        <v>125.4699</v>
      </c>
      <c r="P16" s="82" t="str">
        <f t="shared" si="9"/>
        <v>No</v>
      </c>
      <c r="Q16" s="356"/>
      <c r="R16" s="356"/>
      <c r="S16" s="253"/>
      <c r="T16" s="340" t="s">
        <v>479</v>
      </c>
      <c r="U16" s="349">
        <f t="shared" ref="U16:Z16" si="13">SUM(U4:U15)</f>
        <v>0</v>
      </c>
      <c r="V16" s="349">
        <f t="shared" si="13"/>
        <v>0</v>
      </c>
      <c r="W16" s="349">
        <f t="shared" si="13"/>
        <v>0</v>
      </c>
      <c r="X16" s="349">
        <f t="shared" si="13"/>
        <v>0</v>
      </c>
      <c r="Y16" s="349">
        <f t="shared" si="13"/>
        <v>0</v>
      </c>
      <c r="Z16" s="350">
        <f t="shared" si="13"/>
        <v>0</v>
      </c>
      <c r="AA16" s="356"/>
      <c r="AB16" s="356"/>
      <c r="AF16" s="340" t="s">
        <v>479</v>
      </c>
      <c r="AG16" s="349">
        <f>SUM(AG4:AG15)</f>
        <v>0</v>
      </c>
      <c r="AH16" s="349">
        <f>SUM(AH4:AH15)</f>
        <v>30</v>
      </c>
      <c r="AI16" s="349">
        <f>SUM(AI4:AI15)</f>
        <v>38</v>
      </c>
      <c r="AJ16" s="349">
        <f>SUM(AJ4:AJ15)</f>
        <v>16</v>
      </c>
      <c r="AK16" s="349">
        <f>SUM(AK4:AK15)</f>
        <v>4</v>
      </c>
      <c r="AL16" s="350">
        <f t="shared" ref="AL16" si="14">SUM(AL4:AL15)</f>
        <v>88</v>
      </c>
    </row>
    <row r="17" spans="1:38" ht="14.25" customHeight="1" thickBot="1">
      <c r="A17" s="499"/>
      <c r="B17" s="96" t="s">
        <v>10</v>
      </c>
      <c r="C17" s="95" t="s">
        <v>386</v>
      </c>
      <c r="D17" s="108">
        <v>894.93</v>
      </c>
      <c r="E17" s="108">
        <v>150</v>
      </c>
      <c r="F17" s="108">
        <v>185.4342</v>
      </c>
      <c r="G17" s="94">
        <v>0.5</v>
      </c>
      <c r="H17" s="94">
        <f t="shared" si="2"/>
        <v>92.717100000000002</v>
      </c>
      <c r="I17" s="94">
        <f t="shared" si="10"/>
        <v>57.282899999999998</v>
      </c>
      <c r="J17" s="93">
        <f t="shared" si="11"/>
        <v>61.811400000000006</v>
      </c>
      <c r="K17" s="302" t="s">
        <v>385</v>
      </c>
      <c r="L17" s="106">
        <v>975.03499999999997</v>
      </c>
      <c r="M17" s="106">
        <v>150</v>
      </c>
      <c r="N17" s="105">
        <f t="shared" si="8"/>
        <v>185.4342</v>
      </c>
      <c r="O17" s="205">
        <f t="shared" si="12"/>
        <v>57.282899999999998</v>
      </c>
      <c r="P17" s="82" t="str">
        <f t="shared" si="9"/>
        <v>No</v>
      </c>
      <c r="Q17" s="356"/>
      <c r="R17" s="356"/>
      <c r="S17" s="253"/>
      <c r="T17" s="340" t="s">
        <v>478</v>
      </c>
      <c r="U17" s="351">
        <f>PRODUCT(U16*AD7)</f>
        <v>0</v>
      </c>
      <c r="V17" s="351">
        <f>PRODUCT(V16*AD8)</f>
        <v>0</v>
      </c>
      <c r="W17" s="351">
        <f>PRODUCT(W16*AD9)</f>
        <v>0</v>
      </c>
      <c r="X17" s="351">
        <f>PRODUCT(X16*AD10)</f>
        <v>0</v>
      </c>
      <c r="Y17" s="351">
        <f>PRODUCT(Y16*AD11)</f>
        <v>0</v>
      </c>
      <c r="Z17" s="340">
        <f>SUM(U17:Y17)</f>
        <v>0</v>
      </c>
      <c r="AA17" s="356"/>
      <c r="AB17" s="356"/>
      <c r="AF17" s="340" t="s">
        <v>478</v>
      </c>
      <c r="AG17" s="416">
        <f>PRODUCT(AG16*AD7)</f>
        <v>0</v>
      </c>
      <c r="AH17" s="416">
        <f>PRODUCT(AH16*AD8)</f>
        <v>491.06700000000001</v>
      </c>
      <c r="AI17" s="416">
        <f>PRODUCT(AI16*AD9)</f>
        <v>636.37459999999999</v>
      </c>
      <c r="AJ17" s="416">
        <f>PRODUCT(AJ16*AD10)</f>
        <v>270.18560000000002</v>
      </c>
      <c r="AK17" s="416">
        <f>PRODUCT(AK16*AD11)</f>
        <v>68</v>
      </c>
      <c r="AL17" s="421">
        <f>SUM(AG17:AK17)</f>
        <v>1465.6272000000001</v>
      </c>
    </row>
    <row r="18" spans="1:38" ht="14.25" customHeight="1" thickBot="1">
      <c r="A18" s="499"/>
      <c r="B18" s="96" t="s">
        <v>11</v>
      </c>
      <c r="C18" s="95" t="s">
        <v>378</v>
      </c>
      <c r="D18" s="108">
        <v>839.23</v>
      </c>
      <c r="E18" s="108">
        <v>150</v>
      </c>
      <c r="F18" s="108">
        <v>213.84829999999999</v>
      </c>
      <c r="G18" s="94">
        <v>0.5</v>
      </c>
      <c r="H18" s="94">
        <f t="shared" si="2"/>
        <v>106.92415</v>
      </c>
      <c r="I18" s="94">
        <f t="shared" si="10"/>
        <v>43.075850000000003</v>
      </c>
      <c r="J18" s="93">
        <f t="shared" si="11"/>
        <v>71.28276666666666</v>
      </c>
      <c r="K18" s="302" t="s">
        <v>422</v>
      </c>
      <c r="L18" s="106">
        <v>1025.3</v>
      </c>
      <c r="M18" s="106">
        <v>150</v>
      </c>
      <c r="N18" s="105">
        <f t="shared" si="8"/>
        <v>213.84829999999999</v>
      </c>
      <c r="O18" s="205">
        <f t="shared" si="12"/>
        <v>43.075850000000003</v>
      </c>
      <c r="P18" s="82" t="str">
        <f t="shared" si="9"/>
        <v>No</v>
      </c>
      <c r="Q18" s="356"/>
      <c r="R18" s="356"/>
      <c r="S18" s="253"/>
      <c r="T18" s="340" t="s">
        <v>477</v>
      </c>
      <c r="U18" s="351">
        <f>U16*AC7</f>
        <v>0</v>
      </c>
      <c r="V18" s="351">
        <f>V16*AC8</f>
        <v>0</v>
      </c>
      <c r="W18" s="351">
        <f>W16*AC9</f>
        <v>0</v>
      </c>
      <c r="X18" s="351">
        <f>X16*AC10</f>
        <v>0</v>
      </c>
      <c r="Y18" s="351">
        <f>Y16*AC11</f>
        <v>0</v>
      </c>
      <c r="Z18" s="340">
        <f>SUM(U18:Y18)</f>
        <v>0</v>
      </c>
      <c r="AA18" s="356"/>
      <c r="AB18" s="356"/>
      <c r="AF18" s="340" t="s">
        <v>528</v>
      </c>
      <c r="AG18" s="351">
        <f>AG16*AC7</f>
        <v>0</v>
      </c>
      <c r="AH18" s="351">
        <f>AH16*AC8</f>
        <v>4500</v>
      </c>
      <c r="AI18" s="351">
        <f>AI16*AC9</f>
        <v>7600</v>
      </c>
      <c r="AJ18" s="351">
        <f>AJ16*AC10</f>
        <v>4000</v>
      </c>
      <c r="AK18" s="351">
        <f>AK16*AC11</f>
        <v>1200</v>
      </c>
      <c r="AL18" s="340">
        <f>SUM(AG18:AK18)</f>
        <v>17300</v>
      </c>
    </row>
    <row r="19" spans="1:38" ht="14.25" customHeight="1" thickBot="1">
      <c r="A19" s="499"/>
      <c r="B19" s="96" t="s">
        <v>12</v>
      </c>
      <c r="C19" s="95" t="s">
        <v>52</v>
      </c>
      <c r="D19" s="108">
        <v>428.91</v>
      </c>
      <c r="E19" s="108">
        <v>200</v>
      </c>
      <c r="F19" s="108">
        <v>320.7817</v>
      </c>
      <c r="G19" s="94">
        <v>0.5</v>
      </c>
      <c r="H19" s="94">
        <f t="shared" si="2"/>
        <v>160.39085</v>
      </c>
      <c r="I19" s="94">
        <f t="shared" si="10"/>
        <v>39.60915</v>
      </c>
      <c r="J19" s="93">
        <f t="shared" si="11"/>
        <v>80.195425</v>
      </c>
      <c r="K19" s="302" t="s">
        <v>421</v>
      </c>
      <c r="L19" s="106">
        <v>440.09</v>
      </c>
      <c r="M19" s="106">
        <v>200</v>
      </c>
      <c r="N19" s="105">
        <f t="shared" si="8"/>
        <v>320.7817</v>
      </c>
      <c r="O19" s="205">
        <f t="shared" si="12"/>
        <v>39.60915</v>
      </c>
      <c r="P19" s="82" t="str">
        <f t="shared" si="9"/>
        <v>No</v>
      </c>
      <c r="Q19" s="356"/>
      <c r="R19" s="356"/>
      <c r="S19" s="253"/>
    </row>
    <row r="20" spans="1:38" ht="14.25" customHeight="1" thickBot="1">
      <c r="A20" s="499"/>
      <c r="B20" s="96" t="s">
        <v>420</v>
      </c>
      <c r="C20" s="95" t="s">
        <v>412</v>
      </c>
      <c r="D20" s="94">
        <v>530.30999999999995</v>
      </c>
      <c r="E20" s="94">
        <v>200</v>
      </c>
      <c r="F20" s="94">
        <v>22.35</v>
      </c>
      <c r="G20" s="73">
        <v>0.5</v>
      </c>
      <c r="H20" s="73">
        <f t="shared" si="2"/>
        <v>11.175000000000001</v>
      </c>
      <c r="I20" s="73">
        <f t="shared" si="10"/>
        <v>188.82499999999999</v>
      </c>
      <c r="J20" s="299">
        <f t="shared" si="11"/>
        <v>5.5875000000000004</v>
      </c>
      <c r="K20" s="301" t="s">
        <v>419</v>
      </c>
      <c r="L20" s="92">
        <v>541.49</v>
      </c>
      <c r="M20" s="92">
        <v>150</v>
      </c>
      <c r="N20" s="91">
        <f t="shared" si="8"/>
        <v>22.35</v>
      </c>
      <c r="O20" s="205">
        <f t="shared" si="12"/>
        <v>138.82499999999999</v>
      </c>
      <c r="P20" s="82" t="str">
        <f t="shared" si="9"/>
        <v>No</v>
      </c>
      <c r="Q20" s="356"/>
      <c r="R20" s="356"/>
      <c r="S20" s="253"/>
    </row>
    <row r="21" spans="1:38" ht="13.5" thickBot="1">
      <c r="A21" s="497" t="s">
        <v>414</v>
      </c>
      <c r="B21" s="87" t="s">
        <v>7</v>
      </c>
      <c r="C21" s="86" t="s">
        <v>48</v>
      </c>
      <c r="D21" s="85">
        <v>457.755</v>
      </c>
      <c r="E21" s="85">
        <v>200</v>
      </c>
      <c r="F21" s="85">
        <v>200.1122</v>
      </c>
      <c r="G21" s="85">
        <v>0.5</v>
      </c>
      <c r="H21" s="85">
        <f t="shared" si="2"/>
        <v>100.0561</v>
      </c>
      <c r="I21" s="94">
        <f t="shared" si="10"/>
        <v>99.943899999999999</v>
      </c>
      <c r="J21" s="93">
        <f t="shared" si="11"/>
        <v>50.02805</v>
      </c>
      <c r="K21" s="100" t="s">
        <v>417</v>
      </c>
      <c r="L21" s="83">
        <v>733.18499999999995</v>
      </c>
      <c r="M21" s="83">
        <v>200</v>
      </c>
      <c r="N21" s="82">
        <f t="shared" si="8"/>
        <v>200.1122</v>
      </c>
      <c r="O21" s="205">
        <f t="shared" si="12"/>
        <v>99.943899999999999</v>
      </c>
      <c r="P21" s="203" t="str">
        <f t="shared" si="9"/>
        <v>No</v>
      </c>
      <c r="Q21" s="356"/>
      <c r="R21" s="356"/>
      <c r="S21" s="253"/>
    </row>
    <row r="22" spans="1:38" ht="14.25" customHeight="1" thickBot="1">
      <c r="A22" s="499"/>
      <c r="B22" s="96" t="s">
        <v>416</v>
      </c>
      <c r="C22" s="95" t="s">
        <v>74</v>
      </c>
      <c r="D22" s="108">
        <v>632.29</v>
      </c>
      <c r="E22" s="108">
        <v>300</v>
      </c>
      <c r="F22" s="108">
        <v>416.14780000000002</v>
      </c>
      <c r="G22" s="94">
        <v>0.5</v>
      </c>
      <c r="H22" s="94">
        <f t="shared" si="2"/>
        <v>208.07390000000001</v>
      </c>
      <c r="I22" s="94">
        <f t="shared" si="10"/>
        <v>91.926099999999991</v>
      </c>
      <c r="J22" s="93">
        <f t="shared" si="11"/>
        <v>69.35796666666667</v>
      </c>
      <c r="K22" s="302" t="s">
        <v>361</v>
      </c>
      <c r="L22" s="106">
        <v>692.19500000000005</v>
      </c>
      <c r="M22" s="106">
        <v>300</v>
      </c>
      <c r="N22" s="105">
        <f t="shared" si="8"/>
        <v>416.14780000000002</v>
      </c>
      <c r="O22" s="205">
        <f t="shared" si="12"/>
        <v>91.926099999999991</v>
      </c>
      <c r="P22" s="82" t="str">
        <f t="shared" si="9"/>
        <v>No</v>
      </c>
      <c r="Q22" s="356"/>
      <c r="R22" s="356"/>
      <c r="S22" s="253"/>
    </row>
    <row r="23" spans="1:38" ht="14.25" customHeight="1" thickBot="1">
      <c r="A23" s="499"/>
      <c r="B23" s="96" t="s">
        <v>415</v>
      </c>
      <c r="C23" s="95" t="s">
        <v>414</v>
      </c>
      <c r="D23" s="108">
        <v>370.31</v>
      </c>
      <c r="E23" s="108">
        <v>200</v>
      </c>
      <c r="F23" s="108">
        <v>24.103000000000002</v>
      </c>
      <c r="G23" s="94">
        <v>0.5</v>
      </c>
      <c r="H23" s="94">
        <f t="shared" si="2"/>
        <v>12.051500000000001</v>
      </c>
      <c r="I23" s="94">
        <f t="shared" si="10"/>
        <v>187.9485</v>
      </c>
      <c r="J23" s="93">
        <f t="shared" si="11"/>
        <v>6.0257500000000004</v>
      </c>
      <c r="K23" s="302" t="s">
        <v>413</v>
      </c>
      <c r="L23" s="106">
        <v>820.63</v>
      </c>
      <c r="M23" s="106">
        <v>150</v>
      </c>
      <c r="N23" s="105">
        <f t="shared" si="8"/>
        <v>24.103000000000002</v>
      </c>
      <c r="O23" s="205">
        <f t="shared" si="12"/>
        <v>137.9485</v>
      </c>
      <c r="P23" s="82" t="str">
        <f t="shared" si="9"/>
        <v>No</v>
      </c>
      <c r="Q23" s="356"/>
      <c r="R23" s="356"/>
      <c r="S23" s="253"/>
      <c r="T23" s="241"/>
      <c r="U23" s="58"/>
      <c r="AA23" s="494" t="s">
        <v>560</v>
      </c>
      <c r="AB23" s="495"/>
      <c r="AC23" s="495"/>
      <c r="AD23" s="495"/>
      <c r="AE23" s="495"/>
      <c r="AF23" s="496"/>
      <c r="AG23" s="166"/>
    </row>
    <row r="24" spans="1:38" ht="14.25" customHeight="1" thickBot="1">
      <c r="A24" s="499"/>
      <c r="B24" s="96" t="s">
        <v>397</v>
      </c>
      <c r="C24" s="95" t="s">
        <v>412</v>
      </c>
      <c r="D24" s="94">
        <v>530.30999999999995</v>
      </c>
      <c r="E24" s="94">
        <v>200</v>
      </c>
      <c r="F24" s="94">
        <v>22.35</v>
      </c>
      <c r="G24" s="73">
        <v>0.5</v>
      </c>
      <c r="H24" s="73">
        <f t="shared" si="2"/>
        <v>11.175000000000001</v>
      </c>
      <c r="I24" s="94">
        <f t="shared" si="10"/>
        <v>188.82499999999999</v>
      </c>
      <c r="J24" s="93">
        <f t="shared" si="11"/>
        <v>5.5875000000000004</v>
      </c>
      <c r="K24" s="301" t="s">
        <v>411</v>
      </c>
      <c r="L24" s="92">
        <v>660.63</v>
      </c>
      <c r="M24" s="92">
        <v>150</v>
      </c>
      <c r="N24" s="91">
        <f t="shared" si="8"/>
        <v>22.35</v>
      </c>
      <c r="O24" s="205">
        <f t="shared" si="12"/>
        <v>138.82499999999999</v>
      </c>
      <c r="P24" s="82" t="str">
        <f t="shared" si="9"/>
        <v>No</v>
      </c>
      <c r="Q24" s="356"/>
      <c r="R24" s="356"/>
      <c r="T24" s="553" t="s">
        <v>454</v>
      </c>
      <c r="U24" s="554"/>
      <c r="V24" s="358"/>
      <c r="AA24" s="336" t="s">
        <v>470</v>
      </c>
      <c r="AB24" s="338" t="s">
        <v>471</v>
      </c>
      <c r="AC24" s="338" t="s">
        <v>472</v>
      </c>
      <c r="AD24" s="338" t="s">
        <v>473</v>
      </c>
      <c r="AE24" s="338" t="s">
        <v>474</v>
      </c>
      <c r="AF24" s="339" t="s">
        <v>527</v>
      </c>
      <c r="AG24" s="340" t="s">
        <v>418</v>
      </c>
    </row>
    <row r="25" spans="1:38" ht="13.5" thickBot="1">
      <c r="A25" s="164" t="s">
        <v>410</v>
      </c>
      <c r="B25" s="87" t="s">
        <v>409</v>
      </c>
      <c r="C25" s="163"/>
      <c r="D25" s="85"/>
      <c r="E25" s="85"/>
      <c r="F25" s="85"/>
      <c r="G25" s="184">
        <v>0.5</v>
      </c>
      <c r="H25" s="184">
        <f t="shared" si="2"/>
        <v>0</v>
      </c>
      <c r="I25" s="184"/>
      <c r="J25" s="183"/>
      <c r="K25" s="100"/>
      <c r="L25" s="83"/>
      <c r="M25" s="83"/>
      <c r="N25" s="82"/>
      <c r="O25" s="100"/>
      <c r="P25" s="82"/>
      <c r="Q25" s="255"/>
      <c r="R25" s="255"/>
      <c r="T25" s="90"/>
      <c r="U25" s="357"/>
      <c r="V25" s="99"/>
      <c r="AA25" s="60" t="s">
        <v>84</v>
      </c>
      <c r="AB25" s="343">
        <f>AG4+U4</f>
        <v>0</v>
      </c>
      <c r="AC25" s="343">
        <f t="shared" ref="AC25:AF36" si="15">AH4+V4</f>
        <v>3</v>
      </c>
      <c r="AD25" s="343">
        <f t="shared" si="15"/>
        <v>2</v>
      </c>
      <c r="AE25" s="343">
        <f t="shared" si="15"/>
        <v>1</v>
      </c>
      <c r="AF25" s="343">
        <f t="shared" si="15"/>
        <v>0</v>
      </c>
      <c r="AG25" s="344">
        <f>SUM(AB25:AF25)</f>
        <v>6</v>
      </c>
    </row>
    <row r="26" spans="1:38" ht="15" customHeight="1" thickBot="1">
      <c r="A26" s="519" t="s">
        <v>408</v>
      </c>
      <c r="B26" s="160" t="s">
        <v>14</v>
      </c>
      <c r="C26" s="86" t="s">
        <v>407</v>
      </c>
      <c r="D26" s="85">
        <v>391.72</v>
      </c>
      <c r="E26" s="84">
        <v>400</v>
      </c>
      <c r="F26" s="85">
        <v>664.51419999999996</v>
      </c>
      <c r="G26" s="85">
        <v>0.5</v>
      </c>
      <c r="H26" s="85">
        <f t="shared" si="2"/>
        <v>332.25709999999998</v>
      </c>
      <c r="I26" s="94">
        <f>E26-H26</f>
        <v>67.74290000000002</v>
      </c>
      <c r="J26" s="93">
        <f>H26/E26*100</f>
        <v>83.064274999999995</v>
      </c>
      <c r="K26" s="100" t="s">
        <v>406</v>
      </c>
      <c r="L26" s="83">
        <v>799.22</v>
      </c>
      <c r="M26" s="83">
        <v>300</v>
      </c>
      <c r="N26" s="82">
        <f t="shared" ref="N26:N56" si="16">F26</f>
        <v>664.51419999999996</v>
      </c>
      <c r="O26" s="124">
        <f>M26-H26</f>
        <v>-32.25709999999998</v>
      </c>
      <c r="P26" s="220" t="str">
        <f t="shared" ref="P26:P56" si="17">IF(O26&gt;=0,"No","Yes")</f>
        <v>Yes</v>
      </c>
      <c r="Q26" s="557" t="s">
        <v>351</v>
      </c>
      <c r="R26" s="560" t="s">
        <v>351</v>
      </c>
      <c r="T26" s="138" t="s">
        <v>390</v>
      </c>
      <c r="U26" s="137" t="s">
        <v>389</v>
      </c>
      <c r="V26" s="136" t="s">
        <v>388</v>
      </c>
      <c r="AA26" s="60" t="s">
        <v>85</v>
      </c>
      <c r="AB26" s="343">
        <f t="shared" ref="AB26:AB36" si="18">AG5+U5</f>
        <v>0</v>
      </c>
      <c r="AC26" s="343">
        <f t="shared" si="15"/>
        <v>4</v>
      </c>
      <c r="AD26" s="343">
        <f t="shared" si="15"/>
        <v>3</v>
      </c>
      <c r="AE26" s="343">
        <f t="shared" si="15"/>
        <v>0</v>
      </c>
      <c r="AF26" s="343">
        <f t="shared" si="15"/>
        <v>2</v>
      </c>
      <c r="AG26" s="60">
        <f t="shared" ref="AG26:AG36" si="19">SUM(AB26:AF26)</f>
        <v>9</v>
      </c>
    </row>
    <row r="27" spans="1:38" ht="14.25" customHeight="1" thickBot="1">
      <c r="A27" s="520"/>
      <c r="B27" s="75" t="s">
        <v>360</v>
      </c>
      <c r="C27" s="74" t="s">
        <v>55</v>
      </c>
      <c r="D27" s="157">
        <v>566.26</v>
      </c>
      <c r="E27" s="157">
        <v>300</v>
      </c>
      <c r="F27" s="157">
        <v>424.66829999999999</v>
      </c>
      <c r="G27" s="73">
        <v>0.5</v>
      </c>
      <c r="H27" s="73">
        <f t="shared" si="2"/>
        <v>212.33414999999999</v>
      </c>
      <c r="I27" s="94">
        <f t="shared" ref="I27:I56" si="20">E27-H27</f>
        <v>87.665850000000006</v>
      </c>
      <c r="J27" s="93">
        <f t="shared" ref="J27:J56" si="21">F27/E27*100</f>
        <v>141.55610000000001</v>
      </c>
      <c r="K27" s="300" t="s">
        <v>405</v>
      </c>
      <c r="L27" s="156">
        <v>973.76</v>
      </c>
      <c r="M27" s="156">
        <v>300</v>
      </c>
      <c r="N27" s="71">
        <f t="shared" si="16"/>
        <v>424.66829999999999</v>
      </c>
      <c r="O27" s="237">
        <f>M27-H27</f>
        <v>87.665850000000006</v>
      </c>
      <c r="P27" s="203" t="str">
        <f t="shared" si="17"/>
        <v>No</v>
      </c>
      <c r="Q27" s="558"/>
      <c r="R27" s="562"/>
      <c r="T27" s="133"/>
      <c r="U27" s="132"/>
      <c r="V27" s="99"/>
      <c r="AA27" s="60" t="s">
        <v>86</v>
      </c>
      <c r="AB27" s="343">
        <f t="shared" si="18"/>
        <v>0</v>
      </c>
      <c r="AC27" s="343">
        <f t="shared" si="15"/>
        <v>0</v>
      </c>
      <c r="AD27" s="343">
        <f t="shared" si="15"/>
        <v>2</v>
      </c>
      <c r="AE27" s="343">
        <f t="shared" si="15"/>
        <v>0</v>
      </c>
      <c r="AF27" s="343">
        <f t="shared" si="15"/>
        <v>1</v>
      </c>
      <c r="AG27" s="60">
        <f t="shared" si="19"/>
        <v>3</v>
      </c>
    </row>
    <row r="28" spans="1:38" ht="15" customHeight="1" thickBot="1">
      <c r="A28" s="499" t="s">
        <v>404</v>
      </c>
      <c r="B28" s="63" t="s">
        <v>6</v>
      </c>
      <c r="C28" s="114" t="s">
        <v>47</v>
      </c>
      <c r="D28" s="94">
        <v>341.46499999999997</v>
      </c>
      <c r="E28" s="93">
        <v>400</v>
      </c>
      <c r="F28" s="94">
        <v>414.50749999999999</v>
      </c>
      <c r="G28" s="85">
        <v>0.5</v>
      </c>
      <c r="H28" s="85">
        <f t="shared" si="2"/>
        <v>207.25375</v>
      </c>
      <c r="I28" s="85">
        <f t="shared" si="20"/>
        <v>192.74625</v>
      </c>
      <c r="J28" s="84">
        <f t="shared" si="21"/>
        <v>103.62687500000001</v>
      </c>
      <c r="K28" s="301" t="s">
        <v>403</v>
      </c>
      <c r="L28" s="92">
        <v>849.47500000000002</v>
      </c>
      <c r="M28" s="92">
        <v>400</v>
      </c>
      <c r="N28" s="91">
        <f t="shared" si="16"/>
        <v>414.50749999999999</v>
      </c>
      <c r="O28" s="237">
        <f t="shared" ref="O28:O29" si="22">M28-H28</f>
        <v>192.74625</v>
      </c>
      <c r="P28" s="203" t="str">
        <f t="shared" si="17"/>
        <v>No</v>
      </c>
      <c r="Q28" s="557" t="s">
        <v>351</v>
      </c>
      <c r="R28" s="560" t="s">
        <v>351</v>
      </c>
      <c r="T28" s="133" t="s">
        <v>351</v>
      </c>
      <c r="U28" s="132" t="s">
        <v>351</v>
      </c>
      <c r="V28" s="230"/>
      <c r="AA28" s="60" t="s">
        <v>87</v>
      </c>
      <c r="AB28" s="343">
        <f t="shared" si="18"/>
        <v>0</v>
      </c>
      <c r="AC28" s="343">
        <f t="shared" si="15"/>
        <v>7</v>
      </c>
      <c r="AD28" s="343">
        <f t="shared" si="15"/>
        <v>10</v>
      </c>
      <c r="AE28" s="343">
        <f t="shared" si="15"/>
        <v>6</v>
      </c>
      <c r="AF28" s="343">
        <f t="shared" si="15"/>
        <v>0</v>
      </c>
      <c r="AG28" s="60">
        <f t="shared" si="19"/>
        <v>23</v>
      </c>
    </row>
    <row r="29" spans="1:38" ht="14.25" customHeight="1" thickBot="1">
      <c r="A29" s="499"/>
      <c r="B29" s="63" t="s">
        <v>402</v>
      </c>
      <c r="C29" s="114" t="s">
        <v>386</v>
      </c>
      <c r="D29" s="94">
        <v>894.93</v>
      </c>
      <c r="E29" s="93">
        <v>150</v>
      </c>
      <c r="F29" s="94">
        <v>185.4342</v>
      </c>
      <c r="G29" s="94">
        <v>0.5</v>
      </c>
      <c r="H29" s="94">
        <f t="shared" si="2"/>
        <v>92.717100000000002</v>
      </c>
      <c r="I29" s="94">
        <f t="shared" si="20"/>
        <v>57.282899999999998</v>
      </c>
      <c r="J29" s="93">
        <f t="shared" si="21"/>
        <v>123.62280000000001</v>
      </c>
      <c r="K29" s="301" t="s">
        <v>385</v>
      </c>
      <c r="L29" s="92">
        <v>975.03499999999997</v>
      </c>
      <c r="M29" s="92">
        <v>150</v>
      </c>
      <c r="N29" s="91">
        <f t="shared" si="16"/>
        <v>185.4342</v>
      </c>
      <c r="O29" s="237">
        <f t="shared" si="22"/>
        <v>57.282899999999998</v>
      </c>
      <c r="P29" s="203" t="str">
        <f t="shared" si="17"/>
        <v>No</v>
      </c>
      <c r="Q29" s="559"/>
      <c r="R29" s="561"/>
      <c r="T29" s="227"/>
      <c r="U29" s="226"/>
      <c r="V29" s="89"/>
      <c r="AA29" s="60" t="s">
        <v>88</v>
      </c>
      <c r="AB29" s="343">
        <f t="shared" si="18"/>
        <v>0</v>
      </c>
      <c r="AC29" s="343">
        <f t="shared" si="15"/>
        <v>0</v>
      </c>
      <c r="AD29" s="343">
        <f t="shared" si="15"/>
        <v>7</v>
      </c>
      <c r="AE29" s="343">
        <f t="shared" si="15"/>
        <v>1</v>
      </c>
      <c r="AF29" s="343">
        <f t="shared" si="15"/>
        <v>0</v>
      </c>
      <c r="AG29" s="60">
        <f t="shared" si="19"/>
        <v>8</v>
      </c>
    </row>
    <row r="30" spans="1:38" ht="14.25" customHeight="1" thickBot="1">
      <c r="A30" s="499"/>
      <c r="B30" s="96" t="s">
        <v>401</v>
      </c>
      <c r="C30" s="95" t="s">
        <v>378</v>
      </c>
      <c r="D30" s="108">
        <v>839.23</v>
      </c>
      <c r="E30" s="108">
        <v>150</v>
      </c>
      <c r="F30" s="108">
        <v>213.84829999999999</v>
      </c>
      <c r="G30" s="94">
        <v>0.5</v>
      </c>
      <c r="H30" s="94">
        <f t="shared" si="2"/>
        <v>106.92415</v>
      </c>
      <c r="I30" s="94">
        <f t="shared" si="20"/>
        <v>43.075850000000003</v>
      </c>
      <c r="J30" s="93">
        <f t="shared" si="21"/>
        <v>142.56553333333332</v>
      </c>
      <c r="K30" s="302" t="s">
        <v>400</v>
      </c>
      <c r="L30" s="106">
        <v>1347.24</v>
      </c>
      <c r="M30" s="106">
        <v>100</v>
      </c>
      <c r="N30" s="105">
        <f t="shared" si="16"/>
        <v>213.84829999999999</v>
      </c>
      <c r="O30" s="235">
        <f>M30-H30</f>
        <v>-6.9241499999999974</v>
      </c>
      <c r="P30" s="220" t="str">
        <f t="shared" si="17"/>
        <v>Yes</v>
      </c>
      <c r="Q30" s="559"/>
      <c r="R30" s="561"/>
      <c r="T30" s="165" t="s">
        <v>369</v>
      </c>
      <c r="U30" s="259">
        <f>SUM(U27:U29)</f>
        <v>0</v>
      </c>
      <c r="V30" s="357"/>
      <c r="AA30" s="60" t="s">
        <v>89</v>
      </c>
      <c r="AB30" s="343">
        <f t="shared" si="18"/>
        <v>0</v>
      </c>
      <c r="AC30" s="343">
        <f t="shared" si="15"/>
        <v>5</v>
      </c>
      <c r="AD30" s="343">
        <f t="shared" si="15"/>
        <v>1</v>
      </c>
      <c r="AE30" s="343">
        <f t="shared" si="15"/>
        <v>1</v>
      </c>
      <c r="AF30" s="343">
        <f t="shared" si="15"/>
        <v>0</v>
      </c>
      <c r="AG30" s="60">
        <f t="shared" si="19"/>
        <v>7</v>
      </c>
    </row>
    <row r="31" spans="1:38" ht="14.25" customHeight="1" thickBot="1">
      <c r="A31" s="499"/>
      <c r="B31" s="96" t="s">
        <v>399</v>
      </c>
      <c r="C31" s="95" t="s">
        <v>52</v>
      </c>
      <c r="D31" s="94">
        <v>428.91</v>
      </c>
      <c r="E31" s="93">
        <v>200</v>
      </c>
      <c r="F31" s="94">
        <v>320.7817</v>
      </c>
      <c r="G31" s="94">
        <v>0.5</v>
      </c>
      <c r="H31" s="94">
        <f t="shared" si="2"/>
        <v>160.39085</v>
      </c>
      <c r="I31" s="94">
        <f t="shared" si="20"/>
        <v>39.60915</v>
      </c>
      <c r="J31" s="93">
        <f t="shared" si="21"/>
        <v>160.39085</v>
      </c>
      <c r="K31" s="301" t="s">
        <v>398</v>
      </c>
      <c r="L31" s="92">
        <v>762.03</v>
      </c>
      <c r="M31" s="92">
        <v>150</v>
      </c>
      <c r="N31" s="91">
        <f t="shared" si="16"/>
        <v>320.7817</v>
      </c>
      <c r="O31" s="235">
        <f>M31-H31</f>
        <v>-10.39085</v>
      </c>
      <c r="P31" s="220" t="str">
        <f t="shared" si="17"/>
        <v>Yes</v>
      </c>
      <c r="Q31" s="559"/>
      <c r="R31" s="561"/>
      <c r="T31" s="258" t="s">
        <v>365</v>
      </c>
      <c r="U31" s="257">
        <f>U30/9100.11497</f>
        <v>0</v>
      </c>
      <c r="V31" s="357"/>
      <c r="W31" s="357"/>
      <c r="X31" s="17"/>
      <c r="AA31" s="60" t="s">
        <v>90</v>
      </c>
      <c r="AB31" s="343">
        <f t="shared" si="18"/>
        <v>0</v>
      </c>
      <c r="AC31" s="343">
        <f t="shared" si="15"/>
        <v>0</v>
      </c>
      <c r="AD31" s="343">
        <f t="shared" si="15"/>
        <v>1</v>
      </c>
      <c r="AE31" s="343">
        <f t="shared" si="15"/>
        <v>1</v>
      </c>
      <c r="AF31" s="343">
        <f t="shared" si="15"/>
        <v>1</v>
      </c>
      <c r="AG31" s="60">
        <f t="shared" si="19"/>
        <v>3</v>
      </c>
    </row>
    <row r="32" spans="1:38" ht="14.25" customHeight="1" thickBot="1">
      <c r="A32" s="499"/>
      <c r="B32" s="96" t="s">
        <v>396</v>
      </c>
      <c r="C32" s="95" t="s">
        <v>56</v>
      </c>
      <c r="D32" s="94">
        <v>268.91000000000003</v>
      </c>
      <c r="E32" s="94">
        <v>250</v>
      </c>
      <c r="F32" s="94">
        <v>277.57420000000002</v>
      </c>
      <c r="G32" s="73">
        <v>0.5</v>
      </c>
      <c r="H32" s="73">
        <f t="shared" si="2"/>
        <v>138.78710000000001</v>
      </c>
      <c r="I32" s="73">
        <f t="shared" si="20"/>
        <v>111.21289999999999</v>
      </c>
      <c r="J32" s="299">
        <f t="shared" si="21"/>
        <v>111.02968</v>
      </c>
      <c r="K32" s="301" t="s">
        <v>395</v>
      </c>
      <c r="L32" s="92">
        <v>922.03</v>
      </c>
      <c r="M32" s="92">
        <v>250</v>
      </c>
      <c r="N32" s="105">
        <f t="shared" si="16"/>
        <v>277.57420000000002</v>
      </c>
      <c r="O32" s="143">
        <f>M32-H32</f>
        <v>111.21289999999999</v>
      </c>
      <c r="P32" s="203" t="str">
        <f t="shared" si="17"/>
        <v>No</v>
      </c>
      <c r="Q32" s="558"/>
      <c r="R32" s="562"/>
      <c r="T32" s="135"/>
      <c r="U32" s="135"/>
      <c r="V32" s="135"/>
      <c r="W32" s="357"/>
      <c r="AA32" s="60" t="s">
        <v>91</v>
      </c>
      <c r="AB32" s="343">
        <f t="shared" si="18"/>
        <v>0</v>
      </c>
      <c r="AC32" s="343">
        <f t="shared" si="15"/>
        <v>7</v>
      </c>
      <c r="AD32" s="343">
        <f t="shared" si="15"/>
        <v>2</v>
      </c>
      <c r="AE32" s="343">
        <f t="shared" si="15"/>
        <v>1</v>
      </c>
      <c r="AF32" s="343">
        <f t="shared" si="15"/>
        <v>0</v>
      </c>
      <c r="AG32" s="60">
        <f t="shared" si="19"/>
        <v>10</v>
      </c>
    </row>
    <row r="33" spans="1:33" ht="13.5" thickBot="1">
      <c r="A33" s="497" t="s">
        <v>382</v>
      </c>
      <c r="B33" s="87" t="s">
        <v>393</v>
      </c>
      <c r="C33" s="86" t="s">
        <v>392</v>
      </c>
      <c r="D33" s="85">
        <v>774.56</v>
      </c>
      <c r="E33" s="85">
        <v>450</v>
      </c>
      <c r="F33" s="85">
        <v>593.39</v>
      </c>
      <c r="G33" s="85">
        <v>0.5</v>
      </c>
      <c r="H33" s="85">
        <f t="shared" si="2"/>
        <v>296.69499999999999</v>
      </c>
      <c r="I33" s="94">
        <f t="shared" si="20"/>
        <v>153.30500000000001</v>
      </c>
      <c r="J33" s="93">
        <f t="shared" si="21"/>
        <v>131.86444444444444</v>
      </c>
      <c r="K33" s="100" t="s">
        <v>391</v>
      </c>
      <c r="L33" s="83">
        <v>778.62</v>
      </c>
      <c r="M33" s="83">
        <v>450</v>
      </c>
      <c r="N33" s="82">
        <f t="shared" si="16"/>
        <v>593.39</v>
      </c>
      <c r="O33" s="205">
        <f>M33-H33</f>
        <v>153.30500000000001</v>
      </c>
      <c r="P33" s="203" t="str">
        <f t="shared" si="17"/>
        <v>No</v>
      </c>
      <c r="Q33" s="239"/>
      <c r="R33" s="239"/>
      <c r="S33" s="253"/>
      <c r="T33" s="256"/>
      <c r="U33" s="256"/>
      <c r="V33" s="135"/>
      <c r="AA33" s="60" t="s">
        <v>92</v>
      </c>
      <c r="AB33" s="343">
        <f t="shared" si="18"/>
        <v>0</v>
      </c>
      <c r="AC33" s="343">
        <f t="shared" si="15"/>
        <v>2</v>
      </c>
      <c r="AD33" s="343">
        <f t="shared" si="15"/>
        <v>5</v>
      </c>
      <c r="AE33" s="343">
        <f t="shared" si="15"/>
        <v>0</v>
      </c>
      <c r="AF33" s="343">
        <f t="shared" si="15"/>
        <v>0</v>
      </c>
      <c r="AG33" s="60">
        <f t="shared" si="19"/>
        <v>7</v>
      </c>
    </row>
    <row r="34" spans="1:33" ht="14.25" customHeight="1" thickBot="1">
      <c r="A34" s="499"/>
      <c r="B34" s="96" t="s">
        <v>387</v>
      </c>
      <c r="C34" s="95" t="s">
        <v>386</v>
      </c>
      <c r="D34" s="108">
        <v>894.93</v>
      </c>
      <c r="E34" s="107">
        <v>150</v>
      </c>
      <c r="F34" s="108">
        <v>185.4342</v>
      </c>
      <c r="G34" s="94">
        <v>0.5</v>
      </c>
      <c r="H34" s="94">
        <f t="shared" si="2"/>
        <v>92.717100000000002</v>
      </c>
      <c r="I34" s="94">
        <f t="shared" si="20"/>
        <v>57.282899999999998</v>
      </c>
      <c r="J34" s="93">
        <f t="shared" si="21"/>
        <v>123.62280000000001</v>
      </c>
      <c r="K34" s="302" t="s">
        <v>385</v>
      </c>
      <c r="L34" s="106">
        <v>975.03499999999997</v>
      </c>
      <c r="M34" s="106">
        <v>150</v>
      </c>
      <c r="N34" s="105">
        <f t="shared" si="16"/>
        <v>185.4342</v>
      </c>
      <c r="O34" s="205">
        <f t="shared" ref="O34:O56" si="23">M34-H34</f>
        <v>57.282899999999998</v>
      </c>
      <c r="P34" s="203" t="str">
        <f t="shared" si="17"/>
        <v>No</v>
      </c>
      <c r="Q34" s="356"/>
      <c r="R34" s="356"/>
      <c r="S34" s="253"/>
      <c r="T34" s="135"/>
      <c r="U34" s="135"/>
      <c r="V34" s="135"/>
      <c r="AA34" s="60" t="s">
        <v>93</v>
      </c>
      <c r="AB34" s="343">
        <f t="shared" si="18"/>
        <v>0</v>
      </c>
      <c r="AC34" s="343">
        <f t="shared" si="15"/>
        <v>0</v>
      </c>
      <c r="AD34" s="343">
        <f t="shared" si="15"/>
        <v>2</v>
      </c>
      <c r="AE34" s="343">
        <f t="shared" si="15"/>
        <v>2</v>
      </c>
      <c r="AF34" s="343">
        <f t="shared" si="15"/>
        <v>0</v>
      </c>
      <c r="AG34" s="60">
        <f t="shared" si="19"/>
        <v>4</v>
      </c>
    </row>
    <row r="35" spans="1:33" ht="14.25" customHeight="1" thickBot="1">
      <c r="A35" s="499"/>
      <c r="B35" s="96" t="s">
        <v>383</v>
      </c>
      <c r="C35" s="95" t="s">
        <v>382</v>
      </c>
      <c r="D35" s="94">
        <v>553.46500000000003</v>
      </c>
      <c r="E35" s="93">
        <v>300</v>
      </c>
      <c r="F35" s="94">
        <v>491.47570000000002</v>
      </c>
      <c r="G35" s="73">
        <v>0.5</v>
      </c>
      <c r="H35" s="73">
        <f t="shared" si="2"/>
        <v>245.73785000000001</v>
      </c>
      <c r="I35" s="94">
        <f t="shared" si="20"/>
        <v>54.262149999999991</v>
      </c>
      <c r="J35" s="93">
        <f t="shared" si="21"/>
        <v>163.82523333333333</v>
      </c>
      <c r="K35" s="301" t="s">
        <v>381</v>
      </c>
      <c r="L35" s="92">
        <v>660.12</v>
      </c>
      <c r="M35" s="92">
        <v>300</v>
      </c>
      <c r="N35" s="91">
        <f t="shared" si="16"/>
        <v>491.47570000000002</v>
      </c>
      <c r="O35" s="205">
        <f t="shared" si="23"/>
        <v>54.262149999999991</v>
      </c>
      <c r="P35" s="203" t="str">
        <f t="shared" si="17"/>
        <v>No</v>
      </c>
      <c r="Q35" s="356"/>
      <c r="R35" s="356"/>
      <c r="S35" s="253"/>
      <c r="T35" s="256"/>
      <c r="U35" s="135"/>
      <c r="V35" s="135"/>
      <c r="W35" s="357"/>
      <c r="AA35" s="60" t="s">
        <v>94</v>
      </c>
      <c r="AB35" s="343">
        <f t="shared" si="18"/>
        <v>0</v>
      </c>
      <c r="AC35" s="343">
        <f t="shared" si="15"/>
        <v>1</v>
      </c>
      <c r="AD35" s="343">
        <f t="shared" si="15"/>
        <v>2</v>
      </c>
      <c r="AE35" s="343">
        <f t="shared" si="15"/>
        <v>3</v>
      </c>
      <c r="AF35" s="343">
        <f t="shared" si="15"/>
        <v>0</v>
      </c>
      <c r="AG35" s="60">
        <f t="shared" si="19"/>
        <v>6</v>
      </c>
    </row>
    <row r="36" spans="1:33" ht="13.5" thickBot="1">
      <c r="A36" s="497" t="s">
        <v>375</v>
      </c>
      <c r="B36" s="87" t="s">
        <v>379</v>
      </c>
      <c r="C36" s="86" t="s">
        <v>378</v>
      </c>
      <c r="D36" s="85">
        <v>839.23</v>
      </c>
      <c r="E36" s="84">
        <v>150</v>
      </c>
      <c r="F36" s="85">
        <v>213.84829999999999</v>
      </c>
      <c r="G36" s="85">
        <v>0.5</v>
      </c>
      <c r="H36" s="85">
        <f t="shared" si="2"/>
        <v>106.92415</v>
      </c>
      <c r="I36" s="85">
        <f t="shared" si="20"/>
        <v>43.075850000000003</v>
      </c>
      <c r="J36" s="84">
        <f t="shared" si="21"/>
        <v>142.56553333333332</v>
      </c>
      <c r="K36" s="100" t="s">
        <v>377</v>
      </c>
      <c r="L36" s="83">
        <v>844.89</v>
      </c>
      <c r="M36" s="83">
        <v>150</v>
      </c>
      <c r="N36" s="82">
        <f t="shared" si="16"/>
        <v>213.84829999999999</v>
      </c>
      <c r="O36" s="205">
        <f t="shared" si="23"/>
        <v>43.075850000000003</v>
      </c>
      <c r="P36" s="203" t="str">
        <f t="shared" si="17"/>
        <v>No</v>
      </c>
      <c r="Q36" s="356"/>
      <c r="R36" s="356"/>
      <c r="S36" s="253"/>
      <c r="AA36" s="326" t="s">
        <v>469</v>
      </c>
      <c r="AB36" s="343">
        <f t="shared" si="18"/>
        <v>0</v>
      </c>
      <c r="AC36" s="343">
        <f t="shared" si="15"/>
        <v>1</v>
      </c>
      <c r="AD36" s="343">
        <f t="shared" si="15"/>
        <v>1</v>
      </c>
      <c r="AE36" s="343">
        <f t="shared" si="15"/>
        <v>0</v>
      </c>
      <c r="AF36" s="343">
        <f t="shared" si="15"/>
        <v>0</v>
      </c>
      <c r="AG36" s="326">
        <f t="shared" si="19"/>
        <v>2</v>
      </c>
    </row>
    <row r="37" spans="1:33" ht="14.25" customHeight="1" thickBot="1">
      <c r="A37" s="499"/>
      <c r="B37" s="96" t="s">
        <v>376</v>
      </c>
      <c r="C37" s="95" t="s">
        <v>375</v>
      </c>
      <c r="D37" s="94">
        <v>497.76499999999999</v>
      </c>
      <c r="E37" s="94">
        <v>800</v>
      </c>
      <c r="F37" s="94">
        <v>1151.328</v>
      </c>
      <c r="G37" s="73">
        <v>0.5</v>
      </c>
      <c r="H37" s="73">
        <f t="shared" si="2"/>
        <v>575.66399999999999</v>
      </c>
      <c r="I37" s="73">
        <f t="shared" si="20"/>
        <v>224.33600000000001</v>
      </c>
      <c r="J37" s="299">
        <f t="shared" si="21"/>
        <v>143.916</v>
      </c>
      <c r="K37" s="301" t="s">
        <v>374</v>
      </c>
      <c r="L37" s="92">
        <v>503.42500000000001</v>
      </c>
      <c r="M37" s="92">
        <v>800</v>
      </c>
      <c r="N37" s="91">
        <f t="shared" si="16"/>
        <v>1151.328</v>
      </c>
      <c r="O37" s="205">
        <f t="shared" si="23"/>
        <v>224.33600000000001</v>
      </c>
      <c r="P37" s="203" t="str">
        <f t="shared" si="17"/>
        <v>No</v>
      </c>
      <c r="Q37" s="255"/>
      <c r="R37" s="255"/>
      <c r="S37" s="253"/>
      <c r="AA37" s="340" t="s">
        <v>479</v>
      </c>
      <c r="AB37" s="349">
        <f>SUM(AB25:AB36)</f>
        <v>0</v>
      </c>
      <c r="AC37" s="349">
        <f>SUM(AC25:AC36)</f>
        <v>30</v>
      </c>
      <c r="AD37" s="349">
        <f>SUM(AD25:AD36)</f>
        <v>38</v>
      </c>
      <c r="AE37" s="349">
        <f>SUM(AE25:AE36)</f>
        <v>16</v>
      </c>
      <c r="AF37" s="349">
        <f>SUM(AF25:AF36)</f>
        <v>4</v>
      </c>
      <c r="AG37" s="350">
        <f t="shared" ref="AG37" si="24">SUM(AG25:AG36)</f>
        <v>88</v>
      </c>
    </row>
    <row r="38" spans="1:33" ht="13.5" thickBot="1">
      <c r="A38" s="353" t="s">
        <v>372</v>
      </c>
      <c r="B38" s="87" t="s">
        <v>373</v>
      </c>
      <c r="C38" s="86" t="s">
        <v>372</v>
      </c>
      <c r="D38" s="85">
        <v>285.27999999999997</v>
      </c>
      <c r="E38" s="85">
        <v>500</v>
      </c>
      <c r="F38" s="85">
        <v>779.52329999999995</v>
      </c>
      <c r="G38" s="184">
        <v>0.5</v>
      </c>
      <c r="H38" s="184">
        <f t="shared" si="2"/>
        <v>389.76164999999997</v>
      </c>
      <c r="I38" s="94">
        <f t="shared" si="20"/>
        <v>110.23835000000003</v>
      </c>
      <c r="J38" s="93">
        <f t="shared" si="21"/>
        <v>155.90465999999998</v>
      </c>
      <c r="K38" s="100" t="s">
        <v>371</v>
      </c>
      <c r="L38" s="83">
        <v>539.80499999999995</v>
      </c>
      <c r="M38" s="83">
        <v>300</v>
      </c>
      <c r="N38" s="82">
        <f t="shared" si="16"/>
        <v>779.52329999999995</v>
      </c>
      <c r="O38" s="281">
        <f t="shared" si="23"/>
        <v>-89.761649999999975</v>
      </c>
      <c r="P38" s="220" t="str">
        <f t="shared" si="17"/>
        <v>Yes</v>
      </c>
      <c r="Q38" s="222" t="s">
        <v>351</v>
      </c>
      <c r="R38" s="221" t="s">
        <v>351</v>
      </c>
      <c r="AA38" s="340" t="s">
        <v>478</v>
      </c>
      <c r="AB38" s="351">
        <f>PRODUCT(AB37*AD7)</f>
        <v>0</v>
      </c>
      <c r="AC38" s="416">
        <f>PRODUCT(AC37*AD8)</f>
        <v>491.06700000000001</v>
      </c>
      <c r="AD38" s="416">
        <f>PRODUCT(AD37*AD9)</f>
        <v>636.37459999999999</v>
      </c>
      <c r="AE38" s="416">
        <f>PRODUCT(AE37*AD10)</f>
        <v>270.18560000000002</v>
      </c>
      <c r="AF38" s="416">
        <f>PRODUCT(AF37*AD11)</f>
        <v>68</v>
      </c>
      <c r="AG38" s="421">
        <f>SUM(AB38:AF38)</f>
        <v>1465.6272000000001</v>
      </c>
    </row>
    <row r="39" spans="1:33" ht="13.5" thickBot="1">
      <c r="A39" s="497" t="s">
        <v>60</v>
      </c>
      <c r="B39" s="87" t="s">
        <v>368</v>
      </c>
      <c r="C39" s="86" t="s">
        <v>367</v>
      </c>
      <c r="D39" s="85">
        <v>239.47</v>
      </c>
      <c r="E39" s="84">
        <v>750</v>
      </c>
      <c r="F39" s="85">
        <v>886.15449999999998</v>
      </c>
      <c r="G39" s="85">
        <v>0.5</v>
      </c>
      <c r="H39" s="85">
        <f t="shared" si="2"/>
        <v>443.07724999999999</v>
      </c>
      <c r="I39" s="85">
        <f t="shared" si="20"/>
        <v>306.92275000000001</v>
      </c>
      <c r="J39" s="84">
        <f t="shared" si="21"/>
        <v>118.15393333333333</v>
      </c>
      <c r="K39" s="100" t="s">
        <v>366</v>
      </c>
      <c r="L39" s="83">
        <v>585.61500000000001</v>
      </c>
      <c r="M39" s="83">
        <v>450</v>
      </c>
      <c r="N39" s="82">
        <f t="shared" si="16"/>
        <v>886.15449999999998</v>
      </c>
      <c r="O39" s="205">
        <f t="shared" si="23"/>
        <v>6.9227500000000077</v>
      </c>
      <c r="P39" s="203" t="str">
        <f t="shared" si="17"/>
        <v>No</v>
      </c>
      <c r="Q39" s="219" t="s">
        <v>351</v>
      </c>
      <c r="R39" s="218" t="s">
        <v>351</v>
      </c>
      <c r="AA39" s="340" t="s">
        <v>528</v>
      </c>
      <c r="AB39" s="351">
        <f>AB37*AC7</f>
        <v>0</v>
      </c>
      <c r="AC39" s="351">
        <f>AC37*AC8</f>
        <v>4500</v>
      </c>
      <c r="AD39" s="351">
        <f>AD37*AC9</f>
        <v>7600</v>
      </c>
      <c r="AE39" s="351">
        <f>AE37*AC10</f>
        <v>4000</v>
      </c>
      <c r="AF39" s="351">
        <f>AF37*AC11</f>
        <v>1200</v>
      </c>
      <c r="AG39" s="340">
        <f>SUM(AB39:AF39)</f>
        <v>17300</v>
      </c>
    </row>
    <row r="40" spans="1:33" ht="14.25" customHeight="1" thickBot="1">
      <c r="A40" s="498"/>
      <c r="B40" s="75" t="s">
        <v>364</v>
      </c>
      <c r="C40" s="74" t="s">
        <v>61</v>
      </c>
      <c r="D40" s="73">
        <v>381.34</v>
      </c>
      <c r="E40" s="73">
        <v>200</v>
      </c>
      <c r="F40" s="73">
        <v>233.80699999999999</v>
      </c>
      <c r="G40" s="73">
        <v>0.5</v>
      </c>
      <c r="H40" s="73">
        <f t="shared" si="2"/>
        <v>116.90349999999999</v>
      </c>
      <c r="I40" s="73">
        <f t="shared" si="20"/>
        <v>83.096500000000006</v>
      </c>
      <c r="J40" s="299">
        <f t="shared" si="21"/>
        <v>116.90350000000001</v>
      </c>
      <c r="K40" s="303" t="s">
        <v>328</v>
      </c>
      <c r="L40" s="72">
        <v>673.16499999999996</v>
      </c>
      <c r="M40" s="72">
        <v>150</v>
      </c>
      <c r="N40" s="119">
        <f t="shared" si="16"/>
        <v>233.80699999999999</v>
      </c>
      <c r="O40" s="205">
        <f t="shared" si="23"/>
        <v>33.096500000000006</v>
      </c>
      <c r="P40" s="203" t="str">
        <f t="shared" si="17"/>
        <v>No</v>
      </c>
      <c r="Q40" s="217"/>
      <c r="R40" s="216"/>
    </row>
    <row r="41" spans="1:33" ht="13.5" thickBot="1">
      <c r="A41" s="499" t="s">
        <v>363</v>
      </c>
      <c r="B41" s="63" t="s">
        <v>362</v>
      </c>
      <c r="C41" s="114" t="s">
        <v>74</v>
      </c>
      <c r="D41" s="94">
        <v>632.29499999999996</v>
      </c>
      <c r="E41" s="94">
        <v>300</v>
      </c>
      <c r="F41" s="94">
        <v>416.14780000000002</v>
      </c>
      <c r="G41" s="85">
        <v>0.5</v>
      </c>
      <c r="H41" s="85">
        <f t="shared" si="2"/>
        <v>208.07390000000001</v>
      </c>
      <c r="I41" s="94">
        <f t="shared" si="20"/>
        <v>91.926099999999991</v>
      </c>
      <c r="J41" s="93">
        <f t="shared" si="21"/>
        <v>138.71593333333334</v>
      </c>
      <c r="K41" s="301" t="s">
        <v>361</v>
      </c>
      <c r="L41" s="92">
        <v>692.19500000000005</v>
      </c>
      <c r="M41" s="92">
        <v>300</v>
      </c>
      <c r="N41" s="91">
        <f t="shared" si="16"/>
        <v>416.14780000000002</v>
      </c>
      <c r="O41" s="205">
        <f t="shared" si="23"/>
        <v>91.926099999999991</v>
      </c>
      <c r="P41" s="203" t="str">
        <f t="shared" si="17"/>
        <v>No</v>
      </c>
      <c r="Q41" s="239"/>
      <c r="R41" s="239"/>
    </row>
    <row r="42" spans="1:33" ht="14.25" customHeight="1" thickBot="1">
      <c r="A42" s="499"/>
      <c r="B42" s="96" t="s">
        <v>360</v>
      </c>
      <c r="C42" s="95" t="s">
        <v>55</v>
      </c>
      <c r="D42" s="108">
        <v>566.26</v>
      </c>
      <c r="E42" s="108">
        <v>300</v>
      </c>
      <c r="F42" s="108">
        <v>424.66829999999999</v>
      </c>
      <c r="G42" s="94">
        <v>0.5</v>
      </c>
      <c r="H42" s="94">
        <f t="shared" si="2"/>
        <v>212.33414999999999</v>
      </c>
      <c r="I42" s="94">
        <f t="shared" si="20"/>
        <v>87.665850000000006</v>
      </c>
      <c r="J42" s="93">
        <f t="shared" si="21"/>
        <v>141.55610000000001</v>
      </c>
      <c r="K42" s="302" t="s">
        <v>359</v>
      </c>
      <c r="L42" s="106">
        <v>1033.6600000000001</v>
      </c>
      <c r="M42" s="106">
        <v>300</v>
      </c>
      <c r="N42" s="105">
        <f t="shared" si="16"/>
        <v>424.66829999999999</v>
      </c>
      <c r="O42" s="205">
        <f t="shared" si="23"/>
        <v>87.665850000000006</v>
      </c>
      <c r="P42" s="203" t="str">
        <f t="shared" si="17"/>
        <v>No</v>
      </c>
      <c r="Q42" s="356"/>
      <c r="R42" s="356"/>
      <c r="S42" s="253"/>
    </row>
    <row r="43" spans="1:33" ht="14.25" customHeight="1" thickBot="1">
      <c r="A43" s="499"/>
      <c r="B43" s="96" t="s">
        <v>358</v>
      </c>
      <c r="C43" s="95" t="s">
        <v>62</v>
      </c>
      <c r="D43" s="94">
        <v>174.54</v>
      </c>
      <c r="E43" s="94">
        <v>250</v>
      </c>
      <c r="F43" s="94">
        <v>80.336669999999998</v>
      </c>
      <c r="G43" s="73">
        <v>0.5</v>
      </c>
      <c r="H43" s="73">
        <f t="shared" si="2"/>
        <v>40.168334999999999</v>
      </c>
      <c r="I43" s="94">
        <f t="shared" si="20"/>
        <v>209.83166499999999</v>
      </c>
      <c r="J43" s="93">
        <f t="shared" si="21"/>
        <v>32.134667999999998</v>
      </c>
      <c r="K43" s="301" t="s">
        <v>357</v>
      </c>
      <c r="L43" s="92">
        <v>811.21</v>
      </c>
      <c r="M43" s="92">
        <v>150</v>
      </c>
      <c r="N43" s="105">
        <f t="shared" si="16"/>
        <v>80.336669999999998</v>
      </c>
      <c r="O43" s="205">
        <f t="shared" si="23"/>
        <v>109.831665</v>
      </c>
      <c r="P43" s="203" t="str">
        <f t="shared" si="17"/>
        <v>No</v>
      </c>
      <c r="Q43" s="356"/>
      <c r="R43" s="356"/>
      <c r="S43" s="253"/>
    </row>
    <row r="44" spans="1:33" ht="13.5" thickBot="1">
      <c r="A44" s="353" t="s">
        <v>355</v>
      </c>
      <c r="B44" s="87" t="s">
        <v>356</v>
      </c>
      <c r="C44" s="86" t="s">
        <v>355</v>
      </c>
      <c r="D44" s="85">
        <v>517.28</v>
      </c>
      <c r="E44" s="85">
        <v>200</v>
      </c>
      <c r="F44" s="85">
        <v>67.241829999999993</v>
      </c>
      <c r="G44" s="184">
        <v>0.5</v>
      </c>
      <c r="H44" s="184">
        <f t="shared" si="2"/>
        <v>33.620914999999997</v>
      </c>
      <c r="I44" s="184">
        <f t="shared" si="20"/>
        <v>166.379085</v>
      </c>
      <c r="J44" s="183">
        <f t="shared" si="21"/>
        <v>33.620914999999997</v>
      </c>
      <c r="K44" s="100" t="s">
        <v>354</v>
      </c>
      <c r="L44" s="83">
        <v>607.995</v>
      </c>
      <c r="M44" s="83">
        <v>150</v>
      </c>
      <c r="N44" s="82">
        <f t="shared" si="16"/>
        <v>67.241829999999993</v>
      </c>
      <c r="O44" s="205">
        <f t="shared" si="23"/>
        <v>116.379085</v>
      </c>
      <c r="P44" s="203" t="str">
        <f t="shared" si="17"/>
        <v>No</v>
      </c>
      <c r="Q44" s="356"/>
      <c r="R44" s="356"/>
      <c r="S44" s="253"/>
    </row>
    <row r="45" spans="1:33" ht="13.5" thickBot="1">
      <c r="A45" s="497" t="s">
        <v>349</v>
      </c>
      <c r="B45" s="87" t="s">
        <v>353</v>
      </c>
      <c r="C45" s="86" t="s">
        <v>342</v>
      </c>
      <c r="D45" s="85">
        <v>592.98500000000001</v>
      </c>
      <c r="E45" s="85">
        <v>150</v>
      </c>
      <c r="F45" s="85">
        <v>175.91919999999999</v>
      </c>
      <c r="G45" s="85">
        <v>0.5</v>
      </c>
      <c r="H45" s="85">
        <f t="shared" si="2"/>
        <v>87.959599999999995</v>
      </c>
      <c r="I45" s="94">
        <f t="shared" si="20"/>
        <v>62.040400000000005</v>
      </c>
      <c r="J45" s="93">
        <f t="shared" si="21"/>
        <v>117.27946666666666</v>
      </c>
      <c r="K45" s="100" t="s">
        <v>352</v>
      </c>
      <c r="L45" s="83">
        <v>1051.23</v>
      </c>
      <c r="M45" s="83">
        <v>150</v>
      </c>
      <c r="N45" s="82">
        <f t="shared" si="16"/>
        <v>175.91919999999999</v>
      </c>
      <c r="O45" s="205">
        <f t="shared" si="23"/>
        <v>62.040400000000005</v>
      </c>
      <c r="P45" s="203" t="str">
        <f t="shared" si="17"/>
        <v>No</v>
      </c>
      <c r="Q45" s="356"/>
      <c r="R45" s="356"/>
      <c r="S45" s="253"/>
    </row>
    <row r="46" spans="1:33" ht="14.25" customHeight="1" thickBot="1">
      <c r="A46" s="499"/>
      <c r="B46" s="96" t="s">
        <v>350</v>
      </c>
      <c r="C46" s="95" t="s">
        <v>349</v>
      </c>
      <c r="D46" s="108">
        <v>374.84</v>
      </c>
      <c r="E46" s="108">
        <v>200</v>
      </c>
      <c r="F46" s="108">
        <v>115.1143</v>
      </c>
      <c r="G46" s="94">
        <v>0.5</v>
      </c>
      <c r="H46" s="94">
        <f t="shared" si="2"/>
        <v>57.55715</v>
      </c>
      <c r="I46" s="94">
        <f t="shared" si="20"/>
        <v>142.44284999999999</v>
      </c>
      <c r="J46" s="93">
        <f t="shared" si="21"/>
        <v>57.55715</v>
      </c>
      <c r="K46" s="302" t="s">
        <v>348</v>
      </c>
      <c r="L46" s="106">
        <v>838.745</v>
      </c>
      <c r="M46" s="106">
        <v>150</v>
      </c>
      <c r="N46" s="105">
        <f t="shared" si="16"/>
        <v>115.1143</v>
      </c>
      <c r="O46" s="205">
        <f t="shared" si="23"/>
        <v>92.442849999999993</v>
      </c>
      <c r="P46" s="203" t="str">
        <f t="shared" si="17"/>
        <v>No</v>
      </c>
      <c r="Q46" s="356"/>
      <c r="R46" s="356"/>
      <c r="S46" s="253"/>
    </row>
    <row r="47" spans="1:33" ht="14.25" customHeight="1" thickBot="1">
      <c r="A47" s="499"/>
      <c r="B47" s="96" t="s">
        <v>347</v>
      </c>
      <c r="C47" s="95" t="s">
        <v>335</v>
      </c>
      <c r="D47" s="108">
        <v>675.17499999999995</v>
      </c>
      <c r="E47" s="108">
        <v>150</v>
      </c>
      <c r="F47" s="108">
        <v>87.5685</v>
      </c>
      <c r="G47" s="94">
        <v>0.5</v>
      </c>
      <c r="H47" s="94">
        <f t="shared" si="2"/>
        <v>43.78425</v>
      </c>
      <c r="I47" s="94">
        <f t="shared" si="20"/>
        <v>106.21575</v>
      </c>
      <c r="J47" s="93">
        <f t="shared" si="21"/>
        <v>58.379000000000005</v>
      </c>
      <c r="K47" s="302" t="s">
        <v>346</v>
      </c>
      <c r="L47" s="106">
        <v>792.93499999999995</v>
      </c>
      <c r="M47" s="106">
        <v>150</v>
      </c>
      <c r="N47" s="105">
        <f t="shared" si="16"/>
        <v>87.5685</v>
      </c>
      <c r="O47" s="205">
        <f t="shared" si="23"/>
        <v>106.21575</v>
      </c>
      <c r="P47" s="203" t="str">
        <f t="shared" si="17"/>
        <v>No</v>
      </c>
      <c r="Q47" s="356"/>
      <c r="R47" s="356"/>
      <c r="S47" s="253"/>
    </row>
    <row r="48" spans="1:33" ht="14.25" customHeight="1" thickBot="1">
      <c r="A48" s="499"/>
      <c r="B48" s="96" t="s">
        <v>339</v>
      </c>
      <c r="C48" s="95" t="s">
        <v>338</v>
      </c>
      <c r="D48" s="94">
        <v>768.38499999999999</v>
      </c>
      <c r="E48" s="94">
        <v>150</v>
      </c>
      <c r="F48" s="94">
        <v>46.164000000000001</v>
      </c>
      <c r="G48" s="73">
        <v>0.5</v>
      </c>
      <c r="H48" s="73">
        <f t="shared" si="2"/>
        <v>23.082000000000001</v>
      </c>
      <c r="I48" s="94">
        <f t="shared" si="20"/>
        <v>126.91800000000001</v>
      </c>
      <c r="J48" s="93">
        <f t="shared" si="21"/>
        <v>30.776000000000003</v>
      </c>
      <c r="K48" s="301" t="s">
        <v>345</v>
      </c>
      <c r="L48" s="92">
        <v>934.80499999999995</v>
      </c>
      <c r="M48" s="92">
        <v>150</v>
      </c>
      <c r="N48" s="91">
        <f t="shared" si="16"/>
        <v>46.164000000000001</v>
      </c>
      <c r="O48" s="205">
        <f t="shared" si="23"/>
        <v>126.91800000000001</v>
      </c>
      <c r="P48" s="203" t="str">
        <f t="shared" si="17"/>
        <v>No</v>
      </c>
      <c r="Q48" s="356"/>
      <c r="R48" s="356"/>
      <c r="S48" s="253"/>
    </row>
    <row r="49" spans="1:19" ht="13.5" thickBot="1">
      <c r="A49" s="497" t="s">
        <v>344</v>
      </c>
      <c r="B49" s="87" t="s">
        <v>343</v>
      </c>
      <c r="C49" s="86" t="s">
        <v>342</v>
      </c>
      <c r="D49" s="85">
        <v>592.98500000000001</v>
      </c>
      <c r="E49" s="85">
        <v>150</v>
      </c>
      <c r="F49" s="85">
        <v>175.91919999999999</v>
      </c>
      <c r="G49" s="85">
        <v>0.5</v>
      </c>
      <c r="H49" s="85">
        <f t="shared" si="2"/>
        <v>87.959599999999995</v>
      </c>
      <c r="I49" s="85">
        <f t="shared" si="20"/>
        <v>62.040400000000005</v>
      </c>
      <c r="J49" s="84">
        <f t="shared" si="21"/>
        <v>117.27946666666666</v>
      </c>
      <c r="K49" s="100" t="s">
        <v>341</v>
      </c>
      <c r="L49" s="83">
        <v>992.44500000000005</v>
      </c>
      <c r="M49" s="83">
        <v>150</v>
      </c>
      <c r="N49" s="82">
        <f t="shared" si="16"/>
        <v>175.91919999999999</v>
      </c>
      <c r="O49" s="205">
        <f t="shared" si="23"/>
        <v>62.040400000000005</v>
      </c>
      <c r="P49" s="203" t="str">
        <f t="shared" si="17"/>
        <v>No</v>
      </c>
      <c r="Q49" s="356"/>
      <c r="R49" s="356"/>
      <c r="S49" s="253"/>
    </row>
    <row r="50" spans="1:19" ht="14.25" customHeight="1" thickBot="1">
      <c r="A50" s="499"/>
      <c r="B50" s="96" t="s">
        <v>339</v>
      </c>
      <c r="C50" s="95" t="s">
        <v>338</v>
      </c>
      <c r="D50" s="94">
        <v>768.38499999999999</v>
      </c>
      <c r="E50" s="94">
        <v>150</v>
      </c>
      <c r="F50" s="94">
        <v>46.164000000000001</v>
      </c>
      <c r="G50" s="73">
        <v>0.5</v>
      </c>
      <c r="H50" s="73">
        <f t="shared" si="2"/>
        <v>23.082000000000001</v>
      </c>
      <c r="I50" s="73">
        <f t="shared" si="20"/>
        <v>126.91800000000001</v>
      </c>
      <c r="J50" s="299">
        <f t="shared" si="21"/>
        <v>30.776000000000003</v>
      </c>
      <c r="K50" s="301" t="s">
        <v>337</v>
      </c>
      <c r="L50" s="92">
        <v>817.04499999999996</v>
      </c>
      <c r="M50" s="92">
        <v>150</v>
      </c>
      <c r="N50" s="91">
        <f t="shared" si="16"/>
        <v>46.164000000000001</v>
      </c>
      <c r="O50" s="205">
        <f t="shared" si="23"/>
        <v>126.91800000000001</v>
      </c>
      <c r="P50" s="203" t="str">
        <f t="shared" si="17"/>
        <v>No</v>
      </c>
      <c r="Q50" s="356"/>
      <c r="R50" s="356"/>
      <c r="S50" s="253"/>
    </row>
    <row r="51" spans="1:19" ht="13.5" thickBot="1">
      <c r="A51" s="497" t="s">
        <v>340</v>
      </c>
      <c r="B51" s="87" t="s">
        <v>339</v>
      </c>
      <c r="C51" s="86" t="s">
        <v>338</v>
      </c>
      <c r="D51" s="85">
        <v>768.38499999999999</v>
      </c>
      <c r="E51" s="85">
        <v>150</v>
      </c>
      <c r="F51" s="85">
        <v>46.164000000000001</v>
      </c>
      <c r="G51" s="85">
        <v>0.5</v>
      </c>
      <c r="H51" s="85">
        <f t="shared" si="2"/>
        <v>23.082000000000001</v>
      </c>
      <c r="I51" s="94">
        <f t="shared" si="20"/>
        <v>126.91800000000001</v>
      </c>
      <c r="J51" s="93">
        <f t="shared" si="21"/>
        <v>30.776000000000003</v>
      </c>
      <c r="K51" s="100" t="s">
        <v>337</v>
      </c>
      <c r="L51" s="83">
        <v>817.04499999999996</v>
      </c>
      <c r="M51" s="83">
        <v>150</v>
      </c>
      <c r="N51" s="82">
        <f t="shared" si="16"/>
        <v>46.164000000000001</v>
      </c>
      <c r="O51" s="205">
        <f t="shared" si="23"/>
        <v>126.91800000000001</v>
      </c>
      <c r="P51" s="203" t="str">
        <f t="shared" si="17"/>
        <v>No</v>
      </c>
      <c r="Q51" s="356"/>
      <c r="R51" s="356"/>
      <c r="S51" s="253"/>
    </row>
    <row r="52" spans="1:19" ht="14.25" customHeight="1" thickBot="1">
      <c r="A52" s="499"/>
      <c r="B52" s="96" t="s">
        <v>30</v>
      </c>
      <c r="C52" s="95" t="s">
        <v>326</v>
      </c>
      <c r="D52" s="94">
        <v>317.27</v>
      </c>
      <c r="E52" s="94">
        <v>200</v>
      </c>
      <c r="F52" s="94">
        <v>136.87530000000001</v>
      </c>
      <c r="G52" s="73">
        <v>0.5</v>
      </c>
      <c r="H52" s="73">
        <f t="shared" si="2"/>
        <v>68.437650000000005</v>
      </c>
      <c r="I52" s="94">
        <f t="shared" si="20"/>
        <v>131.56234999999998</v>
      </c>
      <c r="J52" s="93">
        <f t="shared" si="21"/>
        <v>68.437650000000005</v>
      </c>
      <c r="K52" s="301" t="s">
        <v>325</v>
      </c>
      <c r="L52" s="92">
        <v>518.48</v>
      </c>
      <c r="M52" s="92">
        <v>200</v>
      </c>
      <c r="N52" s="91">
        <f t="shared" si="16"/>
        <v>136.87530000000001</v>
      </c>
      <c r="O52" s="205">
        <f t="shared" si="23"/>
        <v>131.56234999999998</v>
      </c>
      <c r="P52" s="203" t="str">
        <f t="shared" si="17"/>
        <v>No</v>
      </c>
      <c r="Q52" s="356"/>
      <c r="R52" s="356"/>
      <c r="S52" s="253"/>
    </row>
    <row r="53" spans="1:19" ht="13.5" thickBot="1">
      <c r="A53" s="497" t="s">
        <v>336</v>
      </c>
      <c r="B53" s="87" t="s">
        <v>28</v>
      </c>
      <c r="C53" s="86" t="s">
        <v>335</v>
      </c>
      <c r="D53" s="85">
        <v>675.17499999999995</v>
      </c>
      <c r="E53" s="85">
        <v>150</v>
      </c>
      <c r="F53" s="85">
        <v>87.5685</v>
      </c>
      <c r="G53" s="85">
        <v>0.5</v>
      </c>
      <c r="H53" s="85">
        <f t="shared" si="2"/>
        <v>43.78425</v>
      </c>
      <c r="I53" s="85">
        <f t="shared" si="20"/>
        <v>106.21575</v>
      </c>
      <c r="J53" s="84">
        <f t="shared" si="21"/>
        <v>58.379000000000005</v>
      </c>
      <c r="K53" s="100" t="s">
        <v>334</v>
      </c>
      <c r="L53" s="83">
        <v>792.93499999999995</v>
      </c>
      <c r="M53" s="83">
        <v>150</v>
      </c>
      <c r="N53" s="82">
        <f t="shared" si="16"/>
        <v>87.5685</v>
      </c>
      <c r="O53" s="205">
        <f t="shared" si="23"/>
        <v>106.21575</v>
      </c>
      <c r="P53" s="203" t="str">
        <f t="shared" si="17"/>
        <v>No</v>
      </c>
      <c r="Q53" s="356"/>
      <c r="R53" s="356"/>
      <c r="S53" s="253"/>
    </row>
    <row r="54" spans="1:19" ht="13.5" thickBot="1">
      <c r="A54" s="499"/>
      <c r="B54" s="96" t="s">
        <v>333</v>
      </c>
      <c r="C54" s="95" t="s">
        <v>332</v>
      </c>
      <c r="D54" s="94">
        <v>300.33499999999998</v>
      </c>
      <c r="E54" s="94">
        <v>200</v>
      </c>
      <c r="F54" s="94">
        <v>33.29833</v>
      </c>
      <c r="G54" s="73">
        <v>0.5</v>
      </c>
      <c r="H54" s="73">
        <f t="shared" si="2"/>
        <v>16.649165</v>
      </c>
      <c r="I54" s="73">
        <f t="shared" si="20"/>
        <v>183.35083499999999</v>
      </c>
      <c r="J54" s="299">
        <f t="shared" si="21"/>
        <v>16.649165</v>
      </c>
      <c r="K54" s="301" t="s">
        <v>331</v>
      </c>
      <c r="L54" s="92">
        <v>524.75</v>
      </c>
      <c r="M54" s="92">
        <v>200</v>
      </c>
      <c r="N54" s="91">
        <f t="shared" si="16"/>
        <v>33.29833</v>
      </c>
      <c r="O54" s="205">
        <f t="shared" si="23"/>
        <v>183.35083499999999</v>
      </c>
      <c r="P54" s="203" t="str">
        <f t="shared" si="17"/>
        <v>No</v>
      </c>
      <c r="Q54" s="356"/>
      <c r="R54" s="356"/>
      <c r="S54" s="253"/>
    </row>
    <row r="55" spans="1:19" ht="13.5" thickBot="1">
      <c r="A55" s="497" t="s">
        <v>330</v>
      </c>
      <c r="B55" s="87" t="s">
        <v>329</v>
      </c>
      <c r="C55" s="86" t="s">
        <v>61</v>
      </c>
      <c r="D55" s="85">
        <v>381.34</v>
      </c>
      <c r="E55" s="85">
        <v>200</v>
      </c>
      <c r="F55" s="85">
        <v>233.80699999999999</v>
      </c>
      <c r="G55" s="85">
        <v>0.5</v>
      </c>
      <c r="H55" s="85">
        <f t="shared" si="2"/>
        <v>116.90349999999999</v>
      </c>
      <c r="I55" s="85">
        <f t="shared" si="20"/>
        <v>83.096500000000006</v>
      </c>
      <c r="J55" s="84">
        <f t="shared" si="21"/>
        <v>116.90350000000001</v>
      </c>
      <c r="K55" s="100" t="s">
        <v>328</v>
      </c>
      <c r="L55" s="83">
        <v>673.16499999999996</v>
      </c>
      <c r="M55" s="83">
        <v>200</v>
      </c>
      <c r="N55" s="82">
        <f t="shared" si="16"/>
        <v>233.80699999999999</v>
      </c>
      <c r="O55" s="205">
        <f t="shared" si="23"/>
        <v>83.096500000000006</v>
      </c>
      <c r="P55" s="203" t="str">
        <f t="shared" si="17"/>
        <v>No</v>
      </c>
      <c r="Q55" s="356"/>
      <c r="R55" s="356"/>
      <c r="S55" s="253"/>
    </row>
    <row r="56" spans="1:19" ht="14.25" customHeight="1" thickBot="1">
      <c r="A56" s="498"/>
      <c r="B56" s="75" t="s">
        <v>30</v>
      </c>
      <c r="C56" s="74" t="s">
        <v>326</v>
      </c>
      <c r="D56" s="73">
        <v>317.27</v>
      </c>
      <c r="E56" s="73">
        <v>200</v>
      </c>
      <c r="F56" s="73">
        <v>136.87530000000001</v>
      </c>
      <c r="G56" s="73">
        <v>0.5</v>
      </c>
      <c r="H56" s="73">
        <f t="shared" si="2"/>
        <v>68.437650000000005</v>
      </c>
      <c r="I56" s="73">
        <f t="shared" si="20"/>
        <v>131.56234999999998</v>
      </c>
      <c r="J56" s="299">
        <f t="shared" si="21"/>
        <v>68.437650000000005</v>
      </c>
      <c r="K56" s="303" t="s">
        <v>325</v>
      </c>
      <c r="L56" s="72">
        <v>518.48</v>
      </c>
      <c r="M56" s="72">
        <v>200</v>
      </c>
      <c r="N56" s="71">
        <f t="shared" si="16"/>
        <v>136.87530000000001</v>
      </c>
      <c r="O56" s="205">
        <f t="shared" si="23"/>
        <v>131.56234999999998</v>
      </c>
      <c r="P56" s="254" t="str">
        <f t="shared" si="17"/>
        <v>No</v>
      </c>
      <c r="Q56" s="356"/>
      <c r="R56" s="356"/>
      <c r="S56" s="253"/>
    </row>
    <row r="57" spans="1:19">
      <c r="A57" s="357"/>
      <c r="B57" s="64"/>
      <c r="C57" s="357"/>
      <c r="D57" s="357"/>
      <c r="E57" s="357"/>
      <c r="F57" s="64"/>
      <c r="H57" s="64"/>
      <c r="K57" s="357"/>
      <c r="L57" s="357"/>
      <c r="M57" s="357"/>
      <c r="N57" s="357"/>
      <c r="O57" s="357"/>
      <c r="P57" s="357"/>
      <c r="Q57" s="356"/>
      <c r="R57" s="356"/>
    </row>
    <row r="58" spans="1:19">
      <c r="A58" s="357"/>
      <c r="B58" s="64"/>
      <c r="C58" s="357"/>
      <c r="D58" s="357"/>
      <c r="E58" s="357"/>
      <c r="F58" s="64"/>
      <c r="H58" s="64"/>
      <c r="K58" s="357"/>
      <c r="L58" s="357"/>
      <c r="M58" s="357"/>
      <c r="N58" s="357"/>
      <c r="O58" s="357"/>
      <c r="P58" s="357"/>
      <c r="Q58" s="356"/>
      <c r="R58" s="356"/>
    </row>
    <row r="59" spans="1:19">
      <c r="A59" s="357"/>
      <c r="B59" s="64"/>
      <c r="C59" s="357"/>
      <c r="D59" s="357"/>
      <c r="E59" s="357"/>
      <c r="F59" s="64"/>
      <c r="H59" s="64"/>
      <c r="K59" s="357"/>
      <c r="L59" s="357"/>
      <c r="M59" s="357"/>
      <c r="N59" s="357"/>
      <c r="O59" s="357"/>
      <c r="P59" s="357"/>
      <c r="Q59" s="356"/>
      <c r="R59" s="357"/>
    </row>
    <row r="60" spans="1:19">
      <c r="A60" s="357"/>
      <c r="B60" s="64"/>
      <c r="C60" s="357"/>
      <c r="D60" s="357"/>
      <c r="E60" s="357"/>
      <c r="F60" s="64"/>
      <c r="H60" s="64"/>
      <c r="K60" s="357"/>
      <c r="L60" s="357"/>
      <c r="M60" s="357"/>
      <c r="N60" s="357"/>
      <c r="O60" s="357"/>
      <c r="P60" s="357"/>
      <c r="Q60" s="356"/>
      <c r="R60" s="357"/>
    </row>
    <row r="61" spans="1:19">
      <c r="A61" s="357"/>
      <c r="B61" s="64"/>
      <c r="C61" s="357"/>
      <c r="D61" s="357"/>
      <c r="E61" s="357"/>
      <c r="F61" s="64"/>
      <c r="H61" s="64"/>
      <c r="K61" s="357"/>
      <c r="L61" s="357"/>
      <c r="M61" s="357"/>
      <c r="N61" s="357"/>
      <c r="O61" s="357"/>
      <c r="P61" s="357"/>
      <c r="Q61" s="356"/>
      <c r="R61" s="357"/>
    </row>
    <row r="62" spans="1:19">
      <c r="A62" s="357"/>
      <c r="B62" s="65"/>
      <c r="C62" s="357"/>
      <c r="D62" s="357"/>
      <c r="E62" s="357"/>
      <c r="F62" s="64"/>
      <c r="H62" s="64"/>
      <c r="K62" s="357"/>
      <c r="L62" s="357"/>
      <c r="M62" s="357"/>
      <c r="N62" s="357"/>
      <c r="O62" s="357"/>
      <c r="P62" s="357"/>
      <c r="Q62" s="356"/>
      <c r="R62" s="357"/>
    </row>
    <row r="63" spans="1:19">
      <c r="A63" s="357"/>
      <c r="B63" s="65"/>
      <c r="C63" s="357"/>
      <c r="D63" s="357"/>
      <c r="E63" s="357"/>
      <c r="F63" s="64"/>
      <c r="H63" s="64"/>
      <c r="K63" s="357"/>
      <c r="L63" s="357"/>
      <c r="M63" s="357"/>
      <c r="N63" s="357"/>
      <c r="O63" s="357"/>
      <c r="P63" s="357"/>
      <c r="Q63" s="356"/>
      <c r="R63" s="357"/>
    </row>
    <row r="64" spans="1:19">
      <c r="A64" s="357"/>
      <c r="B64" s="65"/>
      <c r="C64" s="357"/>
      <c r="D64" s="357"/>
      <c r="E64" s="357"/>
      <c r="F64" s="64"/>
      <c r="H64" s="64"/>
      <c r="K64" s="357"/>
      <c r="L64" s="357"/>
      <c r="M64" s="357"/>
      <c r="N64" s="357"/>
      <c r="O64" s="357"/>
      <c r="P64" s="357"/>
      <c r="Q64" s="356"/>
      <c r="R64" s="357"/>
    </row>
    <row r="65" spans="1:21">
      <c r="A65" s="357"/>
      <c r="B65" s="64"/>
      <c r="C65" s="357"/>
      <c r="D65" s="357"/>
      <c r="M65" s="357"/>
      <c r="N65" s="357"/>
      <c r="P65" s="357"/>
      <c r="Q65" s="356"/>
      <c r="R65" s="357"/>
    </row>
    <row r="66" spans="1:21">
      <c r="A66" s="357"/>
      <c r="B66" s="64"/>
      <c r="C66" s="357"/>
      <c r="D66" s="357"/>
      <c r="M66" s="357"/>
      <c r="N66" s="357"/>
      <c r="P66" s="357"/>
      <c r="Q66" s="356"/>
      <c r="R66" s="357"/>
    </row>
    <row r="67" spans="1:21">
      <c r="A67" s="357"/>
      <c r="B67" s="64"/>
      <c r="C67" s="357"/>
      <c r="D67" s="357"/>
      <c r="M67" s="357"/>
      <c r="N67" s="357"/>
      <c r="P67" s="357"/>
      <c r="Q67" s="356"/>
      <c r="R67" s="357"/>
    </row>
    <row r="68" spans="1:21">
      <c r="A68" s="357"/>
      <c r="B68" s="64"/>
      <c r="C68" s="357"/>
      <c r="D68" s="357"/>
      <c r="E68" s="357"/>
      <c r="F68" s="64"/>
      <c r="H68" s="64"/>
      <c r="K68" s="357"/>
      <c r="L68" s="357"/>
      <c r="M68" s="357"/>
      <c r="N68" s="357"/>
      <c r="O68" s="357"/>
      <c r="P68" s="357"/>
      <c r="Q68" s="356"/>
      <c r="R68" s="357"/>
    </row>
    <row r="69" spans="1:21">
      <c r="B69" s="64"/>
      <c r="C69" s="357"/>
      <c r="D69" s="357"/>
      <c r="E69" s="357"/>
      <c r="F69" s="64"/>
      <c r="H69" s="64"/>
      <c r="K69" s="357"/>
      <c r="L69" s="357"/>
      <c r="M69" s="357"/>
      <c r="N69" s="357"/>
      <c r="O69" s="357"/>
      <c r="P69" s="357"/>
      <c r="Q69" s="356"/>
      <c r="R69" s="357"/>
      <c r="T69" s="58"/>
      <c r="U69" s="58"/>
    </row>
    <row r="70" spans="1:21">
      <c r="B70" s="64"/>
      <c r="C70" s="357"/>
      <c r="D70" s="357"/>
      <c r="E70" s="357"/>
      <c r="F70" s="64"/>
      <c r="H70" s="64"/>
      <c r="K70" s="357"/>
      <c r="L70" s="357"/>
      <c r="M70" s="357"/>
      <c r="N70" s="357"/>
      <c r="O70" s="357"/>
      <c r="P70" s="357"/>
      <c r="Q70" s="356"/>
      <c r="R70" s="357"/>
      <c r="T70" s="58"/>
      <c r="U70" s="58"/>
    </row>
    <row r="71" spans="1:21">
      <c r="B71" s="64"/>
      <c r="C71" s="357"/>
      <c r="D71" s="357"/>
      <c r="E71" s="357"/>
      <c r="F71" s="64"/>
      <c r="H71" s="64"/>
      <c r="K71" s="357"/>
      <c r="L71" s="357"/>
      <c r="M71" s="357"/>
      <c r="N71" s="357"/>
      <c r="O71" s="357"/>
      <c r="P71" s="357"/>
      <c r="Q71" s="356"/>
      <c r="R71" s="357"/>
      <c r="T71" s="58"/>
      <c r="U71" s="58"/>
    </row>
    <row r="72" spans="1:21">
      <c r="B72" s="64"/>
      <c r="C72" s="357"/>
      <c r="D72" s="357"/>
      <c r="E72" s="357"/>
      <c r="F72" s="64"/>
      <c r="H72" s="64"/>
      <c r="K72" s="357"/>
      <c r="L72" s="357"/>
      <c r="M72" s="357"/>
      <c r="N72" s="357"/>
      <c r="O72" s="357"/>
      <c r="P72" s="357"/>
      <c r="Q72" s="356"/>
      <c r="R72" s="357"/>
      <c r="T72" s="58"/>
      <c r="U72" s="58"/>
    </row>
    <row r="73" spans="1:21">
      <c r="B73" s="64"/>
      <c r="C73" s="357"/>
      <c r="D73" s="357"/>
      <c r="E73" s="357"/>
      <c r="F73" s="64"/>
      <c r="H73" s="64"/>
      <c r="K73" s="357"/>
      <c r="L73" s="357"/>
      <c r="M73" s="357"/>
      <c r="N73" s="357"/>
      <c r="O73" s="357"/>
      <c r="P73" s="357"/>
      <c r="Q73" s="356"/>
      <c r="R73" s="357"/>
      <c r="T73" s="58"/>
    </row>
    <row r="74" spans="1:21">
      <c r="B74" s="64"/>
      <c r="C74" s="357"/>
      <c r="D74" s="357"/>
      <c r="E74" s="357"/>
      <c r="F74" s="64"/>
      <c r="H74" s="64"/>
      <c r="K74" s="357"/>
      <c r="L74" s="357"/>
      <c r="M74" s="357"/>
      <c r="N74" s="357"/>
      <c r="O74" s="357"/>
      <c r="P74" s="357"/>
      <c r="Q74" s="356"/>
      <c r="R74" s="357"/>
      <c r="T74" s="58"/>
    </row>
    <row r="75" spans="1:21">
      <c r="B75" s="64"/>
      <c r="C75" s="357"/>
      <c r="D75" s="357"/>
      <c r="E75" s="357"/>
      <c r="F75" s="64"/>
      <c r="H75" s="64"/>
      <c r="K75" s="357"/>
      <c r="L75" s="357"/>
      <c r="M75" s="357"/>
      <c r="N75" s="357"/>
      <c r="O75" s="357"/>
      <c r="P75" s="357"/>
      <c r="Q75" s="356"/>
      <c r="R75" s="357"/>
    </row>
    <row r="76" spans="1:21">
      <c r="B76" s="64"/>
      <c r="C76" s="357"/>
      <c r="D76" s="357"/>
      <c r="E76" s="357"/>
      <c r="F76" s="64"/>
      <c r="H76" s="64"/>
      <c r="K76" s="357"/>
      <c r="L76" s="357"/>
      <c r="M76" s="357"/>
      <c r="N76" s="357"/>
      <c r="O76" s="357"/>
      <c r="P76" s="357"/>
      <c r="Q76" s="356"/>
      <c r="R76" s="357"/>
    </row>
    <row r="77" spans="1:21">
      <c r="B77" s="64"/>
      <c r="C77" s="357"/>
      <c r="D77" s="357"/>
      <c r="E77" s="357"/>
      <c r="F77" s="64"/>
      <c r="H77" s="64"/>
      <c r="K77" s="357"/>
      <c r="L77" s="357"/>
      <c r="M77" s="357"/>
      <c r="N77" s="357"/>
      <c r="O77" s="357"/>
      <c r="P77" s="357"/>
      <c r="Q77" s="356"/>
      <c r="R77" s="357"/>
    </row>
    <row r="78" spans="1:21">
      <c r="B78" s="64"/>
      <c r="C78" s="357"/>
      <c r="D78" s="357"/>
      <c r="E78" s="357"/>
      <c r="F78" s="64"/>
      <c r="H78" s="64"/>
      <c r="K78" s="357"/>
      <c r="L78" s="357"/>
      <c r="M78" s="357"/>
      <c r="N78" s="357"/>
      <c r="O78" s="357"/>
      <c r="P78" s="357"/>
      <c r="Q78" s="356"/>
      <c r="R78" s="357"/>
    </row>
    <row r="79" spans="1:21">
      <c r="B79" s="64"/>
      <c r="C79" s="357"/>
      <c r="D79" s="357"/>
      <c r="E79" s="357"/>
      <c r="F79" s="64"/>
      <c r="H79" s="64"/>
      <c r="K79" s="357"/>
      <c r="L79" s="357"/>
      <c r="M79" s="357"/>
      <c r="N79" s="357"/>
      <c r="O79" s="357"/>
      <c r="P79" s="357"/>
      <c r="Q79" s="356"/>
      <c r="R79" s="357"/>
    </row>
    <row r="80" spans="1:21">
      <c r="B80" s="64"/>
      <c r="C80" s="357"/>
      <c r="D80" s="357"/>
      <c r="E80" s="357"/>
      <c r="F80" s="64"/>
      <c r="H80" s="64"/>
      <c r="K80" s="357"/>
      <c r="L80" s="357"/>
      <c r="M80" s="357"/>
      <c r="N80" s="357"/>
      <c r="O80" s="357"/>
      <c r="P80" s="357"/>
      <c r="Q80" s="356"/>
      <c r="R80" s="357"/>
    </row>
    <row r="81" spans="2:18">
      <c r="B81" s="64"/>
      <c r="C81" s="357"/>
      <c r="D81" s="357"/>
      <c r="E81" s="357"/>
      <c r="F81" s="64"/>
      <c r="H81" s="64"/>
      <c r="K81" s="357"/>
      <c r="L81" s="357"/>
      <c r="M81" s="357"/>
      <c r="N81" s="357"/>
      <c r="O81" s="357"/>
      <c r="P81" s="357"/>
      <c r="Q81" s="356"/>
      <c r="R81" s="357"/>
    </row>
    <row r="82" spans="2:18">
      <c r="B82" s="64"/>
      <c r="C82" s="357"/>
      <c r="D82" s="357"/>
      <c r="E82" s="357"/>
      <c r="F82" s="64"/>
      <c r="H82" s="64"/>
      <c r="K82" s="357"/>
      <c r="L82" s="357"/>
      <c r="M82" s="357"/>
      <c r="N82" s="357"/>
      <c r="O82" s="357"/>
      <c r="P82" s="357"/>
      <c r="Q82" s="356"/>
      <c r="R82" s="357"/>
    </row>
    <row r="83" spans="2:18">
      <c r="B83" s="64"/>
      <c r="C83" s="357"/>
      <c r="D83" s="357"/>
      <c r="E83" s="357"/>
      <c r="F83" s="64"/>
      <c r="H83" s="64"/>
      <c r="K83" s="357"/>
      <c r="L83" s="357"/>
      <c r="M83" s="357"/>
      <c r="N83" s="357"/>
      <c r="O83" s="357"/>
      <c r="P83" s="357"/>
      <c r="Q83" s="356"/>
      <c r="R83" s="357"/>
    </row>
    <row r="84" spans="2:18">
      <c r="B84" s="64"/>
      <c r="C84" s="357"/>
      <c r="D84" s="357"/>
      <c r="E84" s="357"/>
      <c r="F84" s="64"/>
      <c r="H84" s="64"/>
      <c r="K84" s="357"/>
      <c r="L84" s="357"/>
      <c r="M84" s="357"/>
      <c r="N84" s="357"/>
      <c r="O84" s="357"/>
      <c r="P84" s="357"/>
      <c r="Q84" s="356"/>
      <c r="R84" s="357"/>
    </row>
    <row r="85" spans="2:18">
      <c r="B85" s="64"/>
      <c r="C85" s="357"/>
      <c r="D85" s="357"/>
      <c r="E85" s="357"/>
      <c r="F85" s="64"/>
      <c r="H85" s="64"/>
      <c r="K85" s="357"/>
      <c r="L85" s="357"/>
      <c r="M85" s="357"/>
      <c r="N85" s="357"/>
      <c r="O85" s="357"/>
      <c r="P85" s="357"/>
      <c r="Q85" s="356"/>
      <c r="R85" s="357"/>
    </row>
    <row r="86" spans="2:18">
      <c r="B86" s="64"/>
      <c r="C86" s="357"/>
      <c r="D86" s="357"/>
      <c r="E86" s="357"/>
      <c r="F86" s="64"/>
      <c r="H86" s="64"/>
      <c r="K86" s="357"/>
      <c r="L86" s="357"/>
      <c r="M86" s="357"/>
      <c r="N86" s="357"/>
      <c r="O86" s="357"/>
      <c r="P86" s="357"/>
      <c r="Q86" s="356"/>
      <c r="R86" s="357"/>
    </row>
    <row r="87" spans="2:18">
      <c r="B87" s="64"/>
      <c r="C87" s="357"/>
      <c r="D87" s="357"/>
      <c r="E87" s="357"/>
      <c r="F87" s="64"/>
      <c r="H87" s="64"/>
      <c r="K87" s="357"/>
      <c r="L87" s="357"/>
      <c r="M87" s="357"/>
      <c r="N87" s="357"/>
      <c r="O87" s="357"/>
      <c r="P87" s="357"/>
      <c r="Q87" s="356"/>
      <c r="R87" s="357"/>
    </row>
    <row r="88" spans="2:18">
      <c r="B88" s="64"/>
      <c r="C88" s="357"/>
      <c r="D88" s="357"/>
      <c r="E88" s="357"/>
      <c r="F88" s="64"/>
      <c r="H88" s="64"/>
      <c r="K88" s="357"/>
      <c r="L88" s="357"/>
      <c r="M88" s="357"/>
      <c r="N88" s="357"/>
      <c r="O88" s="357"/>
      <c r="P88" s="357"/>
      <c r="Q88" s="356"/>
      <c r="R88" s="357"/>
    </row>
    <row r="89" spans="2:18">
      <c r="B89" s="64"/>
      <c r="C89" s="357"/>
      <c r="D89" s="357"/>
      <c r="E89" s="357"/>
      <c r="F89" s="64"/>
      <c r="H89" s="64"/>
      <c r="K89" s="357"/>
      <c r="L89" s="357"/>
      <c r="M89" s="357"/>
      <c r="N89" s="357"/>
      <c r="O89" s="357"/>
      <c r="P89" s="357"/>
      <c r="Q89" s="356"/>
      <c r="R89" s="357"/>
    </row>
    <row r="90" spans="2:18">
      <c r="B90" s="64"/>
      <c r="C90" s="357"/>
      <c r="D90" s="357"/>
      <c r="E90" s="357"/>
      <c r="F90" s="64"/>
      <c r="H90" s="64"/>
      <c r="K90" s="357"/>
      <c r="L90" s="357"/>
      <c r="M90" s="357"/>
      <c r="N90" s="357"/>
      <c r="O90" s="357"/>
      <c r="P90" s="357"/>
      <c r="Q90" s="356"/>
      <c r="R90" s="357"/>
    </row>
    <row r="91" spans="2:18">
      <c r="B91" s="64"/>
      <c r="C91" s="357"/>
      <c r="D91" s="357"/>
      <c r="E91" s="357"/>
      <c r="F91" s="64"/>
      <c r="H91" s="64"/>
      <c r="K91" s="357"/>
      <c r="L91" s="357"/>
      <c r="M91" s="357"/>
      <c r="N91" s="357"/>
      <c r="O91" s="357"/>
      <c r="P91" s="357"/>
      <c r="Q91" s="356"/>
      <c r="R91" s="357"/>
    </row>
    <row r="92" spans="2:18">
      <c r="B92" s="64"/>
      <c r="C92" s="357"/>
      <c r="D92" s="357"/>
      <c r="E92" s="357"/>
      <c r="F92" s="64"/>
      <c r="H92" s="64"/>
      <c r="K92" s="357"/>
      <c r="L92" s="357"/>
      <c r="M92" s="357"/>
      <c r="N92" s="357"/>
      <c r="O92" s="357"/>
      <c r="P92" s="357"/>
      <c r="Q92" s="356"/>
      <c r="R92" s="357"/>
    </row>
    <row r="93" spans="2:18">
      <c r="B93" s="64"/>
      <c r="C93" s="357"/>
      <c r="D93" s="357"/>
      <c r="E93" s="357"/>
      <c r="F93" s="64"/>
      <c r="H93" s="64"/>
      <c r="K93" s="357"/>
      <c r="L93" s="357"/>
      <c r="M93" s="357"/>
      <c r="N93" s="357"/>
      <c r="O93" s="357"/>
      <c r="P93" s="357"/>
      <c r="Q93" s="356"/>
      <c r="R93" s="357"/>
    </row>
    <row r="94" spans="2:18">
      <c r="B94" s="64"/>
      <c r="C94" s="357"/>
      <c r="D94" s="357"/>
      <c r="E94" s="357"/>
      <c r="F94" s="64"/>
      <c r="H94" s="64"/>
      <c r="K94" s="357"/>
      <c r="L94" s="357"/>
      <c r="M94" s="357"/>
      <c r="N94" s="357"/>
      <c r="O94" s="357"/>
      <c r="P94" s="357"/>
      <c r="Q94" s="356"/>
      <c r="R94" s="357"/>
    </row>
    <row r="95" spans="2:18">
      <c r="B95" s="64"/>
      <c r="C95" s="357"/>
      <c r="D95" s="357"/>
      <c r="E95" s="357"/>
      <c r="F95" s="64"/>
      <c r="H95" s="64"/>
      <c r="K95" s="357"/>
      <c r="L95" s="357"/>
      <c r="M95" s="357"/>
      <c r="N95" s="357"/>
      <c r="O95" s="357"/>
      <c r="P95" s="357"/>
      <c r="Q95" s="356"/>
      <c r="R95" s="357"/>
    </row>
    <row r="96" spans="2:18">
      <c r="B96" s="64"/>
      <c r="C96" s="357"/>
      <c r="D96" s="357"/>
      <c r="E96" s="357"/>
      <c r="F96" s="64"/>
      <c r="H96" s="64"/>
      <c r="K96" s="357"/>
      <c r="L96" s="357"/>
      <c r="M96" s="357"/>
      <c r="N96" s="357"/>
      <c r="O96" s="357"/>
      <c r="P96" s="357"/>
      <c r="Q96" s="356"/>
      <c r="R96" s="357"/>
    </row>
    <row r="97" spans="2:18">
      <c r="B97" s="64"/>
      <c r="C97" s="357"/>
      <c r="D97" s="357"/>
      <c r="E97" s="357"/>
      <c r="F97" s="64"/>
      <c r="H97" s="64"/>
      <c r="K97" s="357"/>
      <c r="L97" s="357"/>
      <c r="M97" s="357"/>
      <c r="N97" s="357"/>
      <c r="O97" s="357"/>
      <c r="P97" s="357"/>
      <c r="Q97" s="356"/>
      <c r="R97" s="357"/>
    </row>
    <row r="98" spans="2:18">
      <c r="B98" s="64"/>
      <c r="C98" s="357"/>
      <c r="D98" s="357"/>
      <c r="E98" s="357"/>
      <c r="F98" s="64"/>
      <c r="H98" s="64"/>
      <c r="K98" s="357"/>
      <c r="L98" s="357"/>
      <c r="M98" s="357"/>
      <c r="N98" s="357"/>
      <c r="O98" s="357"/>
      <c r="P98" s="357"/>
      <c r="Q98" s="356"/>
      <c r="R98" s="357"/>
    </row>
    <row r="99" spans="2:18">
      <c r="B99" s="64"/>
      <c r="C99" s="357"/>
      <c r="D99" s="357"/>
      <c r="E99" s="357"/>
      <c r="F99" s="64"/>
      <c r="H99" s="64"/>
      <c r="K99" s="357"/>
      <c r="L99" s="357"/>
      <c r="M99" s="357"/>
      <c r="N99" s="357"/>
      <c r="O99" s="357"/>
      <c r="P99" s="357"/>
      <c r="Q99" s="356"/>
      <c r="R99" s="357"/>
    </row>
    <row r="100" spans="2:18">
      <c r="B100" s="64"/>
      <c r="C100" s="357"/>
      <c r="D100" s="357"/>
      <c r="E100" s="357"/>
      <c r="F100" s="64"/>
      <c r="H100" s="64"/>
      <c r="K100" s="357"/>
      <c r="L100" s="357"/>
      <c r="M100" s="357"/>
      <c r="N100" s="357"/>
      <c r="O100" s="357"/>
      <c r="P100" s="357"/>
      <c r="Q100" s="356"/>
      <c r="R100" s="357"/>
    </row>
    <row r="101" spans="2:18">
      <c r="B101" s="64"/>
      <c r="C101" s="357"/>
      <c r="D101" s="357"/>
      <c r="E101" s="357"/>
      <c r="F101" s="64"/>
      <c r="H101" s="64"/>
      <c r="K101" s="357"/>
      <c r="L101" s="357"/>
      <c r="M101" s="357"/>
      <c r="N101" s="357"/>
      <c r="O101" s="357"/>
      <c r="P101" s="357"/>
      <c r="Q101" s="356"/>
      <c r="R101" s="357"/>
    </row>
    <row r="102" spans="2:18">
      <c r="B102" s="64"/>
      <c r="C102" s="357"/>
      <c r="D102" s="357"/>
      <c r="E102" s="357"/>
      <c r="F102" s="64"/>
      <c r="H102" s="64"/>
      <c r="K102" s="357"/>
      <c r="L102" s="357"/>
      <c r="M102" s="357"/>
      <c r="N102" s="357"/>
      <c r="O102" s="357"/>
      <c r="P102" s="357"/>
      <c r="Q102" s="356"/>
      <c r="R102" s="357"/>
    </row>
    <row r="103" spans="2:18">
      <c r="B103" s="64"/>
      <c r="C103" s="357"/>
      <c r="D103" s="357"/>
      <c r="E103" s="357"/>
      <c r="F103" s="64"/>
      <c r="H103" s="64"/>
      <c r="K103" s="357"/>
      <c r="L103" s="357"/>
      <c r="M103" s="357"/>
      <c r="N103" s="357"/>
      <c r="O103" s="357"/>
      <c r="P103" s="357"/>
      <c r="Q103" s="356"/>
      <c r="R103" s="357"/>
    </row>
    <row r="104" spans="2:18">
      <c r="B104" s="64"/>
      <c r="C104" s="357"/>
      <c r="D104" s="357"/>
      <c r="E104" s="357"/>
      <c r="F104" s="64"/>
      <c r="H104" s="64"/>
      <c r="K104" s="357"/>
      <c r="L104" s="357"/>
      <c r="M104" s="357"/>
      <c r="N104" s="357"/>
      <c r="O104" s="357"/>
      <c r="P104" s="357"/>
      <c r="Q104" s="356"/>
      <c r="R104" s="357"/>
    </row>
    <row r="105" spans="2:18">
      <c r="B105" s="64"/>
      <c r="C105" s="357"/>
      <c r="D105" s="357"/>
      <c r="E105" s="357"/>
      <c r="F105" s="64"/>
      <c r="H105" s="64"/>
      <c r="K105" s="357"/>
      <c r="L105" s="357"/>
      <c r="M105" s="357"/>
      <c r="N105" s="357"/>
      <c r="O105" s="357"/>
      <c r="P105" s="357"/>
      <c r="Q105" s="356"/>
      <c r="R105" s="357"/>
    </row>
    <row r="106" spans="2:18">
      <c r="B106" s="64"/>
      <c r="C106" s="357"/>
      <c r="D106" s="357"/>
      <c r="E106" s="357"/>
      <c r="F106" s="64"/>
      <c r="H106" s="64"/>
      <c r="K106" s="357"/>
      <c r="L106" s="357"/>
      <c r="M106" s="357"/>
      <c r="N106" s="357"/>
      <c r="O106" s="357"/>
      <c r="P106" s="357"/>
      <c r="Q106" s="356"/>
      <c r="R106" s="357"/>
    </row>
    <row r="107" spans="2:18">
      <c r="B107" s="64"/>
      <c r="C107" s="357"/>
      <c r="D107" s="357"/>
      <c r="E107" s="357"/>
      <c r="F107" s="64"/>
      <c r="H107" s="64"/>
      <c r="K107" s="357"/>
      <c r="L107" s="357"/>
      <c r="M107" s="357"/>
      <c r="N107" s="357"/>
      <c r="O107" s="357"/>
      <c r="P107" s="357"/>
      <c r="Q107" s="356"/>
      <c r="R107" s="357"/>
    </row>
    <row r="108" spans="2:18">
      <c r="B108" s="64"/>
      <c r="C108" s="357"/>
      <c r="D108" s="357"/>
      <c r="E108" s="357"/>
      <c r="F108" s="64"/>
      <c r="H108" s="64"/>
      <c r="K108" s="357"/>
      <c r="L108" s="357"/>
      <c r="M108" s="357"/>
      <c r="N108" s="357"/>
      <c r="O108" s="357"/>
      <c r="P108" s="357"/>
      <c r="Q108" s="356"/>
      <c r="R108" s="357"/>
    </row>
    <row r="109" spans="2:18">
      <c r="B109" s="64"/>
      <c r="C109" s="357"/>
      <c r="D109" s="357"/>
      <c r="E109" s="357"/>
      <c r="F109" s="64"/>
      <c r="H109" s="64"/>
      <c r="K109" s="357"/>
      <c r="L109" s="357"/>
      <c r="M109" s="357"/>
      <c r="N109" s="357"/>
      <c r="O109" s="357"/>
      <c r="P109" s="357"/>
      <c r="Q109" s="356"/>
      <c r="R109" s="357"/>
    </row>
    <row r="110" spans="2:18">
      <c r="B110" s="64"/>
      <c r="C110" s="357"/>
      <c r="D110" s="357"/>
      <c r="E110" s="357"/>
      <c r="F110" s="64"/>
      <c r="H110" s="64"/>
      <c r="K110" s="357"/>
      <c r="L110" s="357"/>
      <c r="M110" s="357"/>
      <c r="N110" s="357"/>
      <c r="O110" s="357"/>
      <c r="P110" s="357"/>
      <c r="Q110" s="356"/>
      <c r="R110" s="357"/>
    </row>
    <row r="111" spans="2:18">
      <c r="B111" s="64"/>
      <c r="C111" s="357"/>
      <c r="D111" s="357"/>
      <c r="E111" s="357"/>
      <c r="F111" s="64"/>
      <c r="H111" s="64"/>
      <c r="K111" s="357"/>
      <c r="L111" s="357"/>
      <c r="M111" s="357"/>
      <c r="N111" s="357"/>
      <c r="O111" s="357"/>
      <c r="P111" s="357"/>
      <c r="Q111" s="356"/>
      <c r="R111" s="357"/>
    </row>
    <row r="112" spans="2:18">
      <c r="B112" s="64"/>
      <c r="C112" s="357"/>
      <c r="D112" s="357"/>
      <c r="E112" s="357"/>
      <c r="F112" s="64"/>
      <c r="H112" s="64"/>
      <c r="K112" s="357"/>
      <c r="L112" s="357"/>
      <c r="M112" s="357"/>
      <c r="N112" s="357"/>
      <c r="O112" s="357"/>
      <c r="P112" s="357"/>
      <c r="Q112" s="356"/>
      <c r="R112" s="357"/>
    </row>
    <row r="113" spans="1:18">
      <c r="B113" s="64"/>
      <c r="C113" s="357"/>
      <c r="D113" s="357"/>
      <c r="E113" s="357"/>
      <c r="F113" s="64"/>
      <c r="H113" s="64"/>
      <c r="K113" s="357"/>
      <c r="L113" s="357"/>
      <c r="M113" s="357"/>
      <c r="N113" s="357"/>
      <c r="O113" s="357"/>
      <c r="P113" s="357"/>
      <c r="Q113" s="356"/>
      <c r="R113" s="357"/>
    </row>
    <row r="114" spans="1:18">
      <c r="B114" s="64"/>
      <c r="C114" s="357"/>
      <c r="D114" s="357"/>
      <c r="E114" s="357"/>
      <c r="F114" s="64"/>
      <c r="H114" s="64"/>
      <c r="K114" s="357"/>
      <c r="L114" s="357"/>
      <c r="M114" s="357"/>
      <c r="N114" s="357"/>
      <c r="O114" s="357"/>
      <c r="P114" s="357"/>
      <c r="Q114" s="356"/>
      <c r="R114" s="357"/>
    </row>
    <row r="115" spans="1:18">
      <c r="B115" s="64"/>
      <c r="C115" s="357"/>
      <c r="D115" s="357"/>
      <c r="E115" s="357"/>
      <c r="F115" s="64"/>
      <c r="H115" s="64"/>
      <c r="K115" s="357"/>
      <c r="L115" s="357"/>
      <c r="M115" s="357"/>
      <c r="N115" s="357"/>
      <c r="O115" s="357"/>
      <c r="P115" s="357"/>
      <c r="Q115" s="356"/>
      <c r="R115" s="357"/>
    </row>
    <row r="116" spans="1:18">
      <c r="B116" s="64"/>
      <c r="C116" s="357"/>
      <c r="D116" s="357"/>
      <c r="E116" s="357"/>
      <c r="F116" s="64"/>
      <c r="H116" s="64"/>
      <c r="K116" s="357"/>
      <c r="L116" s="357"/>
      <c r="M116" s="357"/>
      <c r="N116" s="357"/>
      <c r="O116" s="357"/>
      <c r="P116" s="357"/>
      <c r="Q116" s="356"/>
      <c r="R116" s="357"/>
    </row>
    <row r="117" spans="1:18">
      <c r="B117" s="64"/>
      <c r="C117" s="357"/>
      <c r="D117" s="357"/>
      <c r="E117" s="357"/>
      <c r="F117" s="64"/>
      <c r="H117" s="64"/>
      <c r="K117" s="357"/>
      <c r="L117" s="357"/>
      <c r="M117" s="357"/>
      <c r="N117" s="357"/>
      <c r="O117" s="357"/>
      <c r="P117" s="357"/>
      <c r="Q117" s="356"/>
      <c r="R117" s="357"/>
    </row>
    <row r="118" spans="1:18">
      <c r="B118" s="64"/>
      <c r="C118" s="357"/>
      <c r="D118" s="357"/>
      <c r="E118" s="357"/>
      <c r="F118" s="64"/>
      <c r="H118" s="64"/>
      <c r="K118" s="357"/>
      <c r="L118" s="357"/>
      <c r="M118" s="357"/>
      <c r="N118" s="357"/>
      <c r="O118" s="357"/>
      <c r="P118" s="357"/>
      <c r="Q118" s="356"/>
      <c r="R118" s="357"/>
    </row>
    <row r="119" spans="1:18">
      <c r="B119" s="64"/>
      <c r="C119" s="357"/>
      <c r="D119" s="357"/>
      <c r="E119" s="357"/>
      <c r="F119" s="64"/>
      <c r="H119" s="64"/>
      <c r="K119" s="357"/>
      <c r="L119" s="357"/>
      <c r="M119" s="357"/>
      <c r="N119" s="357"/>
      <c r="O119" s="357"/>
      <c r="P119" s="357"/>
      <c r="Q119" s="356"/>
      <c r="R119" s="357"/>
    </row>
    <row r="120" spans="1:18">
      <c r="B120" s="64"/>
      <c r="C120" s="357"/>
      <c r="D120" s="357"/>
      <c r="E120" s="357"/>
      <c r="F120" s="64"/>
      <c r="H120" s="64"/>
      <c r="K120" s="357"/>
      <c r="L120" s="357"/>
      <c r="M120" s="357"/>
      <c r="N120" s="357"/>
      <c r="O120" s="357"/>
      <c r="P120" s="357"/>
      <c r="Q120" s="356"/>
      <c r="R120" s="357"/>
    </row>
    <row r="121" spans="1:18">
      <c r="B121" s="64"/>
      <c r="C121" s="357"/>
      <c r="D121" s="357"/>
      <c r="E121" s="357"/>
      <c r="F121" s="64"/>
      <c r="H121" s="64"/>
      <c r="K121" s="357"/>
      <c r="L121" s="357"/>
      <c r="M121" s="357"/>
      <c r="N121" s="357"/>
      <c r="O121" s="357"/>
      <c r="P121" s="357"/>
      <c r="Q121" s="356"/>
      <c r="R121" s="357"/>
    </row>
    <row r="122" spans="1:18">
      <c r="B122" s="64"/>
      <c r="C122" s="357"/>
      <c r="D122" s="357"/>
      <c r="E122" s="357"/>
      <c r="F122" s="64"/>
      <c r="H122" s="64"/>
      <c r="K122" s="357"/>
      <c r="L122" s="357"/>
      <c r="M122" s="357"/>
      <c r="N122" s="357"/>
      <c r="O122" s="357"/>
      <c r="P122" s="357"/>
      <c r="Q122" s="356"/>
      <c r="R122" s="357"/>
    </row>
    <row r="123" spans="1:18">
      <c r="B123" s="64"/>
      <c r="C123" s="357"/>
      <c r="D123" s="357"/>
      <c r="E123" s="357"/>
      <c r="F123" s="64"/>
      <c r="H123" s="64"/>
      <c r="K123" s="357"/>
      <c r="L123" s="357"/>
      <c r="M123" s="357"/>
      <c r="N123" s="357"/>
      <c r="O123" s="357"/>
      <c r="P123" s="357"/>
      <c r="Q123" s="356"/>
      <c r="R123" s="357"/>
    </row>
    <row r="124" spans="1:18">
      <c r="A124" s="357"/>
      <c r="B124" s="64"/>
      <c r="C124" s="357"/>
      <c r="D124" s="357"/>
      <c r="E124" s="357"/>
      <c r="F124" s="64"/>
      <c r="H124" s="64"/>
      <c r="K124" s="357"/>
      <c r="L124" s="357"/>
      <c r="M124" s="357"/>
      <c r="N124" s="357"/>
      <c r="O124" s="357"/>
      <c r="P124" s="357"/>
      <c r="Q124" s="356"/>
      <c r="R124" s="357"/>
    </row>
    <row r="125" spans="1:18">
      <c r="A125" s="357"/>
      <c r="B125" s="64"/>
      <c r="C125" s="357"/>
      <c r="D125" s="357"/>
      <c r="E125" s="357"/>
      <c r="F125" s="64"/>
      <c r="H125" s="64"/>
      <c r="K125" s="357"/>
      <c r="L125" s="357"/>
      <c r="M125" s="357"/>
      <c r="N125" s="357"/>
      <c r="O125" s="357"/>
      <c r="P125" s="357"/>
      <c r="Q125" s="356"/>
      <c r="R125" s="357"/>
    </row>
    <row r="126" spans="1:18">
      <c r="A126" s="357"/>
      <c r="B126" s="64"/>
      <c r="C126" s="357"/>
      <c r="D126" s="357"/>
      <c r="E126" s="357"/>
      <c r="F126" s="64"/>
      <c r="H126" s="64"/>
      <c r="K126" s="357"/>
      <c r="L126" s="357"/>
      <c r="M126" s="357"/>
      <c r="N126" s="357"/>
      <c r="O126" s="357"/>
      <c r="P126" s="357"/>
      <c r="Q126" s="356"/>
      <c r="R126" s="357"/>
    </row>
    <row r="127" spans="1:18">
      <c r="A127" s="357"/>
      <c r="B127" s="64"/>
      <c r="C127" s="357"/>
      <c r="D127" s="357"/>
      <c r="E127" s="357"/>
      <c r="F127" s="64"/>
      <c r="H127" s="64"/>
      <c r="K127" s="357"/>
      <c r="L127" s="357"/>
      <c r="M127" s="357"/>
      <c r="N127" s="357"/>
      <c r="O127" s="357"/>
      <c r="P127" s="357"/>
      <c r="Q127" s="356"/>
      <c r="R127" s="357"/>
    </row>
    <row r="128" spans="1:18">
      <c r="A128" s="357"/>
      <c r="B128" s="64"/>
      <c r="C128" s="357"/>
      <c r="D128" s="357"/>
      <c r="E128" s="357"/>
      <c r="F128" s="64"/>
      <c r="H128" s="64"/>
      <c r="K128" s="357"/>
      <c r="L128" s="357"/>
      <c r="M128" s="357"/>
      <c r="N128" s="357"/>
      <c r="O128" s="357"/>
      <c r="P128" s="357"/>
      <c r="Q128" s="356"/>
      <c r="R128" s="357"/>
    </row>
    <row r="129" spans="1:18">
      <c r="A129" s="357"/>
      <c r="B129" s="64"/>
      <c r="C129" s="357"/>
      <c r="D129" s="357"/>
      <c r="E129" s="357"/>
      <c r="F129" s="64"/>
      <c r="H129" s="64"/>
      <c r="K129" s="357"/>
      <c r="L129" s="357"/>
      <c r="M129" s="357"/>
      <c r="N129" s="357"/>
      <c r="O129" s="357"/>
      <c r="P129" s="357"/>
      <c r="Q129" s="356"/>
      <c r="R129" s="357"/>
    </row>
    <row r="130" spans="1:18">
      <c r="A130" s="357"/>
      <c r="B130" s="64"/>
      <c r="C130" s="357"/>
      <c r="D130" s="357"/>
      <c r="E130" s="357"/>
      <c r="F130" s="64"/>
      <c r="H130" s="64"/>
      <c r="K130" s="357"/>
      <c r="L130" s="357"/>
      <c r="M130" s="357"/>
      <c r="N130" s="357"/>
      <c r="O130" s="357"/>
      <c r="P130" s="357"/>
      <c r="Q130" s="356"/>
      <c r="R130" s="357"/>
    </row>
    <row r="131" spans="1:18">
      <c r="A131" s="357"/>
      <c r="B131" s="64"/>
      <c r="C131" s="357"/>
      <c r="D131" s="357"/>
      <c r="E131" s="357"/>
      <c r="F131" s="64"/>
      <c r="H131" s="64"/>
      <c r="K131" s="357"/>
      <c r="L131" s="357"/>
      <c r="M131" s="357"/>
      <c r="N131" s="357"/>
      <c r="O131" s="357"/>
      <c r="P131" s="357"/>
      <c r="Q131" s="356"/>
      <c r="R131" s="357"/>
    </row>
    <row r="132" spans="1:18">
      <c r="A132" s="357"/>
      <c r="B132" s="64"/>
      <c r="C132" s="357"/>
      <c r="D132" s="357"/>
      <c r="E132" s="357"/>
      <c r="F132" s="64"/>
      <c r="H132" s="64"/>
      <c r="K132" s="357"/>
      <c r="L132" s="357"/>
      <c r="M132" s="357"/>
      <c r="N132" s="357"/>
      <c r="O132" s="357"/>
      <c r="P132" s="357"/>
      <c r="Q132" s="356"/>
      <c r="R132" s="357"/>
    </row>
    <row r="133" spans="1:18">
      <c r="A133" s="357"/>
      <c r="B133" s="64"/>
      <c r="C133" s="357"/>
      <c r="D133" s="357"/>
      <c r="E133" s="357"/>
      <c r="F133" s="64"/>
      <c r="H133" s="64"/>
      <c r="K133" s="357"/>
      <c r="L133" s="357"/>
      <c r="M133" s="357"/>
      <c r="N133" s="357"/>
      <c r="O133" s="357"/>
      <c r="P133" s="357"/>
      <c r="Q133" s="356"/>
      <c r="R133" s="357"/>
    </row>
    <row r="134" spans="1:18">
      <c r="A134" s="357"/>
      <c r="B134" s="64"/>
      <c r="C134" s="357"/>
      <c r="D134" s="357"/>
      <c r="E134" s="357"/>
      <c r="F134" s="64"/>
      <c r="H134" s="64"/>
      <c r="K134" s="357"/>
      <c r="L134" s="357"/>
      <c r="M134" s="357"/>
      <c r="N134" s="357"/>
      <c r="O134" s="357"/>
      <c r="P134" s="357"/>
      <c r="Q134" s="356"/>
      <c r="R134" s="357"/>
    </row>
    <row r="135" spans="1:18">
      <c r="A135" s="357"/>
      <c r="B135" s="64"/>
      <c r="C135" s="357"/>
      <c r="D135" s="357"/>
      <c r="E135" s="357"/>
      <c r="F135" s="64"/>
      <c r="H135" s="64"/>
      <c r="K135" s="357"/>
      <c r="L135" s="357"/>
      <c r="M135" s="357"/>
      <c r="N135" s="357"/>
      <c r="O135" s="357"/>
      <c r="P135" s="357"/>
      <c r="Q135" s="356"/>
      <c r="R135" s="357"/>
    </row>
    <row r="136" spans="1:18">
      <c r="A136" s="357"/>
      <c r="B136" s="64"/>
      <c r="C136" s="357"/>
      <c r="D136" s="357"/>
      <c r="E136" s="357"/>
      <c r="F136" s="64"/>
      <c r="H136" s="64"/>
      <c r="K136" s="357"/>
      <c r="L136" s="357"/>
      <c r="M136" s="357"/>
      <c r="N136" s="357"/>
      <c r="O136" s="357"/>
      <c r="P136" s="357"/>
      <c r="Q136" s="356"/>
      <c r="R136" s="357"/>
    </row>
    <row r="137" spans="1:18">
      <c r="A137" s="357"/>
      <c r="B137" s="64"/>
      <c r="C137" s="357"/>
      <c r="D137" s="357"/>
      <c r="E137" s="357"/>
      <c r="F137" s="64"/>
      <c r="H137" s="64"/>
      <c r="K137" s="357"/>
      <c r="L137" s="357"/>
      <c r="M137" s="357"/>
      <c r="N137" s="357"/>
      <c r="O137" s="357"/>
      <c r="P137" s="357"/>
      <c r="Q137" s="356"/>
      <c r="R137" s="357"/>
    </row>
    <row r="138" spans="1:18">
      <c r="A138" s="357"/>
      <c r="B138" s="64"/>
      <c r="C138" s="357"/>
      <c r="D138" s="357"/>
      <c r="E138" s="357"/>
      <c r="F138" s="64"/>
      <c r="H138" s="64"/>
      <c r="K138" s="357"/>
      <c r="L138" s="357"/>
      <c r="M138" s="357"/>
      <c r="N138" s="357"/>
      <c r="O138" s="357"/>
      <c r="P138" s="357"/>
      <c r="Q138" s="356"/>
      <c r="R138" s="357"/>
    </row>
    <row r="139" spans="1:18">
      <c r="A139" s="357"/>
      <c r="B139" s="64"/>
      <c r="C139" s="357"/>
      <c r="D139" s="357"/>
      <c r="E139" s="357"/>
      <c r="F139" s="64"/>
      <c r="H139" s="64"/>
      <c r="K139" s="357"/>
      <c r="L139" s="357"/>
      <c r="M139" s="357"/>
      <c r="N139" s="357"/>
      <c r="O139" s="357"/>
      <c r="P139" s="357"/>
      <c r="Q139" s="356"/>
      <c r="R139" s="357"/>
    </row>
    <row r="140" spans="1:18">
      <c r="A140" s="357"/>
      <c r="B140" s="64"/>
      <c r="C140" s="357"/>
      <c r="D140" s="357"/>
      <c r="E140" s="357"/>
      <c r="F140" s="64"/>
      <c r="H140" s="64"/>
      <c r="K140" s="357"/>
      <c r="L140" s="357"/>
      <c r="M140" s="357"/>
      <c r="N140" s="357"/>
      <c r="O140" s="357"/>
      <c r="P140" s="357"/>
      <c r="Q140" s="356"/>
      <c r="R140" s="357"/>
    </row>
    <row r="141" spans="1:18">
      <c r="A141" s="357"/>
      <c r="B141" s="64"/>
      <c r="C141" s="357"/>
      <c r="D141" s="357"/>
      <c r="E141" s="357"/>
      <c r="F141" s="64"/>
      <c r="H141" s="64"/>
      <c r="K141" s="357"/>
      <c r="L141" s="357"/>
      <c r="M141" s="357"/>
      <c r="N141" s="357"/>
      <c r="O141" s="357"/>
      <c r="P141" s="357"/>
      <c r="Q141" s="356"/>
      <c r="R141" s="357"/>
    </row>
    <row r="142" spans="1:18">
      <c r="A142" s="357"/>
      <c r="B142" s="64"/>
      <c r="C142" s="357"/>
      <c r="D142" s="357"/>
      <c r="E142" s="357"/>
      <c r="F142" s="64"/>
      <c r="H142" s="64"/>
      <c r="K142" s="357"/>
      <c r="L142" s="357"/>
      <c r="M142" s="357"/>
      <c r="N142" s="357"/>
      <c r="O142" s="357"/>
      <c r="P142" s="357"/>
      <c r="Q142" s="356"/>
      <c r="R142" s="357"/>
    </row>
    <row r="143" spans="1:18">
      <c r="A143" s="357"/>
      <c r="B143" s="64"/>
      <c r="C143" s="357"/>
      <c r="D143" s="357"/>
      <c r="E143" s="357"/>
      <c r="F143" s="64"/>
      <c r="H143" s="64"/>
      <c r="K143" s="357"/>
      <c r="L143" s="357"/>
      <c r="M143" s="357"/>
      <c r="N143" s="357"/>
      <c r="O143" s="357"/>
      <c r="P143" s="357"/>
      <c r="Q143" s="356"/>
      <c r="R143" s="357"/>
    </row>
    <row r="144" spans="1:18">
      <c r="A144" s="357"/>
      <c r="B144" s="64"/>
      <c r="C144" s="357"/>
      <c r="D144" s="357"/>
      <c r="E144" s="357"/>
      <c r="F144" s="64"/>
      <c r="H144" s="64"/>
      <c r="K144" s="357"/>
      <c r="L144" s="357"/>
      <c r="M144" s="357"/>
      <c r="N144" s="357"/>
      <c r="O144" s="357"/>
      <c r="P144" s="357"/>
      <c r="Q144" s="356"/>
      <c r="R144" s="357"/>
    </row>
    <row r="145" spans="1:18">
      <c r="A145" s="357"/>
      <c r="B145" s="64"/>
      <c r="C145" s="357"/>
      <c r="D145" s="357"/>
      <c r="E145" s="357"/>
      <c r="F145" s="64"/>
      <c r="H145" s="64"/>
      <c r="K145" s="357"/>
      <c r="L145" s="357"/>
      <c r="M145" s="357"/>
      <c r="N145" s="357"/>
      <c r="O145" s="357"/>
      <c r="P145" s="357"/>
      <c r="Q145" s="356"/>
      <c r="R145" s="357"/>
    </row>
    <row r="146" spans="1:18">
      <c r="A146" s="357"/>
      <c r="B146" s="64"/>
      <c r="C146" s="357"/>
      <c r="D146" s="357"/>
      <c r="E146" s="357"/>
      <c r="F146" s="64"/>
      <c r="H146" s="64"/>
      <c r="K146" s="357"/>
      <c r="L146" s="357"/>
      <c r="M146" s="357"/>
      <c r="N146" s="357"/>
      <c r="O146" s="357"/>
      <c r="P146" s="357"/>
      <c r="Q146" s="356"/>
      <c r="R146" s="357"/>
    </row>
    <row r="147" spans="1:18">
      <c r="A147" s="357"/>
      <c r="B147" s="64"/>
      <c r="C147" s="357"/>
      <c r="D147" s="357"/>
      <c r="E147" s="357"/>
      <c r="F147" s="64"/>
      <c r="H147" s="64"/>
      <c r="K147" s="357"/>
      <c r="L147" s="357"/>
      <c r="M147" s="357"/>
      <c r="N147" s="357"/>
      <c r="O147" s="357"/>
      <c r="P147" s="357"/>
      <c r="Q147" s="356"/>
      <c r="R147" s="357"/>
    </row>
    <row r="148" spans="1:18">
      <c r="A148" s="357"/>
      <c r="B148" s="64"/>
      <c r="C148" s="357"/>
      <c r="D148" s="357"/>
      <c r="E148" s="357"/>
      <c r="F148" s="64"/>
      <c r="H148" s="64"/>
      <c r="K148" s="357"/>
      <c r="L148" s="357"/>
      <c r="M148" s="357"/>
      <c r="N148" s="357"/>
      <c r="O148" s="357"/>
      <c r="P148" s="357"/>
      <c r="Q148" s="356"/>
      <c r="R148" s="357"/>
    </row>
    <row r="149" spans="1:18">
      <c r="A149" s="357"/>
      <c r="B149" s="64"/>
      <c r="C149" s="357"/>
      <c r="D149" s="357"/>
      <c r="E149" s="357"/>
      <c r="F149" s="64"/>
      <c r="H149" s="64"/>
      <c r="K149" s="357"/>
      <c r="L149" s="357"/>
      <c r="M149" s="357"/>
      <c r="N149" s="357"/>
      <c r="O149" s="357"/>
      <c r="P149" s="357"/>
      <c r="Q149" s="356"/>
      <c r="R149" s="357"/>
    </row>
    <row r="150" spans="1:18">
      <c r="A150" s="357"/>
      <c r="B150" s="64"/>
      <c r="C150" s="357"/>
      <c r="D150" s="357"/>
      <c r="E150" s="357"/>
      <c r="F150" s="64"/>
      <c r="H150" s="64"/>
      <c r="K150" s="357"/>
      <c r="L150" s="357"/>
      <c r="M150" s="357"/>
      <c r="N150" s="357"/>
      <c r="O150" s="357"/>
      <c r="P150" s="357"/>
      <c r="Q150" s="356"/>
      <c r="R150" s="357"/>
    </row>
    <row r="151" spans="1:18">
      <c r="A151" s="357"/>
      <c r="B151" s="64"/>
      <c r="C151" s="357"/>
      <c r="D151" s="357"/>
      <c r="E151" s="357"/>
      <c r="F151" s="64"/>
      <c r="H151" s="64"/>
      <c r="K151" s="357"/>
      <c r="L151" s="357"/>
      <c r="M151" s="357"/>
      <c r="N151" s="357"/>
      <c r="O151" s="357"/>
      <c r="P151" s="357"/>
      <c r="Q151" s="356"/>
      <c r="R151" s="357"/>
    </row>
    <row r="152" spans="1:18">
      <c r="A152" s="357"/>
      <c r="B152" s="64"/>
      <c r="C152" s="357"/>
      <c r="D152" s="357"/>
      <c r="E152" s="357"/>
      <c r="F152" s="64"/>
      <c r="H152" s="64"/>
      <c r="K152" s="357"/>
      <c r="L152" s="357"/>
      <c r="M152" s="357"/>
      <c r="N152" s="357"/>
      <c r="O152" s="357"/>
      <c r="P152" s="357"/>
      <c r="Q152" s="356"/>
      <c r="R152" s="357"/>
    </row>
    <row r="153" spans="1:18">
      <c r="A153" s="357"/>
      <c r="B153" s="64"/>
      <c r="C153" s="357"/>
      <c r="D153" s="357"/>
      <c r="E153" s="357"/>
      <c r="F153" s="64"/>
      <c r="H153" s="64"/>
      <c r="K153" s="357"/>
      <c r="L153" s="357"/>
      <c r="M153" s="357"/>
      <c r="N153" s="357"/>
      <c r="O153" s="357"/>
      <c r="P153" s="357"/>
      <c r="Q153" s="356"/>
      <c r="R153" s="357"/>
    </row>
    <row r="154" spans="1:18">
      <c r="A154" s="357"/>
      <c r="B154" s="64"/>
      <c r="C154" s="357"/>
      <c r="D154" s="357"/>
      <c r="E154" s="357"/>
      <c r="F154" s="64"/>
      <c r="H154" s="64"/>
      <c r="K154" s="357"/>
      <c r="L154" s="357"/>
      <c r="M154" s="357"/>
      <c r="N154" s="357"/>
      <c r="O154" s="357"/>
      <c r="P154" s="357"/>
      <c r="Q154" s="356"/>
      <c r="R154" s="357"/>
    </row>
    <row r="155" spans="1:18">
      <c r="A155" s="357"/>
      <c r="B155" s="64"/>
      <c r="C155" s="357"/>
      <c r="D155" s="357"/>
      <c r="E155" s="357"/>
      <c r="F155" s="64"/>
      <c r="H155" s="64"/>
      <c r="K155" s="357"/>
      <c r="L155" s="357"/>
      <c r="M155" s="357"/>
      <c r="N155" s="357"/>
      <c r="O155" s="357"/>
      <c r="P155" s="357"/>
      <c r="Q155" s="356"/>
      <c r="R155" s="357"/>
    </row>
    <row r="156" spans="1:18">
      <c r="A156" s="357"/>
      <c r="B156" s="64"/>
      <c r="C156" s="357"/>
      <c r="D156" s="357"/>
      <c r="E156" s="357"/>
      <c r="F156" s="64"/>
      <c r="H156" s="64"/>
      <c r="K156" s="357"/>
      <c r="L156" s="357"/>
      <c r="M156" s="357"/>
      <c r="N156" s="357"/>
      <c r="O156" s="357"/>
      <c r="P156" s="357"/>
      <c r="Q156" s="356"/>
      <c r="R156" s="357"/>
    </row>
    <row r="157" spans="1:18">
      <c r="A157" s="357"/>
      <c r="B157" s="64"/>
      <c r="C157" s="357"/>
      <c r="D157" s="357"/>
      <c r="E157" s="357"/>
      <c r="F157" s="64"/>
      <c r="H157" s="64"/>
      <c r="K157" s="357"/>
      <c r="L157" s="357"/>
      <c r="M157" s="357"/>
      <c r="N157" s="357"/>
      <c r="O157" s="357"/>
      <c r="P157" s="357"/>
      <c r="Q157" s="356"/>
      <c r="R157" s="357"/>
    </row>
    <row r="158" spans="1:18">
      <c r="A158" s="357"/>
      <c r="B158" s="64"/>
      <c r="C158" s="357"/>
      <c r="D158" s="357"/>
      <c r="E158" s="357"/>
      <c r="F158" s="64"/>
      <c r="H158" s="64"/>
      <c r="K158" s="357"/>
      <c r="L158" s="357"/>
      <c r="M158" s="357"/>
      <c r="N158" s="357"/>
      <c r="O158" s="357"/>
      <c r="P158" s="357"/>
      <c r="Q158" s="356"/>
      <c r="R158" s="357"/>
    </row>
    <row r="159" spans="1:18">
      <c r="A159" s="357"/>
      <c r="B159" s="64"/>
      <c r="C159" s="357"/>
      <c r="D159" s="357"/>
      <c r="E159" s="357"/>
      <c r="F159" s="64"/>
      <c r="H159" s="64"/>
      <c r="K159" s="357"/>
      <c r="L159" s="357"/>
      <c r="M159" s="357"/>
      <c r="N159" s="357"/>
      <c r="O159" s="357"/>
      <c r="P159" s="357"/>
      <c r="Q159" s="356"/>
      <c r="R159" s="357"/>
    </row>
    <row r="160" spans="1:18">
      <c r="A160" s="357"/>
      <c r="B160" s="64"/>
      <c r="C160" s="357"/>
      <c r="D160" s="357"/>
      <c r="E160" s="357"/>
      <c r="F160" s="64"/>
      <c r="H160" s="64"/>
      <c r="K160" s="357"/>
      <c r="L160" s="357"/>
      <c r="M160" s="357"/>
      <c r="N160" s="357"/>
      <c r="O160" s="357"/>
      <c r="P160" s="357"/>
      <c r="Q160" s="356"/>
      <c r="R160" s="357"/>
    </row>
    <row r="161" spans="1:18">
      <c r="A161" s="357"/>
      <c r="B161" s="64"/>
      <c r="C161" s="357"/>
      <c r="D161" s="357"/>
      <c r="E161" s="357"/>
      <c r="F161" s="64"/>
      <c r="H161" s="64"/>
      <c r="K161" s="357"/>
      <c r="L161" s="357"/>
      <c r="M161" s="357"/>
      <c r="N161" s="357"/>
      <c r="O161" s="357"/>
      <c r="P161" s="357"/>
      <c r="Q161" s="356"/>
      <c r="R161" s="357"/>
    </row>
    <row r="162" spans="1:18">
      <c r="A162" s="357"/>
      <c r="B162" s="64"/>
      <c r="C162" s="357"/>
      <c r="D162" s="357"/>
      <c r="E162" s="357"/>
      <c r="F162" s="64"/>
      <c r="H162" s="64"/>
      <c r="K162" s="357"/>
      <c r="L162" s="357"/>
      <c r="M162" s="357"/>
      <c r="N162" s="357"/>
      <c r="O162" s="357"/>
      <c r="P162" s="357"/>
      <c r="Q162" s="356"/>
      <c r="R162" s="357"/>
    </row>
    <row r="163" spans="1:18">
      <c r="A163" s="357"/>
      <c r="B163" s="64"/>
      <c r="C163" s="357"/>
      <c r="D163" s="357"/>
      <c r="E163" s="357"/>
      <c r="F163" s="64"/>
      <c r="H163" s="64"/>
      <c r="K163" s="357"/>
      <c r="L163" s="357"/>
      <c r="M163" s="357"/>
      <c r="N163" s="357"/>
      <c r="O163" s="357"/>
      <c r="P163" s="357"/>
      <c r="Q163" s="356"/>
      <c r="R163" s="357"/>
    </row>
    <row r="164" spans="1:18">
      <c r="A164" s="357"/>
      <c r="B164" s="64"/>
      <c r="C164" s="357"/>
      <c r="D164" s="357"/>
      <c r="E164" s="357"/>
      <c r="F164" s="64"/>
      <c r="H164" s="64"/>
      <c r="K164" s="357"/>
      <c r="L164" s="357"/>
      <c r="M164" s="357"/>
      <c r="N164" s="357"/>
      <c r="O164" s="357"/>
      <c r="P164" s="357"/>
      <c r="Q164" s="356"/>
      <c r="R164" s="357"/>
    </row>
    <row r="165" spans="1:18">
      <c r="A165" s="357"/>
      <c r="B165" s="64"/>
      <c r="C165" s="357"/>
      <c r="D165" s="357"/>
      <c r="E165" s="357"/>
      <c r="F165" s="64"/>
      <c r="H165" s="64"/>
      <c r="K165" s="357"/>
      <c r="L165" s="357"/>
      <c r="M165" s="357"/>
      <c r="N165" s="357"/>
      <c r="O165" s="357"/>
      <c r="P165" s="357"/>
      <c r="Q165" s="356"/>
      <c r="R165" s="357"/>
    </row>
    <row r="166" spans="1:18">
      <c r="A166" s="357"/>
      <c r="B166" s="64"/>
      <c r="C166" s="357"/>
      <c r="D166" s="357"/>
      <c r="E166" s="357"/>
      <c r="F166" s="64"/>
      <c r="H166" s="64"/>
      <c r="K166" s="357"/>
      <c r="L166" s="357"/>
      <c r="M166" s="357"/>
      <c r="N166" s="357"/>
      <c r="O166" s="357"/>
      <c r="P166" s="357"/>
      <c r="Q166" s="356"/>
      <c r="R166" s="357"/>
    </row>
    <row r="167" spans="1:18">
      <c r="A167" s="357"/>
      <c r="B167" s="64"/>
      <c r="C167" s="357"/>
      <c r="D167" s="357"/>
      <c r="E167" s="357"/>
      <c r="F167" s="64"/>
      <c r="H167" s="64"/>
      <c r="K167" s="357"/>
      <c r="L167" s="357"/>
      <c r="M167" s="357"/>
      <c r="N167" s="357"/>
      <c r="O167" s="357"/>
      <c r="P167" s="357"/>
      <c r="Q167" s="356"/>
      <c r="R167" s="357"/>
    </row>
    <row r="168" spans="1:18">
      <c r="A168" s="357"/>
      <c r="B168" s="64"/>
      <c r="C168" s="357"/>
      <c r="D168" s="357"/>
      <c r="E168" s="357"/>
      <c r="F168" s="64"/>
      <c r="H168" s="64"/>
      <c r="K168" s="357"/>
      <c r="L168" s="357"/>
      <c r="M168" s="357"/>
      <c r="N168" s="357"/>
      <c r="O168" s="357"/>
      <c r="P168" s="357"/>
      <c r="Q168" s="356"/>
      <c r="R168" s="357"/>
    </row>
    <row r="169" spans="1:18">
      <c r="A169" s="357"/>
      <c r="B169" s="64"/>
      <c r="C169" s="357"/>
      <c r="D169" s="357"/>
      <c r="E169" s="357"/>
      <c r="F169" s="64"/>
      <c r="H169" s="64"/>
      <c r="K169" s="357"/>
      <c r="L169" s="357"/>
      <c r="M169" s="357"/>
      <c r="N169" s="357"/>
      <c r="O169" s="357"/>
      <c r="P169" s="357"/>
      <c r="Q169" s="356"/>
      <c r="R169" s="357"/>
    </row>
    <row r="170" spans="1:18">
      <c r="A170" s="357"/>
      <c r="B170" s="64"/>
      <c r="C170" s="357"/>
      <c r="D170" s="357"/>
      <c r="E170" s="357"/>
      <c r="F170" s="64"/>
      <c r="H170" s="64"/>
      <c r="K170" s="357"/>
      <c r="L170" s="357"/>
      <c r="M170" s="357"/>
      <c r="N170" s="357"/>
      <c r="O170" s="357"/>
      <c r="P170" s="357"/>
      <c r="Q170" s="356"/>
      <c r="R170" s="357"/>
    </row>
    <row r="171" spans="1:18">
      <c r="A171" s="357"/>
      <c r="B171" s="64"/>
      <c r="C171" s="357"/>
      <c r="D171" s="357"/>
      <c r="E171" s="357"/>
      <c r="F171" s="64"/>
      <c r="H171" s="64"/>
      <c r="K171" s="357"/>
      <c r="L171" s="357"/>
      <c r="M171" s="357"/>
      <c r="N171" s="357"/>
      <c r="O171" s="357"/>
      <c r="P171" s="357"/>
      <c r="Q171" s="356"/>
      <c r="R171" s="357"/>
    </row>
    <row r="172" spans="1:18">
      <c r="A172" s="357"/>
      <c r="B172" s="64"/>
      <c r="C172" s="357"/>
      <c r="D172" s="357"/>
      <c r="E172" s="357"/>
      <c r="F172" s="64"/>
      <c r="H172" s="64"/>
      <c r="K172" s="357"/>
      <c r="L172" s="357"/>
      <c r="M172" s="357"/>
      <c r="N172" s="357"/>
      <c r="O172" s="357"/>
      <c r="P172" s="357"/>
      <c r="Q172" s="356"/>
      <c r="R172" s="357"/>
    </row>
    <row r="173" spans="1:18">
      <c r="A173" s="357"/>
      <c r="B173" s="64"/>
      <c r="C173" s="357"/>
      <c r="D173" s="357"/>
      <c r="E173" s="357"/>
      <c r="F173" s="64"/>
      <c r="H173" s="64"/>
      <c r="K173" s="357"/>
      <c r="L173" s="357"/>
      <c r="M173" s="357"/>
      <c r="N173" s="357"/>
      <c r="O173" s="357"/>
      <c r="P173" s="357"/>
      <c r="Q173" s="356"/>
      <c r="R173" s="357"/>
    </row>
    <row r="174" spans="1:18">
      <c r="A174" s="357"/>
      <c r="B174" s="64"/>
      <c r="C174" s="357"/>
      <c r="D174" s="357"/>
      <c r="E174" s="357"/>
      <c r="F174" s="64"/>
      <c r="H174" s="64"/>
      <c r="K174" s="357"/>
      <c r="L174" s="357"/>
      <c r="M174" s="357"/>
      <c r="N174" s="357"/>
      <c r="O174" s="357"/>
      <c r="P174" s="357"/>
      <c r="Q174" s="356"/>
      <c r="R174" s="357"/>
    </row>
    <row r="175" spans="1:18">
      <c r="A175" s="357"/>
      <c r="B175" s="64"/>
      <c r="C175" s="357"/>
      <c r="D175" s="357"/>
      <c r="E175" s="357"/>
      <c r="F175" s="64"/>
      <c r="H175" s="64"/>
      <c r="K175" s="357"/>
      <c r="L175" s="357"/>
      <c r="M175" s="357"/>
      <c r="N175" s="357"/>
      <c r="O175" s="357"/>
      <c r="P175" s="357"/>
      <c r="Q175" s="356"/>
      <c r="R175" s="357"/>
    </row>
    <row r="176" spans="1:18">
      <c r="A176" s="357"/>
      <c r="B176" s="64"/>
      <c r="C176" s="357"/>
      <c r="D176" s="357"/>
      <c r="E176" s="357"/>
      <c r="F176" s="64"/>
      <c r="H176" s="64"/>
      <c r="K176" s="357"/>
      <c r="L176" s="357"/>
      <c r="M176" s="357"/>
      <c r="N176" s="357"/>
      <c r="O176" s="357"/>
      <c r="P176" s="357"/>
      <c r="Q176" s="356"/>
      <c r="R176" s="357"/>
    </row>
    <row r="177" spans="1:18">
      <c r="A177" s="357"/>
      <c r="B177" s="64"/>
      <c r="C177" s="357"/>
      <c r="D177" s="357"/>
      <c r="E177" s="357"/>
      <c r="F177" s="64"/>
      <c r="H177" s="64"/>
      <c r="K177" s="357"/>
      <c r="L177" s="357"/>
      <c r="M177" s="357"/>
      <c r="N177" s="357"/>
      <c r="O177" s="357"/>
      <c r="P177" s="357"/>
      <c r="Q177" s="356"/>
      <c r="R177" s="357"/>
    </row>
    <row r="178" spans="1:18">
      <c r="A178" s="357"/>
      <c r="B178" s="64"/>
      <c r="C178" s="357"/>
      <c r="D178" s="357"/>
      <c r="E178" s="357"/>
      <c r="F178" s="64"/>
      <c r="H178" s="64"/>
      <c r="K178" s="357"/>
      <c r="L178" s="357"/>
      <c r="M178" s="357"/>
      <c r="N178" s="357"/>
      <c r="O178" s="357"/>
      <c r="P178" s="357"/>
      <c r="Q178" s="356"/>
      <c r="R178" s="357"/>
    </row>
    <row r="179" spans="1:18">
      <c r="A179" s="357"/>
      <c r="B179" s="64"/>
      <c r="C179" s="357"/>
      <c r="D179" s="357"/>
      <c r="E179" s="357"/>
      <c r="F179" s="64"/>
      <c r="H179" s="64"/>
      <c r="K179" s="357"/>
      <c r="L179" s="357"/>
      <c r="M179" s="357"/>
      <c r="N179" s="357"/>
      <c r="O179" s="357"/>
      <c r="P179" s="357"/>
      <c r="Q179" s="356"/>
      <c r="R179" s="357"/>
    </row>
  </sheetData>
  <dataConsolidate/>
  <mergeCells count="26">
    <mergeCell ref="A26:A27"/>
    <mergeCell ref="Q26:Q27"/>
    <mergeCell ref="R26:R27"/>
    <mergeCell ref="A55:A56"/>
    <mergeCell ref="A28:A32"/>
    <mergeCell ref="Q28:Q32"/>
    <mergeCell ref="R28:R32"/>
    <mergeCell ref="A33:A35"/>
    <mergeCell ref="A36:A37"/>
    <mergeCell ref="A39:A40"/>
    <mergeCell ref="A41:A43"/>
    <mergeCell ref="A45:A48"/>
    <mergeCell ref="A49:A50"/>
    <mergeCell ref="A51:A52"/>
    <mergeCell ref="A53:A54"/>
    <mergeCell ref="AF2:AK2"/>
    <mergeCell ref="AA23:AF23"/>
    <mergeCell ref="A9:A13"/>
    <mergeCell ref="C1:I1"/>
    <mergeCell ref="K1:P1"/>
    <mergeCell ref="T2:Y2"/>
    <mergeCell ref="A4:A5"/>
    <mergeCell ref="A6:A8"/>
    <mergeCell ref="A15:A20"/>
    <mergeCell ref="A21:A24"/>
    <mergeCell ref="T24:U24"/>
  </mergeCells>
  <conditionalFormatting sqref="O3:O56">
    <cfRule type="cellIs" dxfId="31" priority="5" operator="lessThan">
      <formula>0</formula>
    </cfRule>
  </conditionalFormatting>
  <conditionalFormatting sqref="M3:M56">
    <cfRule type="expression" dxfId="30" priority="4">
      <formula>(M3&lt;E3)</formula>
    </cfRule>
  </conditionalFormatting>
  <conditionalFormatting sqref="U4:Z15">
    <cfRule type="cellIs" dxfId="29" priority="3" operator="greaterThan">
      <formula>0</formula>
    </cfRule>
  </conditionalFormatting>
  <conditionalFormatting sqref="AG4:AL15">
    <cfRule type="cellIs" dxfId="28" priority="2" operator="greaterThan">
      <formula>0</formula>
    </cfRule>
  </conditionalFormatting>
  <conditionalFormatting sqref="AB25:AG36">
    <cfRule type="cellIs" dxfId="27" priority="1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9"/>
  <sheetViews>
    <sheetView topLeftCell="R1" zoomScale="80" zoomScaleNormal="80" workbookViewId="0">
      <selection activeCell="AG3" sqref="AG3:AI3"/>
    </sheetView>
  </sheetViews>
  <sheetFormatPr defaultColWidth="9" defaultRowHeight="12.75"/>
  <cols>
    <col min="1" max="1" width="13.42578125" style="5" customWidth="1"/>
    <col min="2" max="2" width="22.7109375" style="63" customWidth="1"/>
    <col min="3" max="3" width="26.7109375" style="59" customWidth="1"/>
    <col min="4" max="4" width="16.85546875" style="59" customWidth="1"/>
    <col min="5" max="5" width="16.7109375" style="62" customWidth="1"/>
    <col min="6" max="6" width="23.7109375" style="61" customWidth="1"/>
    <col min="7" max="7" width="15.42578125" style="61" customWidth="1"/>
    <col min="8" max="8" width="23.7109375" style="61" customWidth="1"/>
    <col min="9" max="10" width="16.140625" style="59" customWidth="1"/>
    <col min="11" max="11" width="28.85546875" style="59" customWidth="1"/>
    <col min="12" max="12" width="17.7109375" style="59" customWidth="1"/>
    <col min="13" max="13" width="16.140625" style="59" customWidth="1"/>
    <col min="14" max="14" width="17.7109375" style="59" customWidth="1"/>
    <col min="15" max="15" width="23.28515625" style="59" customWidth="1"/>
    <col min="16" max="16" width="17.5703125" style="62" customWidth="1"/>
    <col min="17" max="17" width="26.5703125" style="10" customWidth="1"/>
    <col min="18" max="18" width="35.140625" style="59" customWidth="1"/>
    <col min="19" max="19" width="23" style="58" customWidth="1"/>
    <col min="20" max="20" width="22.85546875" style="5" customWidth="1"/>
    <col min="21" max="21" width="23.7109375" style="5" customWidth="1"/>
    <col min="22" max="22" width="21.5703125" style="5" customWidth="1"/>
    <col min="23" max="16384" width="9" style="5"/>
  </cols>
  <sheetData>
    <row r="1" spans="1:38" ht="14.25" customHeight="1">
      <c r="A1" s="355"/>
      <c r="B1" s="200"/>
      <c r="C1" s="516" t="s">
        <v>453</v>
      </c>
      <c r="D1" s="517"/>
      <c r="E1" s="517"/>
      <c r="F1" s="517"/>
      <c r="G1" s="517"/>
      <c r="H1" s="517"/>
      <c r="I1" s="518"/>
      <c r="J1" s="354"/>
      <c r="K1" s="521" t="s">
        <v>452</v>
      </c>
      <c r="L1" s="522"/>
      <c r="M1" s="522"/>
      <c r="N1" s="522"/>
      <c r="O1" s="522"/>
      <c r="P1" s="552"/>
      <c r="Q1" s="7"/>
      <c r="R1" s="7"/>
    </row>
    <row r="2" spans="1:38" ht="13.5" thickBot="1">
      <c r="A2" s="355" t="s">
        <v>451</v>
      </c>
      <c r="B2" s="198" t="s">
        <v>450</v>
      </c>
      <c r="C2" s="197" t="s">
        <v>449</v>
      </c>
      <c r="D2" s="196" t="s">
        <v>34</v>
      </c>
      <c r="E2" s="196" t="s">
        <v>33</v>
      </c>
      <c r="F2" s="196" t="s">
        <v>448</v>
      </c>
      <c r="G2" s="196" t="s">
        <v>460</v>
      </c>
      <c r="H2" s="196" t="s">
        <v>461</v>
      </c>
      <c r="I2" s="196" t="s">
        <v>445</v>
      </c>
      <c r="J2" s="195" t="s">
        <v>458</v>
      </c>
      <c r="K2" s="192" t="s">
        <v>447</v>
      </c>
      <c r="L2" s="194" t="s">
        <v>34</v>
      </c>
      <c r="M2" s="194" t="s">
        <v>33</v>
      </c>
      <c r="N2" s="193" t="s">
        <v>446</v>
      </c>
      <c r="O2" s="192" t="s">
        <v>445</v>
      </c>
      <c r="P2" s="252" t="s">
        <v>457</v>
      </c>
      <c r="Q2" s="356"/>
      <c r="R2" s="357"/>
      <c r="T2" s="494" t="s">
        <v>564</v>
      </c>
      <c r="U2" s="495"/>
      <c r="V2" s="495"/>
      <c r="W2" s="495"/>
      <c r="X2" s="495"/>
      <c r="Y2" s="496"/>
      <c r="Z2" s="166"/>
      <c r="AF2" s="494" t="s">
        <v>563</v>
      </c>
      <c r="AG2" s="495"/>
      <c r="AH2" s="495"/>
      <c r="AI2" s="495"/>
      <c r="AJ2" s="495"/>
      <c r="AK2" s="496"/>
      <c r="AL2" s="166"/>
    </row>
    <row r="3" spans="1:38" ht="13.5" thickBot="1">
      <c r="A3" s="164" t="s">
        <v>439</v>
      </c>
      <c r="B3" s="186" t="s">
        <v>438</v>
      </c>
      <c r="C3" s="185" t="s">
        <v>437</v>
      </c>
      <c r="D3" s="184">
        <v>386.9</v>
      </c>
      <c r="E3" s="184">
        <v>200</v>
      </c>
      <c r="F3" s="184">
        <v>131.95400000000001</v>
      </c>
      <c r="G3" s="184">
        <v>0.5</v>
      </c>
      <c r="H3" s="184">
        <f>F3*G3</f>
        <v>65.977000000000004</v>
      </c>
      <c r="I3" s="184">
        <f>E3-H3</f>
        <v>134.023</v>
      </c>
      <c r="J3" s="183">
        <f>H3/E3*100</f>
        <v>32.988500000000002</v>
      </c>
      <c r="K3" s="180" t="s">
        <v>436</v>
      </c>
      <c r="L3" s="182">
        <v>598.85</v>
      </c>
      <c r="M3" s="182">
        <v>150</v>
      </c>
      <c r="N3" s="181">
        <f t="shared" ref="N3:N13" si="0">F3</f>
        <v>131.95400000000001</v>
      </c>
      <c r="O3" s="251">
        <f>M3-H3</f>
        <v>84.022999999999996</v>
      </c>
      <c r="P3" s="181" t="str">
        <f t="shared" ref="P3:P9" si="1">IF(O3&gt;=0,"No","Yes")</f>
        <v>No</v>
      </c>
      <c r="Q3" s="356"/>
      <c r="R3" s="356"/>
      <c r="T3" s="336" t="s">
        <v>470</v>
      </c>
      <c r="U3" s="338" t="s">
        <v>471</v>
      </c>
      <c r="V3" s="338" t="s">
        <v>472</v>
      </c>
      <c r="W3" s="338" t="s">
        <v>473</v>
      </c>
      <c r="X3" s="338" t="s">
        <v>474</v>
      </c>
      <c r="Y3" s="339" t="s">
        <v>475</v>
      </c>
      <c r="Z3" s="340" t="s">
        <v>418</v>
      </c>
      <c r="AF3" s="336" t="s">
        <v>470</v>
      </c>
      <c r="AG3" s="338" t="s">
        <v>471</v>
      </c>
      <c r="AH3" s="338" t="s">
        <v>472</v>
      </c>
      <c r="AI3" s="338" t="s">
        <v>473</v>
      </c>
      <c r="AJ3" s="338" t="s">
        <v>474</v>
      </c>
      <c r="AK3" s="339" t="s">
        <v>527</v>
      </c>
      <c r="AL3" s="340" t="s">
        <v>418</v>
      </c>
    </row>
    <row r="4" spans="1:38" ht="13.5" thickBot="1">
      <c r="A4" s="519" t="s">
        <v>44</v>
      </c>
      <c r="B4" s="179" t="s">
        <v>3</v>
      </c>
      <c r="C4" s="178" t="s">
        <v>44</v>
      </c>
      <c r="D4" s="177">
        <v>424.31</v>
      </c>
      <c r="E4" s="177">
        <v>200</v>
      </c>
      <c r="F4" s="177">
        <v>79.758499999999998</v>
      </c>
      <c r="G4" s="85">
        <v>0.5</v>
      </c>
      <c r="H4" s="85">
        <f t="shared" ref="H4:H56" si="2">F4*G4</f>
        <v>39.879249999999999</v>
      </c>
      <c r="I4" s="94">
        <f t="shared" ref="I4:I13" si="3">E4-H4</f>
        <v>160.12074999999999</v>
      </c>
      <c r="J4" s="93">
        <f t="shared" ref="J4:J13" si="4">H4/E4*100</f>
        <v>19.939624999999999</v>
      </c>
      <c r="K4" s="304" t="s">
        <v>435</v>
      </c>
      <c r="L4" s="176">
        <v>561.44000000000005</v>
      </c>
      <c r="M4" s="176">
        <v>150</v>
      </c>
      <c r="N4" s="175">
        <f t="shared" si="0"/>
        <v>79.758499999999998</v>
      </c>
      <c r="O4" s="251">
        <f t="shared" ref="O4:O13" si="5">M4-H4</f>
        <v>110.12075</v>
      </c>
      <c r="P4" s="182" t="str">
        <f t="shared" si="1"/>
        <v>No</v>
      </c>
      <c r="Q4" s="356"/>
      <c r="R4" s="356"/>
      <c r="T4" s="60" t="s">
        <v>84</v>
      </c>
      <c r="U4" s="341">
        <v>0</v>
      </c>
      <c r="V4" s="341">
        <v>0</v>
      </c>
      <c r="W4" s="342">
        <v>0</v>
      </c>
      <c r="X4" s="342">
        <v>0</v>
      </c>
      <c r="Y4" s="343">
        <v>0</v>
      </c>
      <c r="Z4" s="344">
        <f>SUM(U4:Y4)</f>
        <v>0</v>
      </c>
      <c r="AF4" s="60" t="s">
        <v>84</v>
      </c>
      <c r="AG4" s="343">
        <v>0</v>
      </c>
      <c r="AH4" s="343">
        <f>3</f>
        <v>3</v>
      </c>
      <c r="AI4" s="419">
        <f>1+1</f>
        <v>2</v>
      </c>
      <c r="AJ4" s="419">
        <f>1</f>
        <v>1</v>
      </c>
      <c r="AK4" s="343">
        <v>0</v>
      </c>
      <c r="AL4" s="344">
        <f>SUM(AG4:AK4)</f>
        <v>6</v>
      </c>
    </row>
    <row r="5" spans="1:38" ht="14.25" customHeight="1" thickBot="1">
      <c r="A5" s="499"/>
      <c r="B5" s="63" t="s">
        <v>25</v>
      </c>
      <c r="C5" s="114" t="s">
        <v>65</v>
      </c>
      <c r="D5" s="94">
        <v>645.40499999999997</v>
      </c>
      <c r="E5" s="94">
        <v>150</v>
      </c>
      <c r="F5" s="94">
        <v>101.52370000000001</v>
      </c>
      <c r="G5" s="73">
        <v>0.5</v>
      </c>
      <c r="H5" s="73">
        <f t="shared" si="2"/>
        <v>50.761850000000003</v>
      </c>
      <c r="I5" s="94">
        <f t="shared" si="3"/>
        <v>99.23814999999999</v>
      </c>
      <c r="J5" s="93">
        <f t="shared" si="4"/>
        <v>33.841233333333335</v>
      </c>
      <c r="K5" s="301" t="s">
        <v>430</v>
      </c>
      <c r="L5" s="92">
        <v>691.82</v>
      </c>
      <c r="M5" s="92">
        <v>150</v>
      </c>
      <c r="N5" s="91">
        <f t="shared" si="0"/>
        <v>101.52370000000001</v>
      </c>
      <c r="O5" s="251">
        <f t="shared" si="5"/>
        <v>99.23814999999999</v>
      </c>
      <c r="P5" s="182" t="str">
        <f t="shared" si="1"/>
        <v>No</v>
      </c>
      <c r="Q5" s="352" t="s">
        <v>441</v>
      </c>
      <c r="R5" s="352" t="s">
        <v>456</v>
      </c>
      <c r="T5" s="60" t="s">
        <v>85</v>
      </c>
      <c r="U5" s="341">
        <v>0</v>
      </c>
      <c r="V5" s="341">
        <v>0</v>
      </c>
      <c r="W5" s="341">
        <v>0</v>
      </c>
      <c r="X5" s="341">
        <v>0</v>
      </c>
      <c r="Y5" s="343">
        <v>0</v>
      </c>
      <c r="Z5" s="60">
        <f t="shared" ref="Z5:Z15" si="6">SUM(U5:Y5)</f>
        <v>0</v>
      </c>
      <c r="AF5" s="60" t="s">
        <v>85</v>
      </c>
      <c r="AG5" s="343">
        <v>0</v>
      </c>
      <c r="AH5" s="343">
        <f>2+1+1</f>
        <v>4</v>
      </c>
      <c r="AI5" s="343">
        <f>2+1</f>
        <v>3</v>
      </c>
      <c r="AJ5" s="343">
        <v>0</v>
      </c>
      <c r="AK5" s="343">
        <f>1+1</f>
        <v>2</v>
      </c>
      <c r="AL5" s="60">
        <f t="shared" ref="AL5:AL15" si="7">SUM(AG5:AK5)</f>
        <v>9</v>
      </c>
    </row>
    <row r="6" spans="1:38" ht="13.5" thickBot="1">
      <c r="A6" s="497" t="s">
        <v>434</v>
      </c>
      <c r="B6" s="87" t="s">
        <v>433</v>
      </c>
      <c r="C6" s="86" t="s">
        <v>392</v>
      </c>
      <c r="D6" s="85">
        <v>774.56</v>
      </c>
      <c r="E6" s="85">
        <v>450</v>
      </c>
      <c r="F6" s="85">
        <v>593.39</v>
      </c>
      <c r="G6" s="85">
        <v>0.5</v>
      </c>
      <c r="H6" s="85">
        <f t="shared" si="2"/>
        <v>296.69499999999999</v>
      </c>
      <c r="I6" s="85">
        <f t="shared" si="3"/>
        <v>153.30500000000001</v>
      </c>
      <c r="J6" s="84">
        <f t="shared" si="4"/>
        <v>65.932222222222222</v>
      </c>
      <c r="K6" s="100" t="s">
        <v>432</v>
      </c>
      <c r="L6" s="83">
        <v>778.62</v>
      </c>
      <c r="M6" s="83">
        <v>450</v>
      </c>
      <c r="N6" s="82">
        <f t="shared" si="0"/>
        <v>593.39</v>
      </c>
      <c r="O6" s="251">
        <f t="shared" si="5"/>
        <v>153.30500000000001</v>
      </c>
      <c r="P6" s="182" t="str">
        <f t="shared" si="1"/>
        <v>No</v>
      </c>
      <c r="Q6" s="219"/>
      <c r="R6" s="218"/>
      <c r="T6" s="60" t="s">
        <v>86</v>
      </c>
      <c r="U6" s="341">
        <v>0</v>
      </c>
      <c r="V6" s="341">
        <v>0</v>
      </c>
      <c r="W6" s="341">
        <v>0</v>
      </c>
      <c r="X6" s="341">
        <v>0</v>
      </c>
      <c r="Y6" s="343">
        <v>0</v>
      </c>
      <c r="Z6" s="60">
        <f t="shared" si="6"/>
        <v>0</v>
      </c>
      <c r="AB6" s="405" t="s">
        <v>476</v>
      </c>
      <c r="AC6" s="405" t="s">
        <v>477</v>
      </c>
      <c r="AD6" s="345" t="s">
        <v>478</v>
      </c>
      <c r="AF6" s="60" t="s">
        <v>86</v>
      </c>
      <c r="AG6" s="341">
        <v>0</v>
      </c>
      <c r="AH6" s="343">
        <v>0</v>
      </c>
      <c r="AI6" s="341">
        <f>1+1</f>
        <v>2</v>
      </c>
      <c r="AJ6" s="343">
        <v>0</v>
      </c>
      <c r="AK6" s="343">
        <f>1</f>
        <v>1</v>
      </c>
      <c r="AL6" s="60">
        <f t="shared" si="7"/>
        <v>3</v>
      </c>
    </row>
    <row r="7" spans="1:38" ht="14.25" customHeight="1" thickBot="1">
      <c r="A7" s="499"/>
      <c r="B7" s="96" t="s">
        <v>4</v>
      </c>
      <c r="C7" s="95" t="s">
        <v>45</v>
      </c>
      <c r="D7" s="108">
        <v>221.095</v>
      </c>
      <c r="E7" s="108">
        <v>250</v>
      </c>
      <c r="F7" s="108">
        <v>165.54</v>
      </c>
      <c r="G7" s="94">
        <v>0.5</v>
      </c>
      <c r="H7" s="94">
        <f t="shared" si="2"/>
        <v>82.77</v>
      </c>
      <c r="I7" s="94">
        <f t="shared" si="3"/>
        <v>167.23000000000002</v>
      </c>
      <c r="J7" s="93">
        <f t="shared" si="4"/>
        <v>33.107999999999997</v>
      </c>
      <c r="K7" s="302" t="s">
        <v>431</v>
      </c>
      <c r="L7" s="106">
        <v>904.18</v>
      </c>
      <c r="M7" s="106">
        <v>150</v>
      </c>
      <c r="N7" s="105">
        <f t="shared" si="0"/>
        <v>165.54</v>
      </c>
      <c r="O7" s="251">
        <f t="shared" si="5"/>
        <v>67.23</v>
      </c>
      <c r="P7" s="263" t="str">
        <f t="shared" si="1"/>
        <v>No</v>
      </c>
      <c r="Q7" s="262" t="s">
        <v>351</v>
      </c>
      <c r="R7" s="245" t="s">
        <v>351</v>
      </c>
      <c r="T7" s="60" t="s">
        <v>87</v>
      </c>
      <c r="U7" s="341">
        <v>0</v>
      </c>
      <c r="V7" s="341">
        <v>0</v>
      </c>
      <c r="W7" s="341">
        <v>0</v>
      </c>
      <c r="X7" s="341">
        <v>0</v>
      </c>
      <c r="Y7" s="343">
        <v>0</v>
      </c>
      <c r="Z7" s="60">
        <f t="shared" si="6"/>
        <v>0</v>
      </c>
      <c r="AB7" s="61" t="s">
        <v>471</v>
      </c>
      <c r="AC7" s="61">
        <v>100</v>
      </c>
      <c r="AD7" s="413">
        <v>15</v>
      </c>
      <c r="AF7" s="60" t="s">
        <v>87</v>
      </c>
      <c r="AG7" s="341">
        <v>0</v>
      </c>
      <c r="AH7" s="420">
        <f>3+2+2</f>
        <v>7</v>
      </c>
      <c r="AI7" s="343">
        <f>2+1+2+4+1</f>
        <v>10</v>
      </c>
      <c r="AJ7" s="343">
        <f>1+2+3</f>
        <v>6</v>
      </c>
      <c r="AK7" s="343">
        <v>0</v>
      </c>
      <c r="AL7" s="60">
        <f t="shared" si="7"/>
        <v>23</v>
      </c>
    </row>
    <row r="8" spans="1:38" ht="14.25" customHeight="1" thickBot="1">
      <c r="A8" s="499"/>
      <c r="B8" s="96" t="s">
        <v>25</v>
      </c>
      <c r="C8" s="95" t="s">
        <v>65</v>
      </c>
      <c r="D8" s="94">
        <v>645.40499999999997</v>
      </c>
      <c r="E8" s="94">
        <v>150</v>
      </c>
      <c r="F8" s="94">
        <v>101.52370000000001</v>
      </c>
      <c r="G8" s="73">
        <v>0.5</v>
      </c>
      <c r="H8" s="73">
        <f t="shared" si="2"/>
        <v>50.761850000000003</v>
      </c>
      <c r="I8" s="73">
        <f t="shared" si="3"/>
        <v>99.23814999999999</v>
      </c>
      <c r="J8" s="299">
        <f t="shared" si="4"/>
        <v>33.841233333333335</v>
      </c>
      <c r="K8" s="301" t="s">
        <v>430</v>
      </c>
      <c r="L8" s="92">
        <v>691.82</v>
      </c>
      <c r="M8" s="92">
        <v>150</v>
      </c>
      <c r="N8" s="91">
        <f t="shared" si="0"/>
        <v>101.52370000000001</v>
      </c>
      <c r="O8" s="251">
        <f t="shared" si="5"/>
        <v>99.23814999999999</v>
      </c>
      <c r="P8" s="182" t="str">
        <f t="shared" si="1"/>
        <v>No</v>
      </c>
      <c r="Q8" s="261"/>
      <c r="R8" s="245"/>
      <c r="T8" s="60" t="s">
        <v>88</v>
      </c>
      <c r="U8" s="341">
        <v>0</v>
      </c>
      <c r="V8" s="341">
        <v>0</v>
      </c>
      <c r="W8" s="341">
        <v>0</v>
      </c>
      <c r="X8" s="341">
        <v>0</v>
      </c>
      <c r="Y8" s="343">
        <v>0</v>
      </c>
      <c r="Z8" s="60">
        <f t="shared" si="6"/>
        <v>0</v>
      </c>
      <c r="AA8" s="356"/>
      <c r="AB8" s="346" t="s">
        <v>472</v>
      </c>
      <c r="AC8" s="346">
        <v>150</v>
      </c>
      <c r="AD8" s="414">
        <v>16.3689</v>
      </c>
      <c r="AF8" s="60" t="s">
        <v>88</v>
      </c>
      <c r="AG8" s="341">
        <v>0</v>
      </c>
      <c r="AH8" s="343">
        <v>0</v>
      </c>
      <c r="AI8" s="343">
        <f>1+1+1+2+1+1</f>
        <v>7</v>
      </c>
      <c r="AJ8" s="343">
        <f>1</f>
        <v>1</v>
      </c>
      <c r="AK8" s="343">
        <v>0</v>
      </c>
      <c r="AL8" s="60">
        <f t="shared" si="7"/>
        <v>8</v>
      </c>
    </row>
    <row r="9" spans="1:38" ht="13.5" thickBot="1">
      <c r="A9" s="497" t="s">
        <v>46</v>
      </c>
      <c r="B9" s="87" t="s">
        <v>5</v>
      </c>
      <c r="C9" s="86" t="s">
        <v>46</v>
      </c>
      <c r="D9" s="85">
        <v>87.444999999999993</v>
      </c>
      <c r="E9" s="85">
        <v>300</v>
      </c>
      <c r="F9" s="85">
        <v>330.03719999999998</v>
      </c>
      <c r="G9" s="85">
        <v>0.5</v>
      </c>
      <c r="H9" s="85">
        <f t="shared" si="2"/>
        <v>165.01859999999999</v>
      </c>
      <c r="I9" s="94">
        <f t="shared" si="3"/>
        <v>134.98140000000001</v>
      </c>
      <c r="J9" s="93">
        <f t="shared" si="4"/>
        <v>55.006199999999993</v>
      </c>
      <c r="K9" s="100" t="s">
        <v>429</v>
      </c>
      <c r="L9" s="83">
        <v>243.73500000000001</v>
      </c>
      <c r="M9" s="83">
        <v>250</v>
      </c>
      <c r="N9" s="82">
        <f t="shared" si="0"/>
        <v>330.03719999999998</v>
      </c>
      <c r="O9" s="251">
        <f t="shared" si="5"/>
        <v>84.981400000000008</v>
      </c>
      <c r="P9" s="181" t="str">
        <f t="shared" si="1"/>
        <v>No</v>
      </c>
      <c r="Q9" s="239"/>
      <c r="R9" s="239"/>
      <c r="S9" s="253"/>
      <c r="T9" s="60" t="s">
        <v>89</v>
      </c>
      <c r="U9" s="341">
        <v>0</v>
      </c>
      <c r="V9" s="341">
        <v>0</v>
      </c>
      <c r="W9" s="341">
        <v>0</v>
      </c>
      <c r="X9" s="341">
        <v>0</v>
      </c>
      <c r="Y9" s="343">
        <v>0</v>
      </c>
      <c r="Z9" s="60">
        <f t="shared" si="6"/>
        <v>0</v>
      </c>
      <c r="AA9" s="352"/>
      <c r="AB9" s="346" t="s">
        <v>473</v>
      </c>
      <c r="AC9" s="346">
        <v>200</v>
      </c>
      <c r="AD9" s="414">
        <v>16.746700000000001</v>
      </c>
      <c r="AF9" s="60" t="s">
        <v>89</v>
      </c>
      <c r="AG9" s="343">
        <v>0</v>
      </c>
      <c r="AH9" s="343">
        <f>2+2+1</f>
        <v>5</v>
      </c>
      <c r="AI9" s="343">
        <f>1</f>
        <v>1</v>
      </c>
      <c r="AJ9" s="343">
        <f>1</f>
        <v>1</v>
      </c>
      <c r="AK9" s="343">
        <v>0</v>
      </c>
      <c r="AL9" s="60">
        <f t="shared" si="7"/>
        <v>7</v>
      </c>
    </row>
    <row r="10" spans="1:38" ht="14.25" customHeight="1" thickBot="1">
      <c r="A10" s="499"/>
      <c r="B10" s="96" t="s">
        <v>7</v>
      </c>
      <c r="C10" s="95" t="s">
        <v>48</v>
      </c>
      <c r="D10" s="108">
        <v>457.755</v>
      </c>
      <c r="E10" s="108">
        <v>200</v>
      </c>
      <c r="F10" s="108">
        <v>200.11</v>
      </c>
      <c r="G10" s="94">
        <v>0.5</v>
      </c>
      <c r="H10" s="94">
        <f t="shared" si="2"/>
        <v>100.05500000000001</v>
      </c>
      <c r="I10" s="94">
        <f t="shared" si="3"/>
        <v>99.944999999999993</v>
      </c>
      <c r="J10" s="93">
        <f t="shared" si="4"/>
        <v>50.027500000000003</v>
      </c>
      <c r="K10" s="302" t="s">
        <v>428</v>
      </c>
      <c r="L10" s="106">
        <v>614.06500000000005</v>
      </c>
      <c r="M10" s="106">
        <v>150</v>
      </c>
      <c r="N10" s="105">
        <f t="shared" si="0"/>
        <v>200.11</v>
      </c>
      <c r="O10" s="251">
        <f t="shared" si="5"/>
        <v>49.944999999999993</v>
      </c>
      <c r="P10" s="260" t="s">
        <v>455</v>
      </c>
      <c r="Q10" s="356"/>
      <c r="R10" s="356"/>
      <c r="S10" s="253"/>
      <c r="T10" s="60" t="s">
        <v>90</v>
      </c>
      <c r="U10" s="341">
        <v>0</v>
      </c>
      <c r="V10" s="341">
        <v>0</v>
      </c>
      <c r="W10" s="341">
        <v>0</v>
      </c>
      <c r="X10" s="341">
        <v>0</v>
      </c>
      <c r="Y10" s="343">
        <v>0</v>
      </c>
      <c r="Z10" s="60">
        <f t="shared" si="6"/>
        <v>0</v>
      </c>
      <c r="AA10" s="352"/>
      <c r="AB10" s="346" t="s">
        <v>474</v>
      </c>
      <c r="AC10" s="346">
        <v>250</v>
      </c>
      <c r="AD10" s="414">
        <v>16.886600000000001</v>
      </c>
      <c r="AF10" s="60" t="s">
        <v>90</v>
      </c>
      <c r="AG10" s="341">
        <v>0</v>
      </c>
      <c r="AH10" s="341">
        <v>0</v>
      </c>
      <c r="AI10" s="341">
        <f>1</f>
        <v>1</v>
      </c>
      <c r="AJ10" s="343">
        <f>1</f>
        <v>1</v>
      </c>
      <c r="AK10" s="343">
        <f>1</f>
        <v>1</v>
      </c>
      <c r="AL10" s="60">
        <f t="shared" si="7"/>
        <v>3</v>
      </c>
    </row>
    <row r="11" spans="1:38" ht="14.25" customHeight="1" thickBot="1">
      <c r="A11" s="499"/>
      <c r="B11" s="96" t="s">
        <v>8</v>
      </c>
      <c r="C11" s="95" t="s">
        <v>74</v>
      </c>
      <c r="D11" s="108">
        <v>632.29</v>
      </c>
      <c r="E11" s="108">
        <v>300</v>
      </c>
      <c r="F11" s="108">
        <v>416.14780000000002</v>
      </c>
      <c r="G11" s="94">
        <v>0.5</v>
      </c>
      <c r="H11" s="94">
        <f t="shared" si="2"/>
        <v>208.07390000000001</v>
      </c>
      <c r="I11" s="94">
        <f t="shared" si="3"/>
        <v>91.926099999999991</v>
      </c>
      <c r="J11" s="93">
        <f t="shared" si="4"/>
        <v>69.35796666666667</v>
      </c>
      <c r="K11" s="302" t="s">
        <v>427</v>
      </c>
      <c r="L11" s="106">
        <v>692.19500000000005</v>
      </c>
      <c r="M11" s="106">
        <v>300</v>
      </c>
      <c r="N11" s="105">
        <f t="shared" si="0"/>
        <v>416.14780000000002</v>
      </c>
      <c r="O11" s="251">
        <f t="shared" si="5"/>
        <v>91.926099999999991</v>
      </c>
      <c r="P11" s="181" t="str">
        <f>IF(O11&gt;=0,"No","Yes")</f>
        <v>No</v>
      </c>
      <c r="Q11" s="356"/>
      <c r="R11" s="356"/>
      <c r="S11" s="253"/>
      <c r="T11" s="60" t="s">
        <v>91</v>
      </c>
      <c r="U11" s="341">
        <v>0</v>
      </c>
      <c r="V11" s="341">
        <v>0</v>
      </c>
      <c r="W11" s="343">
        <v>0</v>
      </c>
      <c r="X11" s="343">
        <v>0</v>
      </c>
      <c r="Y11" s="343">
        <v>0</v>
      </c>
      <c r="Z11" s="60">
        <f t="shared" si="6"/>
        <v>0</v>
      </c>
      <c r="AA11" s="356"/>
      <c r="AB11" s="347" t="s">
        <v>527</v>
      </c>
      <c r="AC11" s="347">
        <v>300</v>
      </c>
      <c r="AD11" s="415">
        <v>17</v>
      </c>
      <c r="AF11" s="60" t="s">
        <v>91</v>
      </c>
      <c r="AG11" s="341">
        <v>0</v>
      </c>
      <c r="AH11" s="341">
        <f>1+2+1+1+1+1</f>
        <v>7</v>
      </c>
      <c r="AI11" s="343">
        <f>1+1</f>
        <v>2</v>
      </c>
      <c r="AJ11" s="343">
        <f>1</f>
        <v>1</v>
      </c>
      <c r="AK11" s="343">
        <v>0</v>
      </c>
      <c r="AL11" s="60">
        <f t="shared" si="7"/>
        <v>10</v>
      </c>
    </row>
    <row r="12" spans="1:38" ht="14.25" customHeight="1" thickBot="1">
      <c r="A12" s="499"/>
      <c r="B12" s="96" t="s">
        <v>12</v>
      </c>
      <c r="C12" s="95" t="s">
        <v>52</v>
      </c>
      <c r="D12" s="108">
        <v>428.91</v>
      </c>
      <c r="E12" s="108">
        <v>200</v>
      </c>
      <c r="F12" s="108">
        <v>320.77999999999997</v>
      </c>
      <c r="G12" s="94">
        <v>0.5</v>
      </c>
      <c r="H12" s="94">
        <f t="shared" si="2"/>
        <v>160.38999999999999</v>
      </c>
      <c r="I12" s="94">
        <f t="shared" si="3"/>
        <v>39.610000000000014</v>
      </c>
      <c r="J12" s="93">
        <f t="shared" si="4"/>
        <v>80.194999999999993</v>
      </c>
      <c r="K12" s="302" t="s">
        <v>421</v>
      </c>
      <c r="L12" s="106">
        <v>440.09</v>
      </c>
      <c r="M12" s="106">
        <v>200</v>
      </c>
      <c r="N12" s="105">
        <f t="shared" si="0"/>
        <v>320.77999999999997</v>
      </c>
      <c r="O12" s="251">
        <f t="shared" si="5"/>
        <v>39.610000000000014</v>
      </c>
      <c r="P12" s="181" t="str">
        <f>IF(O12&gt;=0,"No","Yes")</f>
        <v>No</v>
      </c>
      <c r="Q12" s="356"/>
      <c r="R12" s="356"/>
      <c r="S12" s="253"/>
      <c r="T12" s="60" t="s">
        <v>92</v>
      </c>
      <c r="U12" s="343">
        <v>0</v>
      </c>
      <c r="V12" s="343">
        <v>0</v>
      </c>
      <c r="W12" s="343">
        <v>0</v>
      </c>
      <c r="X12" s="343">
        <v>0</v>
      </c>
      <c r="Y12" s="343">
        <v>0</v>
      </c>
      <c r="Z12" s="60">
        <f t="shared" si="6"/>
        <v>0</v>
      </c>
      <c r="AA12" s="356"/>
      <c r="AB12" s="356"/>
      <c r="AC12" s="356"/>
      <c r="AF12" s="60" t="s">
        <v>92</v>
      </c>
      <c r="AG12" s="343">
        <v>0</v>
      </c>
      <c r="AH12" s="341">
        <f>1+1</f>
        <v>2</v>
      </c>
      <c r="AI12" s="343">
        <f>4+1</f>
        <v>5</v>
      </c>
      <c r="AJ12" s="343">
        <v>0</v>
      </c>
      <c r="AK12" s="343">
        <v>0</v>
      </c>
      <c r="AL12" s="60">
        <f t="shared" si="7"/>
        <v>7</v>
      </c>
    </row>
    <row r="13" spans="1:38" ht="14.25" customHeight="1" thickBot="1">
      <c r="A13" s="499"/>
      <c r="B13" s="96" t="s">
        <v>397</v>
      </c>
      <c r="C13" s="95" t="s">
        <v>63</v>
      </c>
      <c r="D13" s="94">
        <v>530.30999999999995</v>
      </c>
      <c r="E13" s="94">
        <v>200</v>
      </c>
      <c r="F13" s="94">
        <v>22.35</v>
      </c>
      <c r="G13" s="73">
        <v>0.5</v>
      </c>
      <c r="H13" s="73">
        <f t="shared" si="2"/>
        <v>11.175000000000001</v>
      </c>
      <c r="I13" s="94">
        <f t="shared" si="3"/>
        <v>188.82499999999999</v>
      </c>
      <c r="J13" s="93">
        <f t="shared" si="4"/>
        <v>5.5875000000000004</v>
      </c>
      <c r="K13" s="301" t="s">
        <v>419</v>
      </c>
      <c r="L13" s="92">
        <v>541.49</v>
      </c>
      <c r="M13" s="92">
        <v>150</v>
      </c>
      <c r="N13" s="91">
        <f t="shared" si="0"/>
        <v>22.35</v>
      </c>
      <c r="O13" s="251">
        <f t="shared" si="5"/>
        <v>138.82499999999999</v>
      </c>
      <c r="P13" s="181" t="str">
        <f>IF(O13&gt;=0,"No","Yes")</f>
        <v>No</v>
      </c>
      <c r="Q13" s="356"/>
      <c r="R13" s="356"/>
      <c r="S13" s="253"/>
      <c r="T13" s="60" t="s">
        <v>93</v>
      </c>
      <c r="U13" s="343">
        <v>0</v>
      </c>
      <c r="V13" s="341">
        <v>0</v>
      </c>
      <c r="W13" s="343">
        <v>0</v>
      </c>
      <c r="X13" s="343">
        <v>0</v>
      </c>
      <c r="Y13" s="343">
        <v>0</v>
      </c>
      <c r="Z13" s="60">
        <f t="shared" si="6"/>
        <v>0</v>
      </c>
      <c r="AA13" s="356"/>
      <c r="AB13" s="356"/>
      <c r="AC13" s="356"/>
      <c r="AF13" s="60" t="s">
        <v>93</v>
      </c>
      <c r="AG13" s="343">
        <v>0</v>
      </c>
      <c r="AH13" s="341">
        <v>0</v>
      </c>
      <c r="AI13" s="343">
        <f>1+1</f>
        <v>2</v>
      </c>
      <c r="AJ13" s="343">
        <f>2</f>
        <v>2</v>
      </c>
      <c r="AK13" s="343">
        <v>0</v>
      </c>
      <c r="AL13" s="60">
        <f t="shared" si="7"/>
        <v>4</v>
      </c>
    </row>
    <row r="14" spans="1:38" ht="13.5" thickBot="1">
      <c r="A14" s="353" t="s">
        <v>427</v>
      </c>
      <c r="B14" s="87" t="s">
        <v>351</v>
      </c>
      <c r="C14" s="163"/>
      <c r="D14" s="85"/>
      <c r="E14" s="85"/>
      <c r="F14" s="85"/>
      <c r="G14" s="184">
        <v>0.5</v>
      </c>
      <c r="H14" s="184">
        <f t="shared" si="2"/>
        <v>0</v>
      </c>
      <c r="I14" s="184"/>
      <c r="J14" s="183"/>
      <c r="K14" s="100"/>
      <c r="L14" s="83"/>
      <c r="M14" s="83"/>
      <c r="N14" s="82"/>
      <c r="O14" s="100"/>
      <c r="P14" s="82"/>
      <c r="Q14" s="356"/>
      <c r="R14" s="356"/>
      <c r="S14" s="253"/>
      <c r="T14" s="60" t="s">
        <v>94</v>
      </c>
      <c r="U14" s="343">
        <v>0</v>
      </c>
      <c r="V14" s="341">
        <v>0</v>
      </c>
      <c r="W14" s="343">
        <v>0</v>
      </c>
      <c r="X14" s="343">
        <v>0</v>
      </c>
      <c r="Y14" s="343">
        <v>0</v>
      </c>
      <c r="Z14" s="60">
        <f t="shared" si="6"/>
        <v>0</v>
      </c>
      <c r="AA14" s="18"/>
      <c r="AB14" s="18"/>
      <c r="AC14" s="356"/>
      <c r="AF14" s="60" t="s">
        <v>94</v>
      </c>
      <c r="AG14" s="343">
        <v>0</v>
      </c>
      <c r="AH14" s="420">
        <f>1</f>
        <v>1</v>
      </c>
      <c r="AI14" s="343">
        <f>1+1</f>
        <v>2</v>
      </c>
      <c r="AJ14" s="343">
        <f>3</f>
        <v>3</v>
      </c>
      <c r="AK14" s="343">
        <v>0</v>
      </c>
      <c r="AL14" s="60">
        <f t="shared" si="7"/>
        <v>6</v>
      </c>
    </row>
    <row r="15" spans="1:38" ht="13.5" thickBot="1">
      <c r="A15" s="497" t="s">
        <v>49</v>
      </c>
      <c r="B15" s="87" t="s">
        <v>426</v>
      </c>
      <c r="C15" s="86" t="s">
        <v>47</v>
      </c>
      <c r="D15" s="85">
        <v>341.36500000000001</v>
      </c>
      <c r="E15" s="85">
        <v>400</v>
      </c>
      <c r="F15" s="85">
        <v>414.50749999999999</v>
      </c>
      <c r="G15" s="85">
        <v>0.5</v>
      </c>
      <c r="H15" s="85">
        <f t="shared" si="2"/>
        <v>207.25375</v>
      </c>
      <c r="I15" s="85">
        <f>E15-H15</f>
        <v>192.74625</v>
      </c>
      <c r="J15" s="84">
        <f>H15/E15*100</f>
        <v>51.813437500000006</v>
      </c>
      <c r="K15" s="100" t="s">
        <v>425</v>
      </c>
      <c r="L15" s="83">
        <v>527.53499999999997</v>
      </c>
      <c r="M15" s="83">
        <v>600</v>
      </c>
      <c r="N15" s="82">
        <f t="shared" ref="N15:N24" si="8">F15</f>
        <v>414.50749999999999</v>
      </c>
      <c r="O15" s="205">
        <f>M15-H15</f>
        <v>392.74625000000003</v>
      </c>
      <c r="P15" s="82" t="str">
        <f t="shared" ref="P15:P24" si="9">IF(O15&gt;=0,"No","Yes")</f>
        <v>No</v>
      </c>
      <c r="Q15" s="356"/>
      <c r="R15" s="356"/>
      <c r="S15" s="253"/>
      <c r="T15" s="326" t="s">
        <v>469</v>
      </c>
      <c r="U15" s="348">
        <v>0</v>
      </c>
      <c r="V15" s="348">
        <v>0</v>
      </c>
      <c r="W15" s="348">
        <v>0</v>
      </c>
      <c r="X15" s="348">
        <v>0</v>
      </c>
      <c r="Y15" s="348">
        <v>0</v>
      </c>
      <c r="Z15" s="326">
        <f t="shared" si="6"/>
        <v>0</v>
      </c>
      <c r="AA15" s="356"/>
      <c r="AB15" s="379"/>
      <c r="AC15" s="356"/>
      <c r="AF15" s="326" t="s">
        <v>469</v>
      </c>
      <c r="AG15" s="348">
        <v>0</v>
      </c>
      <c r="AH15" s="348">
        <f>1</f>
        <v>1</v>
      </c>
      <c r="AI15" s="348">
        <f>1</f>
        <v>1</v>
      </c>
      <c r="AJ15" s="348">
        <v>0</v>
      </c>
      <c r="AK15" s="348">
        <v>0</v>
      </c>
      <c r="AL15" s="326">
        <f t="shared" si="7"/>
        <v>2</v>
      </c>
    </row>
    <row r="16" spans="1:38" ht="14.25" customHeight="1" thickBot="1">
      <c r="A16" s="499"/>
      <c r="B16" s="96" t="s">
        <v>9</v>
      </c>
      <c r="C16" s="95" t="s">
        <v>424</v>
      </c>
      <c r="D16" s="108">
        <v>72.555000000000007</v>
      </c>
      <c r="E16" s="108">
        <v>300</v>
      </c>
      <c r="F16" s="108">
        <v>249.06020000000001</v>
      </c>
      <c r="G16" s="94">
        <v>0.5</v>
      </c>
      <c r="H16" s="94">
        <f t="shared" si="2"/>
        <v>124.5301</v>
      </c>
      <c r="I16" s="94">
        <f t="shared" ref="I16:I24" si="10">E16-H16</f>
        <v>175.4699</v>
      </c>
      <c r="J16" s="93">
        <f t="shared" ref="J16:J24" si="11">H16/E16*100</f>
        <v>41.510033333333332</v>
      </c>
      <c r="K16" s="302" t="s">
        <v>423</v>
      </c>
      <c r="L16" s="106">
        <v>258.625</v>
      </c>
      <c r="M16" s="106">
        <v>250</v>
      </c>
      <c r="N16" s="105">
        <f t="shared" si="8"/>
        <v>249.06020000000001</v>
      </c>
      <c r="O16" s="205">
        <f t="shared" ref="O16:O24" si="12">M16-H16</f>
        <v>125.4699</v>
      </c>
      <c r="P16" s="82" t="str">
        <f t="shared" si="9"/>
        <v>No</v>
      </c>
      <c r="Q16" s="356"/>
      <c r="R16" s="356"/>
      <c r="S16" s="253"/>
      <c r="T16" s="340" t="s">
        <v>479</v>
      </c>
      <c r="U16" s="349">
        <f t="shared" ref="U16:Z16" si="13">SUM(U4:U15)</f>
        <v>0</v>
      </c>
      <c r="V16" s="349">
        <f t="shared" si="13"/>
        <v>0</v>
      </c>
      <c r="W16" s="349">
        <f t="shared" si="13"/>
        <v>0</v>
      </c>
      <c r="X16" s="349">
        <f t="shared" si="13"/>
        <v>0</v>
      </c>
      <c r="Y16" s="349">
        <f t="shared" si="13"/>
        <v>0</v>
      </c>
      <c r="Z16" s="350">
        <f t="shared" si="13"/>
        <v>0</v>
      </c>
      <c r="AA16" s="356"/>
      <c r="AB16" s="378"/>
      <c r="AC16" s="356"/>
      <c r="AF16" s="340" t="s">
        <v>479</v>
      </c>
      <c r="AG16" s="349">
        <f>SUM(AG4:AG15)</f>
        <v>0</v>
      </c>
      <c r="AH16" s="349">
        <f>SUM(AH4:AH15)</f>
        <v>30</v>
      </c>
      <c r="AI16" s="349">
        <f>SUM(AI4:AI15)</f>
        <v>38</v>
      </c>
      <c r="AJ16" s="349">
        <f>SUM(AJ4:AJ15)</f>
        <v>16</v>
      </c>
      <c r="AK16" s="349">
        <f>SUM(AK4:AK15)</f>
        <v>4</v>
      </c>
      <c r="AL16" s="350">
        <f t="shared" ref="AL16" si="14">SUM(AL4:AL15)</f>
        <v>88</v>
      </c>
    </row>
    <row r="17" spans="1:38" ht="14.25" customHeight="1" thickBot="1">
      <c r="A17" s="499"/>
      <c r="B17" s="96" t="s">
        <v>10</v>
      </c>
      <c r="C17" s="95" t="s">
        <v>386</v>
      </c>
      <c r="D17" s="108">
        <v>894.93</v>
      </c>
      <c r="E17" s="108">
        <v>150</v>
      </c>
      <c r="F17" s="108">
        <v>185.4342</v>
      </c>
      <c r="G17" s="94">
        <v>0.5</v>
      </c>
      <c r="H17" s="94">
        <f t="shared" si="2"/>
        <v>92.717100000000002</v>
      </c>
      <c r="I17" s="94">
        <f t="shared" si="10"/>
        <v>57.282899999999998</v>
      </c>
      <c r="J17" s="93">
        <f t="shared" si="11"/>
        <v>61.811400000000006</v>
      </c>
      <c r="K17" s="302" t="s">
        <v>385</v>
      </c>
      <c r="L17" s="106">
        <v>975.03499999999997</v>
      </c>
      <c r="M17" s="106">
        <v>150</v>
      </c>
      <c r="N17" s="105">
        <f t="shared" si="8"/>
        <v>185.4342</v>
      </c>
      <c r="O17" s="205">
        <f t="shared" si="12"/>
        <v>57.282899999999998</v>
      </c>
      <c r="P17" s="82" t="str">
        <f t="shared" si="9"/>
        <v>No</v>
      </c>
      <c r="Q17" s="356"/>
      <c r="R17" s="356"/>
      <c r="S17" s="253"/>
      <c r="T17" s="340" t="s">
        <v>478</v>
      </c>
      <c r="U17" s="351">
        <f>PRODUCT(U16*AD7)</f>
        <v>0</v>
      </c>
      <c r="V17" s="351">
        <f>PRODUCT(V16*AD8)</f>
        <v>0</v>
      </c>
      <c r="W17" s="351">
        <f>PRODUCT(W16*AD9)</f>
        <v>0</v>
      </c>
      <c r="X17" s="351">
        <f>PRODUCT(X16*AD10)</f>
        <v>0</v>
      </c>
      <c r="Y17" s="351">
        <f>PRODUCT(Y16*AD11)</f>
        <v>0</v>
      </c>
      <c r="Z17" s="340">
        <f>SUM(U17:Y17)</f>
        <v>0</v>
      </c>
      <c r="AA17" s="356"/>
      <c r="AB17" s="378"/>
      <c r="AC17" s="356"/>
      <c r="AF17" s="340" t="s">
        <v>478</v>
      </c>
      <c r="AG17" s="416">
        <f>PRODUCT(AG16*AD7)</f>
        <v>0</v>
      </c>
      <c r="AH17" s="416">
        <f>PRODUCT(AH16*AD8)</f>
        <v>491.06700000000001</v>
      </c>
      <c r="AI17" s="416">
        <f>PRODUCT(AI16*AD9)</f>
        <v>636.37459999999999</v>
      </c>
      <c r="AJ17" s="416">
        <f>PRODUCT(AJ16*AD10)</f>
        <v>270.18560000000002</v>
      </c>
      <c r="AK17" s="416">
        <f>PRODUCT(AK16*AD11)</f>
        <v>68</v>
      </c>
      <c r="AL17" s="421">
        <f>SUM(AG17:AK17)</f>
        <v>1465.6272000000001</v>
      </c>
    </row>
    <row r="18" spans="1:38" ht="14.25" customHeight="1" thickBot="1">
      <c r="A18" s="499"/>
      <c r="B18" s="96" t="s">
        <v>11</v>
      </c>
      <c r="C18" s="95" t="s">
        <v>378</v>
      </c>
      <c r="D18" s="108">
        <v>839.23</v>
      </c>
      <c r="E18" s="108">
        <v>150</v>
      </c>
      <c r="F18" s="108">
        <v>213.84829999999999</v>
      </c>
      <c r="G18" s="94">
        <v>0.5</v>
      </c>
      <c r="H18" s="94">
        <f t="shared" si="2"/>
        <v>106.92415</v>
      </c>
      <c r="I18" s="94">
        <f t="shared" si="10"/>
        <v>43.075850000000003</v>
      </c>
      <c r="J18" s="93">
        <f t="shared" si="11"/>
        <v>71.28276666666666</v>
      </c>
      <c r="K18" s="302" t="s">
        <v>422</v>
      </c>
      <c r="L18" s="106">
        <v>1025.3</v>
      </c>
      <c r="M18" s="106">
        <v>150</v>
      </c>
      <c r="N18" s="105">
        <f t="shared" si="8"/>
        <v>213.84829999999999</v>
      </c>
      <c r="O18" s="205">
        <f t="shared" si="12"/>
        <v>43.075850000000003</v>
      </c>
      <c r="P18" s="82" t="str">
        <f t="shared" si="9"/>
        <v>No</v>
      </c>
      <c r="Q18" s="356"/>
      <c r="R18" s="356"/>
      <c r="S18" s="253"/>
      <c r="T18" s="340" t="s">
        <v>477</v>
      </c>
      <c r="U18" s="351">
        <f>U16*AC7</f>
        <v>0</v>
      </c>
      <c r="V18" s="351">
        <f>V16*AC8</f>
        <v>0</v>
      </c>
      <c r="W18" s="351">
        <f>W16*AC9</f>
        <v>0</v>
      </c>
      <c r="X18" s="351">
        <f>X16*AC10</f>
        <v>0</v>
      </c>
      <c r="Y18" s="351">
        <f>Y16*AC11</f>
        <v>0</v>
      </c>
      <c r="Z18" s="340">
        <f>SUM(U18:Y18)</f>
        <v>0</v>
      </c>
      <c r="AA18" s="356"/>
      <c r="AB18" s="378"/>
      <c r="AC18" s="356"/>
      <c r="AF18" s="340" t="s">
        <v>528</v>
      </c>
      <c r="AG18" s="351">
        <f>AG16*AC7</f>
        <v>0</v>
      </c>
      <c r="AH18" s="351">
        <f>AH16*AC8</f>
        <v>4500</v>
      </c>
      <c r="AI18" s="351">
        <f>AI16*AC9</f>
        <v>7600</v>
      </c>
      <c r="AJ18" s="351">
        <f>AJ16*AC10</f>
        <v>4000</v>
      </c>
      <c r="AK18" s="351">
        <f>AK16*AC11</f>
        <v>1200</v>
      </c>
      <c r="AL18" s="340">
        <f>SUM(AG18:AK18)</f>
        <v>17300</v>
      </c>
    </row>
    <row r="19" spans="1:38" ht="14.25" customHeight="1" thickBot="1">
      <c r="A19" s="499"/>
      <c r="B19" s="96" t="s">
        <v>12</v>
      </c>
      <c r="C19" s="95" t="s">
        <v>52</v>
      </c>
      <c r="D19" s="108">
        <v>428.91</v>
      </c>
      <c r="E19" s="108">
        <v>200</v>
      </c>
      <c r="F19" s="108">
        <v>320.7817</v>
      </c>
      <c r="G19" s="94">
        <v>0.5</v>
      </c>
      <c r="H19" s="94">
        <f t="shared" si="2"/>
        <v>160.39085</v>
      </c>
      <c r="I19" s="94">
        <f t="shared" si="10"/>
        <v>39.60915</v>
      </c>
      <c r="J19" s="93">
        <f t="shared" si="11"/>
        <v>80.195425</v>
      </c>
      <c r="K19" s="302" t="s">
        <v>421</v>
      </c>
      <c r="L19" s="106">
        <v>440.09</v>
      </c>
      <c r="M19" s="106">
        <v>200</v>
      </c>
      <c r="N19" s="105">
        <f t="shared" si="8"/>
        <v>320.7817</v>
      </c>
      <c r="O19" s="205">
        <f t="shared" si="12"/>
        <v>39.60915</v>
      </c>
      <c r="P19" s="82" t="str">
        <f t="shared" si="9"/>
        <v>No</v>
      </c>
      <c r="Q19" s="356"/>
      <c r="R19" s="356"/>
      <c r="S19" s="253"/>
      <c r="AB19" s="378"/>
    </row>
    <row r="20" spans="1:38" ht="14.25" customHeight="1" thickBot="1">
      <c r="A20" s="499"/>
      <c r="B20" s="96" t="s">
        <v>420</v>
      </c>
      <c r="C20" s="95" t="s">
        <v>412</v>
      </c>
      <c r="D20" s="94">
        <v>530.30999999999995</v>
      </c>
      <c r="E20" s="94">
        <v>200</v>
      </c>
      <c r="F20" s="94">
        <v>22.35</v>
      </c>
      <c r="G20" s="73">
        <v>0.5</v>
      </c>
      <c r="H20" s="73">
        <f t="shared" si="2"/>
        <v>11.175000000000001</v>
      </c>
      <c r="I20" s="73">
        <f t="shared" si="10"/>
        <v>188.82499999999999</v>
      </c>
      <c r="J20" s="299">
        <f t="shared" si="11"/>
        <v>5.5875000000000004</v>
      </c>
      <c r="K20" s="301" t="s">
        <v>419</v>
      </c>
      <c r="L20" s="92">
        <v>541.49</v>
      </c>
      <c r="M20" s="92">
        <v>150</v>
      </c>
      <c r="N20" s="91">
        <f t="shared" si="8"/>
        <v>22.35</v>
      </c>
      <c r="O20" s="205">
        <f t="shared" si="12"/>
        <v>138.82499999999999</v>
      </c>
      <c r="P20" s="82" t="str">
        <f t="shared" si="9"/>
        <v>No</v>
      </c>
      <c r="Q20" s="356"/>
      <c r="R20" s="356"/>
      <c r="S20" s="253"/>
    </row>
    <row r="21" spans="1:38" ht="13.5" thickBot="1">
      <c r="A21" s="497" t="s">
        <v>414</v>
      </c>
      <c r="B21" s="87" t="s">
        <v>7</v>
      </c>
      <c r="C21" s="86" t="s">
        <v>48</v>
      </c>
      <c r="D21" s="85">
        <v>457.755</v>
      </c>
      <c r="E21" s="85">
        <v>200</v>
      </c>
      <c r="F21" s="85">
        <v>200.1122</v>
      </c>
      <c r="G21" s="85">
        <v>0.5</v>
      </c>
      <c r="H21" s="85">
        <f t="shared" si="2"/>
        <v>100.0561</v>
      </c>
      <c r="I21" s="94">
        <f t="shared" si="10"/>
        <v>99.943899999999999</v>
      </c>
      <c r="J21" s="93">
        <f t="shared" si="11"/>
        <v>50.02805</v>
      </c>
      <c r="K21" s="100" t="s">
        <v>417</v>
      </c>
      <c r="L21" s="83">
        <v>733.18499999999995</v>
      </c>
      <c r="M21" s="83">
        <v>200</v>
      </c>
      <c r="N21" s="82">
        <f t="shared" si="8"/>
        <v>200.1122</v>
      </c>
      <c r="O21" s="205">
        <f t="shared" si="12"/>
        <v>99.943899999999999</v>
      </c>
      <c r="P21" s="203" t="str">
        <f t="shared" si="9"/>
        <v>No</v>
      </c>
      <c r="Q21" s="356"/>
      <c r="R21" s="356"/>
      <c r="S21" s="253"/>
    </row>
    <row r="22" spans="1:38" ht="14.25" customHeight="1" thickBot="1">
      <c r="A22" s="499"/>
      <c r="B22" s="96" t="s">
        <v>416</v>
      </c>
      <c r="C22" s="95" t="s">
        <v>74</v>
      </c>
      <c r="D22" s="108">
        <v>632.29</v>
      </c>
      <c r="E22" s="108">
        <v>300</v>
      </c>
      <c r="F22" s="108">
        <v>416.14780000000002</v>
      </c>
      <c r="G22" s="94">
        <v>0.5</v>
      </c>
      <c r="H22" s="94">
        <f t="shared" si="2"/>
        <v>208.07390000000001</v>
      </c>
      <c r="I22" s="94">
        <f t="shared" si="10"/>
        <v>91.926099999999991</v>
      </c>
      <c r="J22" s="93">
        <f t="shared" si="11"/>
        <v>69.35796666666667</v>
      </c>
      <c r="K22" s="302" t="s">
        <v>361</v>
      </c>
      <c r="L22" s="106">
        <v>692.19500000000005</v>
      </c>
      <c r="M22" s="106">
        <v>300</v>
      </c>
      <c r="N22" s="105">
        <f t="shared" si="8"/>
        <v>416.14780000000002</v>
      </c>
      <c r="O22" s="205">
        <f t="shared" si="12"/>
        <v>91.926099999999991</v>
      </c>
      <c r="P22" s="82" t="str">
        <f t="shared" si="9"/>
        <v>No</v>
      </c>
      <c r="Q22" s="356"/>
      <c r="R22" s="356"/>
      <c r="S22" s="253"/>
    </row>
    <row r="23" spans="1:38" ht="14.25" customHeight="1" thickBot="1">
      <c r="A23" s="499"/>
      <c r="B23" s="96" t="s">
        <v>415</v>
      </c>
      <c r="C23" s="95" t="s">
        <v>414</v>
      </c>
      <c r="D23" s="108">
        <v>370.31</v>
      </c>
      <c r="E23" s="108">
        <v>200</v>
      </c>
      <c r="F23" s="108">
        <v>24.103000000000002</v>
      </c>
      <c r="G23" s="94">
        <v>0.5</v>
      </c>
      <c r="H23" s="94">
        <f t="shared" si="2"/>
        <v>12.051500000000001</v>
      </c>
      <c r="I23" s="94">
        <f t="shared" si="10"/>
        <v>187.9485</v>
      </c>
      <c r="J23" s="93">
        <f t="shared" si="11"/>
        <v>6.0257500000000004</v>
      </c>
      <c r="K23" s="302" t="s">
        <v>413</v>
      </c>
      <c r="L23" s="106">
        <v>820.63</v>
      </c>
      <c r="M23" s="106">
        <v>150</v>
      </c>
      <c r="N23" s="105">
        <f t="shared" si="8"/>
        <v>24.103000000000002</v>
      </c>
      <c r="O23" s="205">
        <f t="shared" si="12"/>
        <v>137.9485</v>
      </c>
      <c r="P23" s="82" t="str">
        <f t="shared" si="9"/>
        <v>No</v>
      </c>
      <c r="Q23" s="356"/>
      <c r="R23" s="356"/>
      <c r="S23" s="253"/>
      <c r="T23" s="241"/>
      <c r="U23" s="58"/>
      <c r="AA23" s="494" t="s">
        <v>562</v>
      </c>
      <c r="AB23" s="495"/>
      <c r="AC23" s="495"/>
      <c r="AD23" s="495"/>
      <c r="AE23" s="495"/>
      <c r="AF23" s="496"/>
      <c r="AG23" s="166"/>
    </row>
    <row r="24" spans="1:38" ht="14.25" customHeight="1" thickBot="1">
      <c r="A24" s="499"/>
      <c r="B24" s="96" t="s">
        <v>397</v>
      </c>
      <c r="C24" s="95" t="s">
        <v>412</v>
      </c>
      <c r="D24" s="94">
        <v>530.30999999999995</v>
      </c>
      <c r="E24" s="94">
        <v>200</v>
      </c>
      <c r="F24" s="94">
        <v>22.35</v>
      </c>
      <c r="G24" s="73">
        <v>0.5</v>
      </c>
      <c r="H24" s="73">
        <f t="shared" si="2"/>
        <v>11.175000000000001</v>
      </c>
      <c r="I24" s="94">
        <f t="shared" si="10"/>
        <v>188.82499999999999</v>
      </c>
      <c r="J24" s="93">
        <f t="shared" si="11"/>
        <v>5.5875000000000004</v>
      </c>
      <c r="K24" s="301" t="s">
        <v>411</v>
      </c>
      <c r="L24" s="92">
        <v>660.63</v>
      </c>
      <c r="M24" s="92">
        <v>150</v>
      </c>
      <c r="N24" s="91">
        <f t="shared" si="8"/>
        <v>22.35</v>
      </c>
      <c r="O24" s="205">
        <f t="shared" si="12"/>
        <v>138.82499999999999</v>
      </c>
      <c r="P24" s="82" t="str">
        <f t="shared" si="9"/>
        <v>No</v>
      </c>
      <c r="Q24" s="356"/>
      <c r="R24" s="356"/>
      <c r="T24" s="553" t="s">
        <v>454</v>
      </c>
      <c r="U24" s="554"/>
      <c r="V24" s="358"/>
      <c r="AA24" s="336" t="s">
        <v>470</v>
      </c>
      <c r="AB24" s="338" t="s">
        <v>471</v>
      </c>
      <c r="AC24" s="338" t="s">
        <v>472</v>
      </c>
      <c r="AD24" s="338" t="s">
        <v>473</v>
      </c>
      <c r="AE24" s="338" t="s">
        <v>474</v>
      </c>
      <c r="AF24" s="339" t="s">
        <v>527</v>
      </c>
      <c r="AG24" s="340" t="s">
        <v>418</v>
      </c>
    </row>
    <row r="25" spans="1:38" ht="13.5" thickBot="1">
      <c r="A25" s="164" t="s">
        <v>410</v>
      </c>
      <c r="B25" s="87" t="s">
        <v>409</v>
      </c>
      <c r="C25" s="163"/>
      <c r="D25" s="85"/>
      <c r="E25" s="85"/>
      <c r="F25" s="85"/>
      <c r="G25" s="184">
        <v>0.5</v>
      </c>
      <c r="H25" s="184">
        <f t="shared" si="2"/>
        <v>0</v>
      </c>
      <c r="I25" s="184"/>
      <c r="J25" s="183"/>
      <c r="K25" s="100"/>
      <c r="L25" s="83"/>
      <c r="M25" s="83"/>
      <c r="N25" s="82"/>
      <c r="O25" s="100"/>
      <c r="P25" s="82"/>
      <c r="Q25" s="255"/>
      <c r="R25" s="255"/>
      <c r="T25" s="90"/>
      <c r="U25" s="357"/>
      <c r="V25" s="99"/>
      <c r="AA25" s="60" t="s">
        <v>84</v>
      </c>
      <c r="AB25" s="343">
        <f>AG4+U4</f>
        <v>0</v>
      </c>
      <c r="AC25" s="343">
        <f t="shared" ref="AC25:AF36" si="15">AH4+V4</f>
        <v>3</v>
      </c>
      <c r="AD25" s="343">
        <f t="shared" si="15"/>
        <v>2</v>
      </c>
      <c r="AE25" s="343">
        <f t="shared" si="15"/>
        <v>1</v>
      </c>
      <c r="AF25" s="343">
        <f t="shared" si="15"/>
        <v>0</v>
      </c>
      <c r="AG25" s="344">
        <f>SUM(AB25:AF25)</f>
        <v>6</v>
      </c>
    </row>
    <row r="26" spans="1:38" ht="15" customHeight="1" thickBot="1">
      <c r="A26" s="519" t="s">
        <v>408</v>
      </c>
      <c r="B26" s="160" t="s">
        <v>14</v>
      </c>
      <c r="C26" s="86" t="s">
        <v>407</v>
      </c>
      <c r="D26" s="85">
        <v>391.72</v>
      </c>
      <c r="E26" s="84">
        <v>400</v>
      </c>
      <c r="F26" s="85">
        <v>664.51419999999996</v>
      </c>
      <c r="G26" s="85">
        <v>0.5</v>
      </c>
      <c r="H26" s="85">
        <f t="shared" si="2"/>
        <v>332.25709999999998</v>
      </c>
      <c r="I26" s="94">
        <f>E26-H26</f>
        <v>67.74290000000002</v>
      </c>
      <c r="J26" s="93">
        <f>H26/E26*100</f>
        <v>83.064274999999995</v>
      </c>
      <c r="K26" s="100" t="s">
        <v>406</v>
      </c>
      <c r="L26" s="83">
        <v>799.22</v>
      </c>
      <c r="M26" s="83">
        <v>300</v>
      </c>
      <c r="N26" s="82">
        <f t="shared" ref="N26:N56" si="16">F26</f>
        <v>664.51419999999996</v>
      </c>
      <c r="O26" s="124">
        <f>M26-H26</f>
        <v>-32.25709999999998</v>
      </c>
      <c r="P26" s="220" t="str">
        <f t="shared" ref="P26:P56" si="17">IF(O26&gt;=0,"No","Yes")</f>
        <v>Yes</v>
      </c>
      <c r="Q26" s="557" t="s">
        <v>351</v>
      </c>
      <c r="R26" s="560" t="s">
        <v>351</v>
      </c>
      <c r="T26" s="138" t="s">
        <v>390</v>
      </c>
      <c r="U26" s="137" t="s">
        <v>389</v>
      </c>
      <c r="V26" s="136" t="s">
        <v>388</v>
      </c>
      <c r="AA26" s="60" t="s">
        <v>85</v>
      </c>
      <c r="AB26" s="343">
        <f t="shared" ref="AB26:AB36" si="18">AG5+U5</f>
        <v>0</v>
      </c>
      <c r="AC26" s="343">
        <f t="shared" si="15"/>
        <v>4</v>
      </c>
      <c r="AD26" s="343">
        <f t="shared" si="15"/>
        <v>3</v>
      </c>
      <c r="AE26" s="343">
        <f t="shared" si="15"/>
        <v>0</v>
      </c>
      <c r="AF26" s="343">
        <f t="shared" si="15"/>
        <v>2</v>
      </c>
      <c r="AG26" s="60">
        <f t="shared" ref="AG26:AG36" si="19">SUM(AB26:AF26)</f>
        <v>9</v>
      </c>
    </row>
    <row r="27" spans="1:38" ht="14.25" customHeight="1" thickBot="1">
      <c r="A27" s="520"/>
      <c r="B27" s="75" t="s">
        <v>360</v>
      </c>
      <c r="C27" s="74" t="s">
        <v>55</v>
      </c>
      <c r="D27" s="157">
        <v>566.26</v>
      </c>
      <c r="E27" s="157">
        <v>300</v>
      </c>
      <c r="F27" s="157">
        <v>424.66829999999999</v>
      </c>
      <c r="G27" s="73">
        <v>0.5</v>
      </c>
      <c r="H27" s="73">
        <f t="shared" si="2"/>
        <v>212.33414999999999</v>
      </c>
      <c r="I27" s="94">
        <f t="shared" ref="I27:I56" si="20">E27-H27</f>
        <v>87.665850000000006</v>
      </c>
      <c r="J27" s="93">
        <f t="shared" ref="J27:J56" si="21">F27/E27*100</f>
        <v>141.55610000000001</v>
      </c>
      <c r="K27" s="300" t="s">
        <v>405</v>
      </c>
      <c r="L27" s="156">
        <v>973.76</v>
      </c>
      <c r="M27" s="156">
        <v>300</v>
      </c>
      <c r="N27" s="71">
        <f t="shared" si="16"/>
        <v>424.66829999999999</v>
      </c>
      <c r="O27" s="237">
        <f>M27-H27</f>
        <v>87.665850000000006</v>
      </c>
      <c r="P27" s="203" t="str">
        <f t="shared" si="17"/>
        <v>No</v>
      </c>
      <c r="Q27" s="558"/>
      <c r="R27" s="562"/>
      <c r="T27" s="133"/>
      <c r="U27" s="132"/>
      <c r="V27" s="99"/>
      <c r="AA27" s="60" t="s">
        <v>86</v>
      </c>
      <c r="AB27" s="343">
        <f t="shared" si="18"/>
        <v>0</v>
      </c>
      <c r="AC27" s="343">
        <f t="shared" si="15"/>
        <v>0</v>
      </c>
      <c r="AD27" s="343">
        <f t="shared" si="15"/>
        <v>2</v>
      </c>
      <c r="AE27" s="343">
        <f t="shared" si="15"/>
        <v>0</v>
      </c>
      <c r="AF27" s="343">
        <f t="shared" si="15"/>
        <v>1</v>
      </c>
      <c r="AG27" s="60">
        <f t="shared" si="19"/>
        <v>3</v>
      </c>
    </row>
    <row r="28" spans="1:38" ht="15" customHeight="1" thickBot="1">
      <c r="A28" s="499" t="s">
        <v>404</v>
      </c>
      <c r="B28" s="63" t="s">
        <v>6</v>
      </c>
      <c r="C28" s="114" t="s">
        <v>47</v>
      </c>
      <c r="D28" s="94">
        <v>341.46499999999997</v>
      </c>
      <c r="E28" s="93">
        <v>400</v>
      </c>
      <c r="F28" s="94">
        <v>414.50749999999999</v>
      </c>
      <c r="G28" s="85">
        <v>0.5</v>
      </c>
      <c r="H28" s="85">
        <f t="shared" si="2"/>
        <v>207.25375</v>
      </c>
      <c r="I28" s="85">
        <f t="shared" si="20"/>
        <v>192.74625</v>
      </c>
      <c r="J28" s="84">
        <f t="shared" si="21"/>
        <v>103.62687500000001</v>
      </c>
      <c r="K28" s="301" t="s">
        <v>403</v>
      </c>
      <c r="L28" s="92">
        <v>849.47500000000002</v>
      </c>
      <c r="M28" s="92">
        <v>400</v>
      </c>
      <c r="N28" s="91">
        <f t="shared" si="16"/>
        <v>414.50749999999999</v>
      </c>
      <c r="O28" s="237">
        <f t="shared" ref="O28:O29" si="22">M28-H28</f>
        <v>192.74625</v>
      </c>
      <c r="P28" s="203" t="str">
        <f t="shared" si="17"/>
        <v>No</v>
      </c>
      <c r="Q28" s="557" t="s">
        <v>351</v>
      </c>
      <c r="R28" s="560" t="s">
        <v>351</v>
      </c>
      <c r="T28" s="133"/>
      <c r="U28" s="132"/>
      <c r="V28" s="230"/>
      <c r="AA28" s="60" t="s">
        <v>87</v>
      </c>
      <c r="AB28" s="343">
        <f t="shared" si="18"/>
        <v>0</v>
      </c>
      <c r="AC28" s="343">
        <f t="shared" si="15"/>
        <v>7</v>
      </c>
      <c r="AD28" s="343">
        <f t="shared" si="15"/>
        <v>10</v>
      </c>
      <c r="AE28" s="343">
        <f t="shared" si="15"/>
        <v>6</v>
      </c>
      <c r="AF28" s="343">
        <f t="shared" si="15"/>
        <v>0</v>
      </c>
      <c r="AG28" s="60">
        <f t="shared" si="19"/>
        <v>23</v>
      </c>
    </row>
    <row r="29" spans="1:38" ht="14.25" customHeight="1" thickBot="1">
      <c r="A29" s="499"/>
      <c r="B29" s="63" t="s">
        <v>402</v>
      </c>
      <c r="C29" s="114" t="s">
        <v>386</v>
      </c>
      <c r="D29" s="94">
        <v>894.93</v>
      </c>
      <c r="E29" s="93">
        <v>150</v>
      </c>
      <c r="F29" s="94">
        <v>185.4342</v>
      </c>
      <c r="G29" s="94">
        <v>0.5</v>
      </c>
      <c r="H29" s="94">
        <f t="shared" si="2"/>
        <v>92.717100000000002</v>
      </c>
      <c r="I29" s="94">
        <f t="shared" si="20"/>
        <v>57.282899999999998</v>
      </c>
      <c r="J29" s="93">
        <f t="shared" si="21"/>
        <v>123.62280000000001</v>
      </c>
      <c r="K29" s="301" t="s">
        <v>385</v>
      </c>
      <c r="L29" s="92">
        <v>975.03499999999997</v>
      </c>
      <c r="M29" s="92">
        <v>150</v>
      </c>
      <c r="N29" s="91">
        <f t="shared" si="16"/>
        <v>185.4342</v>
      </c>
      <c r="O29" s="237">
        <f t="shared" si="22"/>
        <v>57.282899999999998</v>
      </c>
      <c r="P29" s="203" t="str">
        <f t="shared" si="17"/>
        <v>No</v>
      </c>
      <c r="Q29" s="559"/>
      <c r="R29" s="561"/>
      <c r="T29" s="227" t="s">
        <v>351</v>
      </c>
      <c r="U29" s="226" t="s">
        <v>351</v>
      </c>
      <c r="V29" s="89"/>
      <c r="AA29" s="60" t="s">
        <v>88</v>
      </c>
      <c r="AB29" s="343">
        <f t="shared" si="18"/>
        <v>0</v>
      </c>
      <c r="AC29" s="343">
        <f t="shared" si="15"/>
        <v>0</v>
      </c>
      <c r="AD29" s="343">
        <f t="shared" si="15"/>
        <v>7</v>
      </c>
      <c r="AE29" s="343">
        <f t="shared" si="15"/>
        <v>1</v>
      </c>
      <c r="AF29" s="343">
        <f t="shared" si="15"/>
        <v>0</v>
      </c>
      <c r="AG29" s="60">
        <f t="shared" si="19"/>
        <v>8</v>
      </c>
    </row>
    <row r="30" spans="1:38" ht="14.25" customHeight="1" thickBot="1">
      <c r="A30" s="499"/>
      <c r="B30" s="96" t="s">
        <v>401</v>
      </c>
      <c r="C30" s="95" t="s">
        <v>378</v>
      </c>
      <c r="D30" s="108">
        <v>839.23</v>
      </c>
      <c r="E30" s="108">
        <v>150</v>
      </c>
      <c r="F30" s="108">
        <v>213.84829999999999</v>
      </c>
      <c r="G30" s="94">
        <v>0.5</v>
      </c>
      <c r="H30" s="94">
        <f t="shared" si="2"/>
        <v>106.92415</v>
      </c>
      <c r="I30" s="94">
        <f t="shared" si="20"/>
        <v>43.075850000000003</v>
      </c>
      <c r="J30" s="93">
        <f t="shared" si="21"/>
        <v>142.56553333333332</v>
      </c>
      <c r="K30" s="302" t="s">
        <v>400</v>
      </c>
      <c r="L30" s="106">
        <v>1347.24</v>
      </c>
      <c r="M30" s="106">
        <v>100</v>
      </c>
      <c r="N30" s="105">
        <f t="shared" si="16"/>
        <v>213.84829999999999</v>
      </c>
      <c r="O30" s="235">
        <f>M30-H30</f>
        <v>-6.9241499999999974</v>
      </c>
      <c r="P30" s="220" t="str">
        <f t="shared" si="17"/>
        <v>Yes</v>
      </c>
      <c r="Q30" s="559"/>
      <c r="R30" s="561"/>
      <c r="T30" s="165" t="s">
        <v>369</v>
      </c>
      <c r="U30" s="259">
        <f>SUM(U27:U29)</f>
        <v>0</v>
      </c>
      <c r="V30" s="357"/>
      <c r="AA30" s="60" t="s">
        <v>89</v>
      </c>
      <c r="AB30" s="343">
        <f t="shared" si="18"/>
        <v>0</v>
      </c>
      <c r="AC30" s="343">
        <f t="shared" si="15"/>
        <v>5</v>
      </c>
      <c r="AD30" s="343">
        <f t="shared" si="15"/>
        <v>1</v>
      </c>
      <c r="AE30" s="343">
        <f t="shared" si="15"/>
        <v>1</v>
      </c>
      <c r="AF30" s="343">
        <f t="shared" si="15"/>
        <v>0</v>
      </c>
      <c r="AG30" s="60">
        <f t="shared" si="19"/>
        <v>7</v>
      </c>
    </row>
    <row r="31" spans="1:38" ht="14.25" customHeight="1" thickBot="1">
      <c r="A31" s="499"/>
      <c r="B31" s="96" t="s">
        <v>399</v>
      </c>
      <c r="C31" s="95" t="s">
        <v>52</v>
      </c>
      <c r="D31" s="94">
        <v>428.91</v>
      </c>
      <c r="E31" s="93">
        <v>200</v>
      </c>
      <c r="F31" s="94">
        <v>320.7817</v>
      </c>
      <c r="G31" s="94">
        <v>0.5</v>
      </c>
      <c r="H31" s="94">
        <f t="shared" si="2"/>
        <v>160.39085</v>
      </c>
      <c r="I31" s="94">
        <f t="shared" si="20"/>
        <v>39.60915</v>
      </c>
      <c r="J31" s="93">
        <f t="shared" si="21"/>
        <v>160.39085</v>
      </c>
      <c r="K31" s="301" t="s">
        <v>398</v>
      </c>
      <c r="L31" s="92">
        <v>762.03</v>
      </c>
      <c r="M31" s="92">
        <v>150</v>
      </c>
      <c r="N31" s="91">
        <f t="shared" si="16"/>
        <v>320.7817</v>
      </c>
      <c r="O31" s="235">
        <f>M31-H31</f>
        <v>-10.39085</v>
      </c>
      <c r="P31" s="220" t="str">
        <f t="shared" si="17"/>
        <v>Yes</v>
      </c>
      <c r="Q31" s="559"/>
      <c r="R31" s="561"/>
      <c r="T31" s="258" t="s">
        <v>365</v>
      </c>
      <c r="U31" s="257">
        <f>U30/9100.11497</f>
        <v>0</v>
      </c>
      <c r="V31" s="357"/>
      <c r="W31" s="357"/>
      <c r="X31" s="17"/>
      <c r="AA31" s="60" t="s">
        <v>90</v>
      </c>
      <c r="AB31" s="343">
        <f t="shared" si="18"/>
        <v>0</v>
      </c>
      <c r="AC31" s="343">
        <f t="shared" si="15"/>
        <v>0</v>
      </c>
      <c r="AD31" s="343">
        <f t="shared" si="15"/>
        <v>1</v>
      </c>
      <c r="AE31" s="343">
        <f t="shared" si="15"/>
        <v>1</v>
      </c>
      <c r="AF31" s="343">
        <f t="shared" si="15"/>
        <v>1</v>
      </c>
      <c r="AG31" s="60">
        <f t="shared" si="19"/>
        <v>3</v>
      </c>
    </row>
    <row r="32" spans="1:38" ht="14.25" customHeight="1" thickBot="1">
      <c r="A32" s="499"/>
      <c r="B32" s="96" t="s">
        <v>396</v>
      </c>
      <c r="C32" s="95" t="s">
        <v>56</v>
      </c>
      <c r="D32" s="94">
        <v>268.91000000000003</v>
      </c>
      <c r="E32" s="94">
        <v>250</v>
      </c>
      <c r="F32" s="94">
        <v>277.57420000000002</v>
      </c>
      <c r="G32" s="73">
        <v>0.5</v>
      </c>
      <c r="H32" s="73">
        <f t="shared" si="2"/>
        <v>138.78710000000001</v>
      </c>
      <c r="I32" s="73">
        <f t="shared" si="20"/>
        <v>111.21289999999999</v>
      </c>
      <c r="J32" s="299">
        <f t="shared" si="21"/>
        <v>111.02968</v>
      </c>
      <c r="K32" s="301" t="s">
        <v>395</v>
      </c>
      <c r="L32" s="92">
        <v>922.03</v>
      </c>
      <c r="M32" s="92">
        <v>250</v>
      </c>
      <c r="N32" s="105">
        <f t="shared" si="16"/>
        <v>277.57420000000002</v>
      </c>
      <c r="O32" s="143">
        <f>M32-H32</f>
        <v>111.21289999999999</v>
      </c>
      <c r="P32" s="203" t="str">
        <f t="shared" si="17"/>
        <v>No</v>
      </c>
      <c r="Q32" s="558"/>
      <c r="R32" s="562"/>
      <c r="T32" s="135"/>
      <c r="U32" s="135"/>
      <c r="V32" s="135"/>
      <c r="W32" s="357"/>
      <c r="AA32" s="60" t="s">
        <v>91</v>
      </c>
      <c r="AB32" s="343">
        <f t="shared" si="18"/>
        <v>0</v>
      </c>
      <c r="AC32" s="343">
        <f t="shared" si="15"/>
        <v>7</v>
      </c>
      <c r="AD32" s="343">
        <f t="shared" si="15"/>
        <v>2</v>
      </c>
      <c r="AE32" s="343">
        <f t="shared" si="15"/>
        <v>1</v>
      </c>
      <c r="AF32" s="343">
        <f t="shared" si="15"/>
        <v>0</v>
      </c>
      <c r="AG32" s="60">
        <f t="shared" si="19"/>
        <v>10</v>
      </c>
    </row>
    <row r="33" spans="1:33" ht="13.5" thickBot="1">
      <c r="A33" s="497" t="s">
        <v>382</v>
      </c>
      <c r="B33" s="87" t="s">
        <v>393</v>
      </c>
      <c r="C33" s="86" t="s">
        <v>392</v>
      </c>
      <c r="D33" s="85">
        <v>774.56</v>
      </c>
      <c r="E33" s="85">
        <v>450</v>
      </c>
      <c r="F33" s="85">
        <v>593.39</v>
      </c>
      <c r="G33" s="85">
        <v>0.5</v>
      </c>
      <c r="H33" s="85">
        <f t="shared" si="2"/>
        <v>296.69499999999999</v>
      </c>
      <c r="I33" s="94">
        <f t="shared" si="20"/>
        <v>153.30500000000001</v>
      </c>
      <c r="J33" s="93">
        <f t="shared" si="21"/>
        <v>131.86444444444444</v>
      </c>
      <c r="K33" s="100" t="s">
        <v>391</v>
      </c>
      <c r="L33" s="83">
        <v>778.62</v>
      </c>
      <c r="M33" s="83">
        <v>450</v>
      </c>
      <c r="N33" s="82">
        <f t="shared" si="16"/>
        <v>593.39</v>
      </c>
      <c r="O33" s="205">
        <f>M33-H33</f>
        <v>153.30500000000001</v>
      </c>
      <c r="P33" s="203" t="str">
        <f t="shared" si="17"/>
        <v>No</v>
      </c>
      <c r="Q33" s="239"/>
      <c r="R33" s="239"/>
      <c r="S33" s="253"/>
      <c r="T33" s="256"/>
      <c r="U33" s="256"/>
      <c r="V33" s="135"/>
      <c r="AA33" s="60" t="s">
        <v>92</v>
      </c>
      <c r="AB33" s="343">
        <f t="shared" si="18"/>
        <v>0</v>
      </c>
      <c r="AC33" s="343">
        <f t="shared" si="15"/>
        <v>2</v>
      </c>
      <c r="AD33" s="343">
        <f t="shared" si="15"/>
        <v>5</v>
      </c>
      <c r="AE33" s="343">
        <f t="shared" si="15"/>
        <v>0</v>
      </c>
      <c r="AF33" s="343">
        <f t="shared" si="15"/>
        <v>0</v>
      </c>
      <c r="AG33" s="60">
        <f t="shared" si="19"/>
        <v>7</v>
      </c>
    </row>
    <row r="34" spans="1:33" ht="14.25" customHeight="1" thickBot="1">
      <c r="A34" s="499"/>
      <c r="B34" s="96" t="s">
        <v>387</v>
      </c>
      <c r="C34" s="95" t="s">
        <v>386</v>
      </c>
      <c r="D34" s="108">
        <v>894.93</v>
      </c>
      <c r="E34" s="107">
        <v>150</v>
      </c>
      <c r="F34" s="108">
        <v>185.4342</v>
      </c>
      <c r="G34" s="94">
        <v>0.5</v>
      </c>
      <c r="H34" s="94">
        <f t="shared" si="2"/>
        <v>92.717100000000002</v>
      </c>
      <c r="I34" s="94">
        <f t="shared" si="20"/>
        <v>57.282899999999998</v>
      </c>
      <c r="J34" s="93">
        <f t="shared" si="21"/>
        <v>123.62280000000001</v>
      </c>
      <c r="K34" s="302" t="s">
        <v>385</v>
      </c>
      <c r="L34" s="106">
        <v>975.03499999999997</v>
      </c>
      <c r="M34" s="106">
        <v>150</v>
      </c>
      <c r="N34" s="105">
        <f t="shared" si="16"/>
        <v>185.4342</v>
      </c>
      <c r="O34" s="205">
        <f t="shared" ref="O34:O56" si="23">M34-H34</f>
        <v>57.282899999999998</v>
      </c>
      <c r="P34" s="203" t="str">
        <f t="shared" si="17"/>
        <v>No</v>
      </c>
      <c r="Q34" s="356"/>
      <c r="R34" s="356"/>
      <c r="S34" s="253"/>
      <c r="T34" s="135"/>
      <c r="U34" s="135"/>
      <c r="V34" s="135"/>
      <c r="AA34" s="60" t="s">
        <v>93</v>
      </c>
      <c r="AB34" s="343">
        <f t="shared" si="18"/>
        <v>0</v>
      </c>
      <c r="AC34" s="343">
        <f t="shared" si="15"/>
        <v>0</v>
      </c>
      <c r="AD34" s="343">
        <f t="shared" si="15"/>
        <v>2</v>
      </c>
      <c r="AE34" s="343">
        <f t="shared" si="15"/>
        <v>2</v>
      </c>
      <c r="AF34" s="343">
        <f t="shared" si="15"/>
        <v>0</v>
      </c>
      <c r="AG34" s="60">
        <f t="shared" si="19"/>
        <v>4</v>
      </c>
    </row>
    <row r="35" spans="1:33" ht="14.25" customHeight="1" thickBot="1">
      <c r="A35" s="499"/>
      <c r="B35" s="96" t="s">
        <v>383</v>
      </c>
      <c r="C35" s="95" t="s">
        <v>382</v>
      </c>
      <c r="D35" s="94">
        <v>553.46500000000003</v>
      </c>
      <c r="E35" s="93">
        <v>300</v>
      </c>
      <c r="F35" s="94">
        <v>491.47570000000002</v>
      </c>
      <c r="G35" s="73">
        <v>0.5</v>
      </c>
      <c r="H35" s="73">
        <f t="shared" si="2"/>
        <v>245.73785000000001</v>
      </c>
      <c r="I35" s="94">
        <f t="shared" si="20"/>
        <v>54.262149999999991</v>
      </c>
      <c r="J35" s="93">
        <f t="shared" si="21"/>
        <v>163.82523333333333</v>
      </c>
      <c r="K35" s="301" t="s">
        <v>381</v>
      </c>
      <c r="L35" s="92">
        <v>660.12</v>
      </c>
      <c r="M35" s="92">
        <v>300</v>
      </c>
      <c r="N35" s="91">
        <f t="shared" si="16"/>
        <v>491.47570000000002</v>
      </c>
      <c r="O35" s="205">
        <f t="shared" si="23"/>
        <v>54.262149999999991</v>
      </c>
      <c r="P35" s="203" t="str">
        <f t="shared" si="17"/>
        <v>No</v>
      </c>
      <c r="Q35" s="356"/>
      <c r="R35" s="356"/>
      <c r="S35" s="253"/>
      <c r="T35" s="256"/>
      <c r="U35" s="135"/>
      <c r="V35" s="135"/>
      <c r="W35" s="357"/>
      <c r="AA35" s="60" t="s">
        <v>94</v>
      </c>
      <c r="AB35" s="343">
        <f t="shared" si="18"/>
        <v>0</v>
      </c>
      <c r="AC35" s="343">
        <f t="shared" si="15"/>
        <v>1</v>
      </c>
      <c r="AD35" s="343">
        <f t="shared" si="15"/>
        <v>2</v>
      </c>
      <c r="AE35" s="343">
        <f t="shared" si="15"/>
        <v>3</v>
      </c>
      <c r="AF35" s="343">
        <f t="shared" si="15"/>
        <v>0</v>
      </c>
      <c r="AG35" s="60">
        <f t="shared" si="19"/>
        <v>6</v>
      </c>
    </row>
    <row r="36" spans="1:33" ht="13.5" thickBot="1">
      <c r="A36" s="497" t="s">
        <v>375</v>
      </c>
      <c r="B36" s="87" t="s">
        <v>379</v>
      </c>
      <c r="C36" s="86" t="s">
        <v>378</v>
      </c>
      <c r="D36" s="85">
        <v>839.23</v>
      </c>
      <c r="E36" s="84">
        <v>150</v>
      </c>
      <c r="F36" s="85">
        <v>213.84829999999999</v>
      </c>
      <c r="G36" s="85">
        <v>0.5</v>
      </c>
      <c r="H36" s="85">
        <f t="shared" si="2"/>
        <v>106.92415</v>
      </c>
      <c r="I36" s="85">
        <f t="shared" si="20"/>
        <v>43.075850000000003</v>
      </c>
      <c r="J36" s="84">
        <f t="shared" si="21"/>
        <v>142.56553333333332</v>
      </c>
      <c r="K36" s="100" t="s">
        <v>377</v>
      </c>
      <c r="L36" s="83">
        <v>844.89</v>
      </c>
      <c r="M36" s="83">
        <v>150</v>
      </c>
      <c r="N36" s="82">
        <f t="shared" si="16"/>
        <v>213.84829999999999</v>
      </c>
      <c r="O36" s="205">
        <f t="shared" si="23"/>
        <v>43.075850000000003</v>
      </c>
      <c r="P36" s="203" t="str">
        <f t="shared" si="17"/>
        <v>No</v>
      </c>
      <c r="Q36" s="356"/>
      <c r="R36" s="356"/>
      <c r="S36" s="253"/>
      <c r="AA36" s="326" t="s">
        <v>469</v>
      </c>
      <c r="AB36" s="343">
        <f t="shared" si="18"/>
        <v>0</v>
      </c>
      <c r="AC36" s="343">
        <f t="shared" si="15"/>
        <v>1</v>
      </c>
      <c r="AD36" s="343">
        <f t="shared" si="15"/>
        <v>1</v>
      </c>
      <c r="AE36" s="343">
        <f t="shared" si="15"/>
        <v>0</v>
      </c>
      <c r="AF36" s="343">
        <f t="shared" si="15"/>
        <v>0</v>
      </c>
      <c r="AG36" s="326">
        <f t="shared" si="19"/>
        <v>2</v>
      </c>
    </row>
    <row r="37" spans="1:33" ht="14.25" customHeight="1" thickBot="1">
      <c r="A37" s="499"/>
      <c r="B37" s="96" t="s">
        <v>376</v>
      </c>
      <c r="C37" s="95" t="s">
        <v>375</v>
      </c>
      <c r="D37" s="94">
        <v>497.76499999999999</v>
      </c>
      <c r="E37" s="94">
        <v>800</v>
      </c>
      <c r="F37" s="94">
        <v>1151.328</v>
      </c>
      <c r="G37" s="73">
        <v>0.5</v>
      </c>
      <c r="H37" s="73">
        <f t="shared" si="2"/>
        <v>575.66399999999999</v>
      </c>
      <c r="I37" s="73">
        <f t="shared" si="20"/>
        <v>224.33600000000001</v>
      </c>
      <c r="J37" s="299">
        <f t="shared" si="21"/>
        <v>143.916</v>
      </c>
      <c r="K37" s="301" t="s">
        <v>374</v>
      </c>
      <c r="L37" s="92">
        <v>503.42500000000001</v>
      </c>
      <c r="M37" s="92">
        <v>800</v>
      </c>
      <c r="N37" s="91">
        <f t="shared" si="16"/>
        <v>1151.328</v>
      </c>
      <c r="O37" s="205">
        <f t="shared" si="23"/>
        <v>224.33600000000001</v>
      </c>
      <c r="P37" s="203" t="str">
        <f t="shared" si="17"/>
        <v>No</v>
      </c>
      <c r="Q37" s="255"/>
      <c r="R37" s="255"/>
      <c r="S37" s="253"/>
      <c r="AA37" s="340" t="s">
        <v>479</v>
      </c>
      <c r="AB37" s="349">
        <f>SUM(AB25:AB36)</f>
        <v>0</v>
      </c>
      <c r="AC37" s="349">
        <f>SUM(AC25:AC36)</f>
        <v>30</v>
      </c>
      <c r="AD37" s="349">
        <f>SUM(AD25:AD36)</f>
        <v>38</v>
      </c>
      <c r="AE37" s="349">
        <f>SUM(AE25:AE36)</f>
        <v>16</v>
      </c>
      <c r="AF37" s="349">
        <f>SUM(AF25:AF36)</f>
        <v>4</v>
      </c>
      <c r="AG37" s="350">
        <f t="shared" ref="AG37" si="24">SUM(AG25:AG36)</f>
        <v>88</v>
      </c>
    </row>
    <row r="38" spans="1:33" ht="13.5" thickBot="1">
      <c r="A38" s="353" t="s">
        <v>372</v>
      </c>
      <c r="B38" s="87" t="s">
        <v>373</v>
      </c>
      <c r="C38" s="86" t="s">
        <v>372</v>
      </c>
      <c r="D38" s="85">
        <v>285.27999999999997</v>
      </c>
      <c r="E38" s="85">
        <v>500</v>
      </c>
      <c r="F38" s="85">
        <v>779.52329999999995</v>
      </c>
      <c r="G38" s="184">
        <v>0.5</v>
      </c>
      <c r="H38" s="184">
        <f t="shared" si="2"/>
        <v>389.76164999999997</v>
      </c>
      <c r="I38" s="94">
        <f t="shared" si="20"/>
        <v>110.23835000000003</v>
      </c>
      <c r="J38" s="93">
        <f t="shared" si="21"/>
        <v>155.90465999999998</v>
      </c>
      <c r="K38" s="100" t="s">
        <v>371</v>
      </c>
      <c r="L38" s="83">
        <v>539.80499999999995</v>
      </c>
      <c r="M38" s="83">
        <v>300</v>
      </c>
      <c r="N38" s="82">
        <f t="shared" si="16"/>
        <v>779.52329999999995</v>
      </c>
      <c r="O38" s="281">
        <f t="shared" si="23"/>
        <v>-89.761649999999975</v>
      </c>
      <c r="P38" s="220" t="str">
        <f t="shared" si="17"/>
        <v>Yes</v>
      </c>
      <c r="Q38" s="222" t="s">
        <v>351</v>
      </c>
      <c r="R38" s="221" t="s">
        <v>351</v>
      </c>
      <c r="AA38" s="340" t="s">
        <v>478</v>
      </c>
      <c r="AB38" s="351">
        <f>PRODUCT(AB37*AD7)</f>
        <v>0</v>
      </c>
      <c r="AC38" s="416">
        <f>PRODUCT(AC37*AD8)</f>
        <v>491.06700000000001</v>
      </c>
      <c r="AD38" s="416">
        <f>PRODUCT(AD37*AD9)</f>
        <v>636.37459999999999</v>
      </c>
      <c r="AE38" s="416">
        <f>PRODUCT(AE37*AD10)</f>
        <v>270.18560000000002</v>
      </c>
      <c r="AF38" s="416">
        <f>PRODUCT(AF37*AD11)</f>
        <v>68</v>
      </c>
      <c r="AG38" s="421">
        <f>SUM(AB38:AF38)</f>
        <v>1465.6272000000001</v>
      </c>
    </row>
    <row r="39" spans="1:33" ht="13.5" thickBot="1">
      <c r="A39" s="497" t="s">
        <v>60</v>
      </c>
      <c r="B39" s="87" t="s">
        <v>368</v>
      </c>
      <c r="C39" s="86" t="s">
        <v>367</v>
      </c>
      <c r="D39" s="85">
        <v>239.47</v>
      </c>
      <c r="E39" s="84">
        <v>750</v>
      </c>
      <c r="F39" s="85">
        <v>886.15449999999998</v>
      </c>
      <c r="G39" s="85">
        <v>0.5</v>
      </c>
      <c r="H39" s="85">
        <f t="shared" si="2"/>
        <v>443.07724999999999</v>
      </c>
      <c r="I39" s="85">
        <f t="shared" si="20"/>
        <v>306.92275000000001</v>
      </c>
      <c r="J39" s="84">
        <f t="shared" si="21"/>
        <v>118.15393333333333</v>
      </c>
      <c r="K39" s="100" t="s">
        <v>366</v>
      </c>
      <c r="L39" s="83">
        <v>585.61500000000001</v>
      </c>
      <c r="M39" s="83">
        <v>450</v>
      </c>
      <c r="N39" s="82">
        <f t="shared" si="16"/>
        <v>886.15449999999998</v>
      </c>
      <c r="O39" s="205">
        <f t="shared" si="23"/>
        <v>6.9227500000000077</v>
      </c>
      <c r="P39" s="203" t="str">
        <f t="shared" si="17"/>
        <v>No</v>
      </c>
      <c r="Q39" s="219" t="s">
        <v>351</v>
      </c>
      <c r="R39" s="218" t="s">
        <v>351</v>
      </c>
      <c r="AA39" s="340" t="s">
        <v>528</v>
      </c>
      <c r="AB39" s="351">
        <f>AB37*AC7</f>
        <v>0</v>
      </c>
      <c r="AC39" s="351">
        <f>AC37*AC8</f>
        <v>4500</v>
      </c>
      <c r="AD39" s="351">
        <f>AD37*AC9</f>
        <v>7600</v>
      </c>
      <c r="AE39" s="351">
        <f>AE37*AC10</f>
        <v>4000</v>
      </c>
      <c r="AF39" s="351">
        <f>AF37*AC11</f>
        <v>1200</v>
      </c>
      <c r="AG39" s="340">
        <f>SUM(AB39:AF39)</f>
        <v>17300</v>
      </c>
    </row>
    <row r="40" spans="1:33" ht="14.25" customHeight="1" thickBot="1">
      <c r="A40" s="498"/>
      <c r="B40" s="75" t="s">
        <v>364</v>
      </c>
      <c r="C40" s="74" t="s">
        <v>61</v>
      </c>
      <c r="D40" s="73">
        <v>381.34</v>
      </c>
      <c r="E40" s="73">
        <v>200</v>
      </c>
      <c r="F40" s="73">
        <v>233.80699999999999</v>
      </c>
      <c r="G40" s="73">
        <v>0.5</v>
      </c>
      <c r="H40" s="73">
        <f t="shared" si="2"/>
        <v>116.90349999999999</v>
      </c>
      <c r="I40" s="73">
        <f t="shared" si="20"/>
        <v>83.096500000000006</v>
      </c>
      <c r="J40" s="299">
        <f t="shared" si="21"/>
        <v>116.90350000000001</v>
      </c>
      <c r="K40" s="303" t="s">
        <v>328</v>
      </c>
      <c r="L40" s="72">
        <v>673.16499999999996</v>
      </c>
      <c r="M40" s="72">
        <v>150</v>
      </c>
      <c r="N40" s="119">
        <f t="shared" si="16"/>
        <v>233.80699999999999</v>
      </c>
      <c r="O40" s="205">
        <f t="shared" si="23"/>
        <v>33.096500000000006</v>
      </c>
      <c r="P40" s="203" t="str">
        <f t="shared" si="17"/>
        <v>No</v>
      </c>
      <c r="Q40" s="217"/>
      <c r="R40" s="216"/>
    </row>
    <row r="41" spans="1:33" ht="13.5" thickBot="1">
      <c r="A41" s="499" t="s">
        <v>363</v>
      </c>
      <c r="B41" s="63" t="s">
        <v>362</v>
      </c>
      <c r="C41" s="114" t="s">
        <v>74</v>
      </c>
      <c r="D41" s="94">
        <v>632.29499999999996</v>
      </c>
      <c r="E41" s="94">
        <v>300</v>
      </c>
      <c r="F41" s="94">
        <v>416.14780000000002</v>
      </c>
      <c r="G41" s="85">
        <v>0.5</v>
      </c>
      <c r="H41" s="85">
        <f t="shared" si="2"/>
        <v>208.07390000000001</v>
      </c>
      <c r="I41" s="94">
        <f t="shared" si="20"/>
        <v>91.926099999999991</v>
      </c>
      <c r="J41" s="93">
        <f t="shared" si="21"/>
        <v>138.71593333333334</v>
      </c>
      <c r="K41" s="301" t="s">
        <v>361</v>
      </c>
      <c r="L41" s="92">
        <v>692.19500000000005</v>
      </c>
      <c r="M41" s="92">
        <v>300</v>
      </c>
      <c r="N41" s="91">
        <f t="shared" si="16"/>
        <v>416.14780000000002</v>
      </c>
      <c r="O41" s="205">
        <f t="shared" si="23"/>
        <v>91.926099999999991</v>
      </c>
      <c r="P41" s="203" t="str">
        <f t="shared" si="17"/>
        <v>No</v>
      </c>
      <c r="Q41" s="239"/>
      <c r="R41" s="239"/>
    </row>
    <row r="42" spans="1:33" ht="14.25" customHeight="1" thickBot="1">
      <c r="A42" s="499"/>
      <c r="B42" s="96" t="s">
        <v>360</v>
      </c>
      <c r="C42" s="95" t="s">
        <v>55</v>
      </c>
      <c r="D42" s="108">
        <v>566.26</v>
      </c>
      <c r="E42" s="108">
        <v>300</v>
      </c>
      <c r="F42" s="108">
        <v>424.66829999999999</v>
      </c>
      <c r="G42" s="94">
        <v>0.5</v>
      </c>
      <c r="H42" s="94">
        <f t="shared" si="2"/>
        <v>212.33414999999999</v>
      </c>
      <c r="I42" s="94">
        <f t="shared" si="20"/>
        <v>87.665850000000006</v>
      </c>
      <c r="J42" s="93">
        <f t="shared" si="21"/>
        <v>141.55610000000001</v>
      </c>
      <c r="K42" s="302" t="s">
        <v>359</v>
      </c>
      <c r="L42" s="106">
        <v>1033.6600000000001</v>
      </c>
      <c r="M42" s="106">
        <v>300</v>
      </c>
      <c r="N42" s="105">
        <f t="shared" si="16"/>
        <v>424.66829999999999</v>
      </c>
      <c r="O42" s="205">
        <f t="shared" si="23"/>
        <v>87.665850000000006</v>
      </c>
      <c r="P42" s="203" t="str">
        <f t="shared" si="17"/>
        <v>No</v>
      </c>
      <c r="Q42" s="356"/>
      <c r="R42" s="356"/>
      <c r="S42" s="253"/>
    </row>
    <row r="43" spans="1:33" ht="14.25" customHeight="1" thickBot="1">
      <c r="A43" s="499"/>
      <c r="B43" s="96" t="s">
        <v>358</v>
      </c>
      <c r="C43" s="95" t="s">
        <v>62</v>
      </c>
      <c r="D43" s="94">
        <v>174.54</v>
      </c>
      <c r="E43" s="94">
        <v>250</v>
      </c>
      <c r="F43" s="94">
        <v>80.336669999999998</v>
      </c>
      <c r="G43" s="73">
        <v>0.5</v>
      </c>
      <c r="H43" s="73">
        <f t="shared" si="2"/>
        <v>40.168334999999999</v>
      </c>
      <c r="I43" s="94">
        <f t="shared" si="20"/>
        <v>209.83166499999999</v>
      </c>
      <c r="J43" s="93">
        <f t="shared" si="21"/>
        <v>32.134667999999998</v>
      </c>
      <c r="K43" s="301" t="s">
        <v>357</v>
      </c>
      <c r="L43" s="92">
        <v>811.21</v>
      </c>
      <c r="M43" s="92">
        <v>150</v>
      </c>
      <c r="N43" s="105">
        <f t="shared" si="16"/>
        <v>80.336669999999998</v>
      </c>
      <c r="O43" s="205">
        <f t="shared" si="23"/>
        <v>109.831665</v>
      </c>
      <c r="P43" s="203" t="str">
        <f t="shared" si="17"/>
        <v>No</v>
      </c>
      <c r="Q43" s="356"/>
      <c r="R43" s="356"/>
      <c r="S43" s="253"/>
    </row>
    <row r="44" spans="1:33" ht="13.5" thickBot="1">
      <c r="A44" s="353" t="s">
        <v>355</v>
      </c>
      <c r="B44" s="87" t="s">
        <v>356</v>
      </c>
      <c r="C44" s="86" t="s">
        <v>355</v>
      </c>
      <c r="D44" s="85">
        <v>517.28</v>
      </c>
      <c r="E44" s="85">
        <v>200</v>
      </c>
      <c r="F44" s="85">
        <v>67.241829999999993</v>
      </c>
      <c r="G44" s="184">
        <v>0.5</v>
      </c>
      <c r="H44" s="184">
        <f t="shared" si="2"/>
        <v>33.620914999999997</v>
      </c>
      <c r="I44" s="184">
        <f t="shared" si="20"/>
        <v>166.379085</v>
      </c>
      <c r="J44" s="183">
        <f t="shared" si="21"/>
        <v>33.620914999999997</v>
      </c>
      <c r="K44" s="100" t="s">
        <v>354</v>
      </c>
      <c r="L44" s="83">
        <v>607.995</v>
      </c>
      <c r="M44" s="83">
        <v>150</v>
      </c>
      <c r="N44" s="82">
        <f t="shared" si="16"/>
        <v>67.241829999999993</v>
      </c>
      <c r="O44" s="205">
        <f t="shared" si="23"/>
        <v>116.379085</v>
      </c>
      <c r="P44" s="203" t="str">
        <f t="shared" si="17"/>
        <v>No</v>
      </c>
      <c r="Q44" s="356"/>
      <c r="R44" s="356"/>
      <c r="S44" s="253"/>
    </row>
    <row r="45" spans="1:33" ht="13.5" thickBot="1">
      <c r="A45" s="497" t="s">
        <v>349</v>
      </c>
      <c r="B45" s="87" t="s">
        <v>353</v>
      </c>
      <c r="C45" s="86" t="s">
        <v>342</v>
      </c>
      <c r="D45" s="85">
        <v>592.98500000000001</v>
      </c>
      <c r="E45" s="85">
        <v>150</v>
      </c>
      <c r="F45" s="85">
        <v>175.91919999999999</v>
      </c>
      <c r="G45" s="85">
        <v>0.5</v>
      </c>
      <c r="H45" s="85">
        <f t="shared" si="2"/>
        <v>87.959599999999995</v>
      </c>
      <c r="I45" s="94">
        <f t="shared" si="20"/>
        <v>62.040400000000005</v>
      </c>
      <c r="J45" s="93">
        <f t="shared" si="21"/>
        <v>117.27946666666666</v>
      </c>
      <c r="K45" s="100" t="s">
        <v>352</v>
      </c>
      <c r="L45" s="83">
        <v>1051.23</v>
      </c>
      <c r="M45" s="83">
        <v>150</v>
      </c>
      <c r="N45" s="82">
        <f t="shared" si="16"/>
        <v>175.91919999999999</v>
      </c>
      <c r="O45" s="205">
        <f t="shared" si="23"/>
        <v>62.040400000000005</v>
      </c>
      <c r="P45" s="203" t="str">
        <f t="shared" si="17"/>
        <v>No</v>
      </c>
      <c r="Q45" s="356"/>
      <c r="R45" s="356"/>
      <c r="S45" s="253"/>
    </row>
    <row r="46" spans="1:33" ht="14.25" customHeight="1" thickBot="1">
      <c r="A46" s="499"/>
      <c r="B46" s="96" t="s">
        <v>350</v>
      </c>
      <c r="C46" s="95" t="s">
        <v>349</v>
      </c>
      <c r="D46" s="108">
        <v>374.84</v>
      </c>
      <c r="E46" s="108">
        <v>200</v>
      </c>
      <c r="F46" s="108">
        <v>115.1143</v>
      </c>
      <c r="G46" s="94">
        <v>0.5</v>
      </c>
      <c r="H46" s="94">
        <f t="shared" si="2"/>
        <v>57.55715</v>
      </c>
      <c r="I46" s="94">
        <f t="shared" si="20"/>
        <v>142.44284999999999</v>
      </c>
      <c r="J46" s="93">
        <f t="shared" si="21"/>
        <v>57.55715</v>
      </c>
      <c r="K46" s="302" t="s">
        <v>348</v>
      </c>
      <c r="L46" s="106">
        <v>838.745</v>
      </c>
      <c r="M46" s="106">
        <v>150</v>
      </c>
      <c r="N46" s="105">
        <f t="shared" si="16"/>
        <v>115.1143</v>
      </c>
      <c r="O46" s="205">
        <f t="shared" si="23"/>
        <v>92.442849999999993</v>
      </c>
      <c r="P46" s="203" t="str">
        <f t="shared" si="17"/>
        <v>No</v>
      </c>
      <c r="Q46" s="356"/>
      <c r="R46" s="356"/>
      <c r="S46" s="253"/>
    </row>
    <row r="47" spans="1:33" ht="14.25" customHeight="1" thickBot="1">
      <c r="A47" s="499"/>
      <c r="B47" s="96" t="s">
        <v>347</v>
      </c>
      <c r="C47" s="95" t="s">
        <v>335</v>
      </c>
      <c r="D47" s="108">
        <v>675.17499999999995</v>
      </c>
      <c r="E47" s="108">
        <v>150</v>
      </c>
      <c r="F47" s="108">
        <v>87.5685</v>
      </c>
      <c r="G47" s="94">
        <v>0.5</v>
      </c>
      <c r="H47" s="94">
        <f t="shared" si="2"/>
        <v>43.78425</v>
      </c>
      <c r="I47" s="94">
        <f t="shared" si="20"/>
        <v>106.21575</v>
      </c>
      <c r="J47" s="93">
        <f t="shared" si="21"/>
        <v>58.379000000000005</v>
      </c>
      <c r="K47" s="302" t="s">
        <v>346</v>
      </c>
      <c r="L47" s="106">
        <v>792.93499999999995</v>
      </c>
      <c r="M47" s="106">
        <v>150</v>
      </c>
      <c r="N47" s="105">
        <f t="shared" si="16"/>
        <v>87.5685</v>
      </c>
      <c r="O47" s="205">
        <f t="shared" si="23"/>
        <v>106.21575</v>
      </c>
      <c r="P47" s="203" t="str">
        <f t="shared" si="17"/>
        <v>No</v>
      </c>
      <c r="Q47" s="356"/>
      <c r="R47" s="356"/>
      <c r="S47" s="253"/>
    </row>
    <row r="48" spans="1:33" ht="14.25" customHeight="1" thickBot="1">
      <c r="A48" s="499"/>
      <c r="B48" s="96" t="s">
        <v>339</v>
      </c>
      <c r="C48" s="95" t="s">
        <v>338</v>
      </c>
      <c r="D48" s="94">
        <v>768.38499999999999</v>
      </c>
      <c r="E48" s="94">
        <v>150</v>
      </c>
      <c r="F48" s="94">
        <v>46.164000000000001</v>
      </c>
      <c r="G48" s="73">
        <v>0.5</v>
      </c>
      <c r="H48" s="73">
        <f t="shared" si="2"/>
        <v>23.082000000000001</v>
      </c>
      <c r="I48" s="94">
        <f t="shared" si="20"/>
        <v>126.91800000000001</v>
      </c>
      <c r="J48" s="93">
        <f t="shared" si="21"/>
        <v>30.776000000000003</v>
      </c>
      <c r="K48" s="301" t="s">
        <v>345</v>
      </c>
      <c r="L48" s="92">
        <v>934.80499999999995</v>
      </c>
      <c r="M48" s="92">
        <v>150</v>
      </c>
      <c r="N48" s="91">
        <f t="shared" si="16"/>
        <v>46.164000000000001</v>
      </c>
      <c r="O48" s="205">
        <f t="shared" si="23"/>
        <v>126.91800000000001</v>
      </c>
      <c r="P48" s="203" t="str">
        <f t="shared" si="17"/>
        <v>No</v>
      </c>
      <c r="Q48" s="356"/>
      <c r="R48" s="356"/>
      <c r="S48" s="253"/>
    </row>
    <row r="49" spans="1:19" ht="13.5" thickBot="1">
      <c r="A49" s="497" t="s">
        <v>344</v>
      </c>
      <c r="B49" s="87" t="s">
        <v>343</v>
      </c>
      <c r="C49" s="86" t="s">
        <v>342</v>
      </c>
      <c r="D49" s="85">
        <v>592.98500000000001</v>
      </c>
      <c r="E49" s="85">
        <v>150</v>
      </c>
      <c r="F49" s="85">
        <v>175.91919999999999</v>
      </c>
      <c r="G49" s="85">
        <v>0.5</v>
      </c>
      <c r="H49" s="85">
        <f t="shared" si="2"/>
        <v>87.959599999999995</v>
      </c>
      <c r="I49" s="85">
        <f t="shared" si="20"/>
        <v>62.040400000000005</v>
      </c>
      <c r="J49" s="84">
        <f t="shared" si="21"/>
        <v>117.27946666666666</v>
      </c>
      <c r="K49" s="100" t="s">
        <v>341</v>
      </c>
      <c r="L49" s="83">
        <v>992.44500000000005</v>
      </c>
      <c r="M49" s="83">
        <v>150</v>
      </c>
      <c r="N49" s="82">
        <f t="shared" si="16"/>
        <v>175.91919999999999</v>
      </c>
      <c r="O49" s="205">
        <f t="shared" si="23"/>
        <v>62.040400000000005</v>
      </c>
      <c r="P49" s="203" t="str">
        <f t="shared" si="17"/>
        <v>No</v>
      </c>
      <c r="Q49" s="356"/>
      <c r="R49" s="356"/>
      <c r="S49" s="253"/>
    </row>
    <row r="50" spans="1:19" ht="14.25" customHeight="1" thickBot="1">
      <c r="A50" s="499"/>
      <c r="B50" s="96" t="s">
        <v>339</v>
      </c>
      <c r="C50" s="95" t="s">
        <v>338</v>
      </c>
      <c r="D50" s="94">
        <v>768.38499999999999</v>
      </c>
      <c r="E50" s="94">
        <v>150</v>
      </c>
      <c r="F50" s="94">
        <v>46.164000000000001</v>
      </c>
      <c r="G50" s="73">
        <v>0.5</v>
      </c>
      <c r="H50" s="73">
        <f t="shared" si="2"/>
        <v>23.082000000000001</v>
      </c>
      <c r="I50" s="73">
        <f t="shared" si="20"/>
        <v>126.91800000000001</v>
      </c>
      <c r="J50" s="299">
        <f t="shared" si="21"/>
        <v>30.776000000000003</v>
      </c>
      <c r="K50" s="301" t="s">
        <v>337</v>
      </c>
      <c r="L50" s="92">
        <v>817.04499999999996</v>
      </c>
      <c r="M50" s="92">
        <v>150</v>
      </c>
      <c r="N50" s="91">
        <f t="shared" si="16"/>
        <v>46.164000000000001</v>
      </c>
      <c r="O50" s="205">
        <f t="shared" si="23"/>
        <v>126.91800000000001</v>
      </c>
      <c r="P50" s="203" t="str">
        <f t="shared" si="17"/>
        <v>No</v>
      </c>
      <c r="Q50" s="356"/>
      <c r="R50" s="356"/>
      <c r="S50" s="253"/>
    </row>
    <row r="51" spans="1:19" ht="13.5" thickBot="1">
      <c r="A51" s="497" t="s">
        <v>340</v>
      </c>
      <c r="B51" s="87" t="s">
        <v>339</v>
      </c>
      <c r="C51" s="86" t="s">
        <v>338</v>
      </c>
      <c r="D51" s="85">
        <v>768.38499999999999</v>
      </c>
      <c r="E51" s="85">
        <v>150</v>
      </c>
      <c r="F51" s="85">
        <v>46.164000000000001</v>
      </c>
      <c r="G51" s="85">
        <v>0.5</v>
      </c>
      <c r="H51" s="85">
        <f t="shared" si="2"/>
        <v>23.082000000000001</v>
      </c>
      <c r="I51" s="94">
        <f t="shared" si="20"/>
        <v>126.91800000000001</v>
      </c>
      <c r="J51" s="93">
        <f t="shared" si="21"/>
        <v>30.776000000000003</v>
      </c>
      <c r="K51" s="100" t="s">
        <v>337</v>
      </c>
      <c r="L51" s="83">
        <v>817.04499999999996</v>
      </c>
      <c r="M51" s="83">
        <v>150</v>
      </c>
      <c r="N51" s="82">
        <f t="shared" si="16"/>
        <v>46.164000000000001</v>
      </c>
      <c r="O51" s="205">
        <f t="shared" si="23"/>
        <v>126.91800000000001</v>
      </c>
      <c r="P51" s="203" t="str">
        <f t="shared" si="17"/>
        <v>No</v>
      </c>
      <c r="Q51" s="356"/>
      <c r="R51" s="356"/>
      <c r="S51" s="253"/>
    </row>
    <row r="52" spans="1:19" ht="14.25" customHeight="1" thickBot="1">
      <c r="A52" s="499"/>
      <c r="B52" s="96" t="s">
        <v>30</v>
      </c>
      <c r="C52" s="95" t="s">
        <v>326</v>
      </c>
      <c r="D52" s="94">
        <v>317.27</v>
      </c>
      <c r="E52" s="94">
        <v>200</v>
      </c>
      <c r="F52" s="94">
        <v>136.87530000000001</v>
      </c>
      <c r="G52" s="73">
        <v>0.5</v>
      </c>
      <c r="H52" s="73">
        <f t="shared" si="2"/>
        <v>68.437650000000005</v>
      </c>
      <c r="I52" s="94">
        <f t="shared" si="20"/>
        <v>131.56234999999998</v>
      </c>
      <c r="J52" s="93">
        <f t="shared" si="21"/>
        <v>68.437650000000005</v>
      </c>
      <c r="K52" s="301" t="s">
        <v>325</v>
      </c>
      <c r="L52" s="92">
        <v>518.48</v>
      </c>
      <c r="M52" s="92">
        <v>200</v>
      </c>
      <c r="N52" s="91">
        <f t="shared" si="16"/>
        <v>136.87530000000001</v>
      </c>
      <c r="O52" s="205">
        <f t="shared" si="23"/>
        <v>131.56234999999998</v>
      </c>
      <c r="P52" s="203" t="str">
        <f t="shared" si="17"/>
        <v>No</v>
      </c>
      <c r="Q52" s="356"/>
      <c r="R52" s="356"/>
      <c r="S52" s="253"/>
    </row>
    <row r="53" spans="1:19" ht="13.5" thickBot="1">
      <c r="A53" s="497" t="s">
        <v>336</v>
      </c>
      <c r="B53" s="87" t="s">
        <v>28</v>
      </c>
      <c r="C53" s="86" t="s">
        <v>335</v>
      </c>
      <c r="D53" s="85">
        <v>675.17499999999995</v>
      </c>
      <c r="E53" s="85">
        <v>150</v>
      </c>
      <c r="F53" s="85">
        <v>87.5685</v>
      </c>
      <c r="G53" s="85">
        <v>0.5</v>
      </c>
      <c r="H53" s="85">
        <f t="shared" si="2"/>
        <v>43.78425</v>
      </c>
      <c r="I53" s="85">
        <f t="shared" si="20"/>
        <v>106.21575</v>
      </c>
      <c r="J53" s="84">
        <f t="shared" si="21"/>
        <v>58.379000000000005</v>
      </c>
      <c r="K53" s="100" t="s">
        <v>334</v>
      </c>
      <c r="L53" s="83">
        <v>792.93499999999995</v>
      </c>
      <c r="M53" s="83">
        <v>150</v>
      </c>
      <c r="N53" s="82">
        <f t="shared" si="16"/>
        <v>87.5685</v>
      </c>
      <c r="O53" s="205">
        <f t="shared" si="23"/>
        <v>106.21575</v>
      </c>
      <c r="P53" s="203" t="str">
        <f t="shared" si="17"/>
        <v>No</v>
      </c>
      <c r="Q53" s="356"/>
      <c r="R53" s="356"/>
      <c r="S53" s="253"/>
    </row>
    <row r="54" spans="1:19" ht="13.5" thickBot="1">
      <c r="A54" s="499"/>
      <c r="B54" s="96" t="s">
        <v>333</v>
      </c>
      <c r="C54" s="95" t="s">
        <v>332</v>
      </c>
      <c r="D54" s="94">
        <v>300.33499999999998</v>
      </c>
      <c r="E54" s="94">
        <v>200</v>
      </c>
      <c r="F54" s="94">
        <v>33.29833</v>
      </c>
      <c r="G54" s="73">
        <v>0.5</v>
      </c>
      <c r="H54" s="73">
        <f t="shared" si="2"/>
        <v>16.649165</v>
      </c>
      <c r="I54" s="73">
        <f t="shared" si="20"/>
        <v>183.35083499999999</v>
      </c>
      <c r="J54" s="299">
        <f t="shared" si="21"/>
        <v>16.649165</v>
      </c>
      <c r="K54" s="301" t="s">
        <v>331</v>
      </c>
      <c r="L54" s="92">
        <v>524.75</v>
      </c>
      <c r="M54" s="92">
        <v>200</v>
      </c>
      <c r="N54" s="91">
        <f t="shared" si="16"/>
        <v>33.29833</v>
      </c>
      <c r="O54" s="205">
        <f t="shared" si="23"/>
        <v>183.35083499999999</v>
      </c>
      <c r="P54" s="203" t="str">
        <f t="shared" si="17"/>
        <v>No</v>
      </c>
      <c r="Q54" s="356"/>
      <c r="R54" s="356"/>
      <c r="S54" s="253"/>
    </row>
    <row r="55" spans="1:19" ht="13.5" thickBot="1">
      <c r="A55" s="497" t="s">
        <v>330</v>
      </c>
      <c r="B55" s="87" t="s">
        <v>329</v>
      </c>
      <c r="C55" s="86" t="s">
        <v>61</v>
      </c>
      <c r="D55" s="85">
        <v>381.34</v>
      </c>
      <c r="E55" s="85">
        <v>200</v>
      </c>
      <c r="F55" s="85">
        <v>233.80699999999999</v>
      </c>
      <c r="G55" s="85">
        <v>0.5</v>
      </c>
      <c r="H55" s="85">
        <f t="shared" si="2"/>
        <v>116.90349999999999</v>
      </c>
      <c r="I55" s="85">
        <f t="shared" si="20"/>
        <v>83.096500000000006</v>
      </c>
      <c r="J55" s="84">
        <f t="shared" si="21"/>
        <v>116.90350000000001</v>
      </c>
      <c r="K55" s="100" t="s">
        <v>328</v>
      </c>
      <c r="L55" s="83">
        <v>673.16499999999996</v>
      </c>
      <c r="M55" s="83">
        <v>200</v>
      </c>
      <c r="N55" s="82">
        <f t="shared" si="16"/>
        <v>233.80699999999999</v>
      </c>
      <c r="O55" s="205">
        <f t="shared" si="23"/>
        <v>83.096500000000006</v>
      </c>
      <c r="P55" s="203" t="str">
        <f t="shared" si="17"/>
        <v>No</v>
      </c>
      <c r="Q55" s="356"/>
      <c r="R55" s="356"/>
      <c r="S55" s="253"/>
    </row>
    <row r="56" spans="1:19" ht="14.25" customHeight="1" thickBot="1">
      <c r="A56" s="498"/>
      <c r="B56" s="75" t="s">
        <v>30</v>
      </c>
      <c r="C56" s="74" t="s">
        <v>326</v>
      </c>
      <c r="D56" s="73">
        <v>317.27</v>
      </c>
      <c r="E56" s="73">
        <v>200</v>
      </c>
      <c r="F56" s="73">
        <v>136.87530000000001</v>
      </c>
      <c r="G56" s="73">
        <v>0.5</v>
      </c>
      <c r="H56" s="73">
        <f t="shared" si="2"/>
        <v>68.437650000000005</v>
      </c>
      <c r="I56" s="73">
        <f t="shared" si="20"/>
        <v>131.56234999999998</v>
      </c>
      <c r="J56" s="299">
        <f t="shared" si="21"/>
        <v>68.437650000000005</v>
      </c>
      <c r="K56" s="303" t="s">
        <v>325</v>
      </c>
      <c r="L56" s="72">
        <v>518.48</v>
      </c>
      <c r="M56" s="72">
        <v>200</v>
      </c>
      <c r="N56" s="71">
        <f t="shared" si="16"/>
        <v>136.87530000000001</v>
      </c>
      <c r="O56" s="205">
        <f t="shared" si="23"/>
        <v>131.56234999999998</v>
      </c>
      <c r="P56" s="254" t="str">
        <f t="shared" si="17"/>
        <v>No</v>
      </c>
      <c r="Q56" s="356"/>
      <c r="R56" s="356"/>
      <c r="S56" s="253"/>
    </row>
    <row r="57" spans="1:19">
      <c r="A57" s="357"/>
      <c r="B57" s="64"/>
      <c r="C57" s="357"/>
      <c r="D57" s="357"/>
      <c r="E57" s="357"/>
      <c r="F57" s="64"/>
      <c r="H57" s="64"/>
      <c r="K57" s="357"/>
      <c r="L57" s="357"/>
      <c r="M57" s="357"/>
      <c r="N57" s="357"/>
      <c r="O57" s="357"/>
      <c r="P57" s="357"/>
      <c r="Q57" s="356"/>
      <c r="R57" s="356"/>
    </row>
    <row r="58" spans="1:19">
      <c r="A58" s="357"/>
      <c r="B58" s="64"/>
      <c r="C58" s="357"/>
      <c r="D58" s="357"/>
      <c r="E58" s="357"/>
      <c r="F58" s="64"/>
      <c r="H58" s="64"/>
      <c r="K58" s="357"/>
      <c r="L58" s="357"/>
      <c r="M58" s="357"/>
      <c r="N58" s="357"/>
      <c r="O58" s="357"/>
      <c r="P58" s="357"/>
      <c r="Q58" s="356"/>
      <c r="R58" s="356"/>
    </row>
    <row r="59" spans="1:19">
      <c r="A59" s="357"/>
      <c r="B59" s="64"/>
      <c r="C59" s="357"/>
      <c r="D59" s="357"/>
      <c r="E59" s="357"/>
      <c r="F59" s="64"/>
      <c r="H59" s="64"/>
      <c r="K59" s="357"/>
      <c r="L59" s="357"/>
      <c r="M59" s="357"/>
      <c r="N59" s="357"/>
      <c r="O59" s="357"/>
      <c r="P59" s="357"/>
      <c r="Q59" s="356"/>
      <c r="R59" s="357"/>
    </row>
    <row r="60" spans="1:19">
      <c r="A60" s="357"/>
      <c r="B60" s="64"/>
      <c r="C60" s="357"/>
      <c r="D60" s="357"/>
      <c r="E60" s="357"/>
      <c r="F60" s="64"/>
      <c r="H60" s="64"/>
      <c r="K60" s="357"/>
      <c r="L60" s="357"/>
      <c r="M60" s="357"/>
      <c r="N60" s="357"/>
      <c r="O60" s="357"/>
      <c r="P60" s="357"/>
      <c r="Q60" s="356"/>
      <c r="R60" s="357"/>
    </row>
    <row r="61" spans="1:19">
      <c r="A61" s="357"/>
      <c r="B61" s="64"/>
      <c r="C61" s="357"/>
      <c r="D61" s="357"/>
      <c r="E61" s="357"/>
      <c r="F61" s="64"/>
      <c r="H61" s="64"/>
      <c r="K61" s="357"/>
      <c r="L61" s="357"/>
      <c r="M61" s="357"/>
      <c r="N61" s="357"/>
      <c r="O61" s="357"/>
      <c r="P61" s="357"/>
      <c r="Q61" s="356"/>
      <c r="R61" s="357"/>
    </row>
    <row r="62" spans="1:19">
      <c r="A62" s="357"/>
      <c r="B62" s="65"/>
      <c r="C62" s="357"/>
      <c r="D62" s="357"/>
      <c r="E62" s="357"/>
      <c r="F62" s="64"/>
      <c r="H62" s="64"/>
      <c r="K62" s="357"/>
      <c r="L62" s="357"/>
      <c r="M62" s="357"/>
      <c r="N62" s="357"/>
      <c r="O62" s="357"/>
      <c r="P62" s="357"/>
      <c r="Q62" s="356"/>
      <c r="R62" s="357"/>
    </row>
    <row r="63" spans="1:19">
      <c r="A63" s="357"/>
      <c r="B63" s="65"/>
      <c r="C63" s="357"/>
      <c r="D63" s="357"/>
      <c r="E63" s="357"/>
      <c r="F63" s="64"/>
      <c r="H63" s="64"/>
      <c r="K63" s="357"/>
      <c r="L63" s="357"/>
      <c r="M63" s="357"/>
      <c r="N63" s="357"/>
      <c r="O63" s="357"/>
      <c r="P63" s="357"/>
      <c r="Q63" s="356"/>
      <c r="R63" s="357"/>
    </row>
    <row r="64" spans="1:19">
      <c r="A64" s="357"/>
      <c r="B64" s="65"/>
      <c r="C64" s="357"/>
      <c r="D64" s="357"/>
      <c r="E64" s="357"/>
      <c r="F64" s="64"/>
      <c r="H64" s="64"/>
      <c r="K64" s="357"/>
      <c r="L64" s="357"/>
      <c r="M64" s="357"/>
      <c r="N64" s="357"/>
      <c r="O64" s="357"/>
      <c r="P64" s="357"/>
      <c r="Q64" s="356"/>
      <c r="R64" s="357"/>
    </row>
    <row r="65" spans="1:21">
      <c r="A65" s="357"/>
      <c r="B65" s="64"/>
      <c r="C65" s="357"/>
      <c r="D65" s="357"/>
      <c r="M65" s="357"/>
      <c r="N65" s="357"/>
      <c r="P65" s="357"/>
      <c r="Q65" s="356"/>
      <c r="R65" s="357"/>
    </row>
    <row r="66" spans="1:21">
      <c r="A66" s="357"/>
      <c r="B66" s="64"/>
      <c r="C66" s="357"/>
      <c r="D66" s="357"/>
      <c r="M66" s="357"/>
      <c r="N66" s="357"/>
      <c r="P66" s="357"/>
      <c r="Q66" s="356"/>
      <c r="R66" s="357"/>
    </row>
    <row r="67" spans="1:21">
      <c r="A67" s="357"/>
      <c r="B67" s="64"/>
      <c r="C67" s="357"/>
      <c r="D67" s="357"/>
      <c r="M67" s="357"/>
      <c r="N67" s="357"/>
      <c r="P67" s="357"/>
      <c r="Q67" s="356"/>
      <c r="R67" s="357"/>
    </row>
    <row r="68" spans="1:21">
      <c r="A68" s="357"/>
      <c r="B68" s="64"/>
      <c r="C68" s="357"/>
      <c r="D68" s="357"/>
      <c r="E68" s="357"/>
      <c r="F68" s="64"/>
      <c r="H68" s="64"/>
      <c r="K68" s="357"/>
      <c r="L68" s="357"/>
      <c r="M68" s="357"/>
      <c r="N68" s="357"/>
      <c r="O68" s="357"/>
      <c r="P68" s="357"/>
      <c r="Q68" s="356"/>
      <c r="R68" s="357"/>
    </row>
    <row r="69" spans="1:21">
      <c r="B69" s="64"/>
      <c r="C69" s="357"/>
      <c r="D69" s="357"/>
      <c r="E69" s="357"/>
      <c r="F69" s="64"/>
      <c r="H69" s="64"/>
      <c r="K69" s="357"/>
      <c r="L69" s="357"/>
      <c r="M69" s="357"/>
      <c r="N69" s="357"/>
      <c r="O69" s="357"/>
      <c r="P69" s="357"/>
      <c r="Q69" s="356"/>
      <c r="R69" s="357"/>
      <c r="T69" s="58"/>
      <c r="U69" s="58"/>
    </row>
    <row r="70" spans="1:21">
      <c r="B70" s="64"/>
      <c r="C70" s="357"/>
      <c r="D70" s="357"/>
      <c r="E70" s="357"/>
      <c r="F70" s="64"/>
      <c r="H70" s="64"/>
      <c r="K70" s="357"/>
      <c r="L70" s="357"/>
      <c r="M70" s="357"/>
      <c r="N70" s="357"/>
      <c r="O70" s="357"/>
      <c r="P70" s="357"/>
      <c r="Q70" s="356"/>
      <c r="R70" s="357"/>
      <c r="T70" s="58"/>
      <c r="U70" s="58"/>
    </row>
    <row r="71" spans="1:21">
      <c r="B71" s="64"/>
      <c r="C71" s="357"/>
      <c r="D71" s="357"/>
      <c r="E71" s="357"/>
      <c r="F71" s="64"/>
      <c r="H71" s="64"/>
      <c r="K71" s="357"/>
      <c r="L71" s="357"/>
      <c r="M71" s="357"/>
      <c r="N71" s="357"/>
      <c r="O71" s="357"/>
      <c r="P71" s="357"/>
      <c r="Q71" s="356"/>
      <c r="R71" s="357"/>
      <c r="T71" s="58"/>
      <c r="U71" s="58"/>
    </row>
    <row r="72" spans="1:21">
      <c r="B72" s="64"/>
      <c r="C72" s="357"/>
      <c r="D72" s="357"/>
      <c r="E72" s="357"/>
      <c r="F72" s="64"/>
      <c r="H72" s="64"/>
      <c r="K72" s="357"/>
      <c r="L72" s="357"/>
      <c r="M72" s="357"/>
      <c r="N72" s="357"/>
      <c r="O72" s="357"/>
      <c r="P72" s="357"/>
      <c r="Q72" s="356"/>
      <c r="R72" s="357"/>
      <c r="T72" s="58"/>
      <c r="U72" s="58"/>
    </row>
    <row r="73" spans="1:21">
      <c r="B73" s="64"/>
      <c r="C73" s="357"/>
      <c r="D73" s="357"/>
      <c r="E73" s="357"/>
      <c r="F73" s="64"/>
      <c r="H73" s="64"/>
      <c r="K73" s="357"/>
      <c r="L73" s="357"/>
      <c r="M73" s="357"/>
      <c r="N73" s="357"/>
      <c r="O73" s="357"/>
      <c r="P73" s="357"/>
      <c r="Q73" s="356"/>
      <c r="R73" s="357"/>
      <c r="T73" s="58"/>
    </row>
    <row r="74" spans="1:21">
      <c r="B74" s="64"/>
      <c r="C74" s="357"/>
      <c r="D74" s="357"/>
      <c r="E74" s="357"/>
      <c r="F74" s="64"/>
      <c r="H74" s="64"/>
      <c r="K74" s="357"/>
      <c r="L74" s="357"/>
      <c r="M74" s="357"/>
      <c r="N74" s="357"/>
      <c r="O74" s="357"/>
      <c r="P74" s="357"/>
      <c r="Q74" s="356"/>
      <c r="R74" s="357"/>
      <c r="T74" s="58"/>
    </row>
    <row r="75" spans="1:21">
      <c r="B75" s="64"/>
      <c r="C75" s="357"/>
      <c r="D75" s="357"/>
      <c r="E75" s="357"/>
      <c r="F75" s="64"/>
      <c r="H75" s="64"/>
      <c r="K75" s="357"/>
      <c r="L75" s="357"/>
      <c r="M75" s="357"/>
      <c r="N75" s="357"/>
      <c r="O75" s="357"/>
      <c r="P75" s="357"/>
      <c r="Q75" s="356"/>
      <c r="R75" s="357"/>
    </row>
    <row r="76" spans="1:21">
      <c r="B76" s="64"/>
      <c r="C76" s="357"/>
      <c r="D76" s="357"/>
      <c r="E76" s="357"/>
      <c r="F76" s="64"/>
      <c r="H76" s="64"/>
      <c r="K76" s="357"/>
      <c r="L76" s="357"/>
      <c r="M76" s="357"/>
      <c r="N76" s="357"/>
      <c r="O76" s="357"/>
      <c r="P76" s="357"/>
      <c r="Q76" s="356"/>
      <c r="R76" s="357"/>
    </row>
    <row r="77" spans="1:21">
      <c r="B77" s="64"/>
      <c r="C77" s="357"/>
      <c r="D77" s="357"/>
      <c r="E77" s="357"/>
      <c r="F77" s="64"/>
      <c r="H77" s="64"/>
      <c r="K77" s="357"/>
      <c r="L77" s="357"/>
      <c r="M77" s="357"/>
      <c r="N77" s="357"/>
      <c r="O77" s="357"/>
      <c r="P77" s="357"/>
      <c r="Q77" s="356"/>
      <c r="R77" s="357"/>
    </row>
    <row r="78" spans="1:21">
      <c r="B78" s="64"/>
      <c r="C78" s="357"/>
      <c r="D78" s="357"/>
      <c r="E78" s="357"/>
      <c r="F78" s="64"/>
      <c r="H78" s="64"/>
      <c r="K78" s="357"/>
      <c r="L78" s="357"/>
      <c r="M78" s="357"/>
      <c r="N78" s="357"/>
      <c r="O78" s="357"/>
      <c r="P78" s="357"/>
      <c r="Q78" s="356"/>
      <c r="R78" s="357"/>
    </row>
    <row r="79" spans="1:21">
      <c r="B79" s="64"/>
      <c r="C79" s="357"/>
      <c r="D79" s="357"/>
      <c r="E79" s="357"/>
      <c r="F79" s="64"/>
      <c r="H79" s="64"/>
      <c r="K79" s="357"/>
      <c r="L79" s="357"/>
      <c r="M79" s="357"/>
      <c r="N79" s="357"/>
      <c r="O79" s="357"/>
      <c r="P79" s="357"/>
      <c r="Q79" s="356"/>
      <c r="R79" s="357"/>
    </row>
    <row r="80" spans="1:21">
      <c r="B80" s="64"/>
      <c r="C80" s="357"/>
      <c r="D80" s="357"/>
      <c r="E80" s="357"/>
      <c r="F80" s="64"/>
      <c r="H80" s="64"/>
      <c r="K80" s="357"/>
      <c r="L80" s="357"/>
      <c r="M80" s="357"/>
      <c r="N80" s="357"/>
      <c r="O80" s="357"/>
      <c r="P80" s="357"/>
      <c r="Q80" s="356"/>
      <c r="R80" s="357"/>
    </row>
    <row r="81" spans="2:18">
      <c r="B81" s="64"/>
      <c r="C81" s="357"/>
      <c r="D81" s="357"/>
      <c r="E81" s="357"/>
      <c r="F81" s="64"/>
      <c r="H81" s="64"/>
      <c r="K81" s="357"/>
      <c r="L81" s="357"/>
      <c r="M81" s="357"/>
      <c r="N81" s="357"/>
      <c r="O81" s="357"/>
      <c r="P81" s="357"/>
      <c r="Q81" s="356"/>
      <c r="R81" s="357"/>
    </row>
    <row r="82" spans="2:18">
      <c r="B82" s="64"/>
      <c r="C82" s="357"/>
      <c r="D82" s="357"/>
      <c r="E82" s="357"/>
      <c r="F82" s="64"/>
      <c r="H82" s="64"/>
      <c r="K82" s="357"/>
      <c r="L82" s="357"/>
      <c r="M82" s="357"/>
      <c r="N82" s="357"/>
      <c r="O82" s="357"/>
      <c r="P82" s="357"/>
      <c r="Q82" s="356"/>
      <c r="R82" s="357"/>
    </row>
    <row r="83" spans="2:18">
      <c r="B83" s="64"/>
      <c r="C83" s="357"/>
      <c r="D83" s="357"/>
      <c r="E83" s="357"/>
      <c r="F83" s="64"/>
      <c r="H83" s="64"/>
      <c r="K83" s="357"/>
      <c r="L83" s="357"/>
      <c r="M83" s="357"/>
      <c r="N83" s="357"/>
      <c r="O83" s="357"/>
      <c r="P83" s="357"/>
      <c r="Q83" s="356"/>
      <c r="R83" s="357"/>
    </row>
    <row r="84" spans="2:18">
      <c r="B84" s="64"/>
      <c r="C84" s="357"/>
      <c r="D84" s="357"/>
      <c r="E84" s="357"/>
      <c r="F84" s="64"/>
      <c r="H84" s="64"/>
      <c r="K84" s="357"/>
      <c r="L84" s="357"/>
      <c r="M84" s="357"/>
      <c r="N84" s="357"/>
      <c r="O84" s="357"/>
      <c r="P84" s="357"/>
      <c r="Q84" s="356"/>
      <c r="R84" s="357"/>
    </row>
    <row r="85" spans="2:18">
      <c r="B85" s="64"/>
      <c r="C85" s="357"/>
      <c r="D85" s="357"/>
      <c r="E85" s="357"/>
      <c r="F85" s="64"/>
      <c r="H85" s="64"/>
      <c r="K85" s="357"/>
      <c r="L85" s="357"/>
      <c r="M85" s="357"/>
      <c r="N85" s="357"/>
      <c r="O85" s="357"/>
      <c r="P85" s="357"/>
      <c r="Q85" s="356"/>
      <c r="R85" s="357"/>
    </row>
    <row r="86" spans="2:18">
      <c r="B86" s="64"/>
      <c r="C86" s="357"/>
      <c r="D86" s="357"/>
      <c r="E86" s="357"/>
      <c r="F86" s="64"/>
      <c r="H86" s="64"/>
      <c r="K86" s="357"/>
      <c r="L86" s="357"/>
      <c r="M86" s="357"/>
      <c r="N86" s="357"/>
      <c r="O86" s="357"/>
      <c r="P86" s="357"/>
      <c r="Q86" s="356"/>
      <c r="R86" s="357"/>
    </row>
    <row r="87" spans="2:18">
      <c r="B87" s="64"/>
      <c r="C87" s="357"/>
      <c r="D87" s="357"/>
      <c r="E87" s="357"/>
      <c r="F87" s="64"/>
      <c r="H87" s="64"/>
      <c r="K87" s="357"/>
      <c r="L87" s="357"/>
      <c r="M87" s="357"/>
      <c r="N87" s="357"/>
      <c r="O87" s="357"/>
      <c r="P87" s="357"/>
      <c r="Q87" s="356"/>
      <c r="R87" s="357"/>
    </row>
    <row r="88" spans="2:18">
      <c r="B88" s="64"/>
      <c r="C88" s="357"/>
      <c r="D88" s="357"/>
      <c r="E88" s="357"/>
      <c r="F88" s="64"/>
      <c r="H88" s="64"/>
      <c r="K88" s="357"/>
      <c r="L88" s="357"/>
      <c r="M88" s="357"/>
      <c r="N88" s="357"/>
      <c r="O88" s="357"/>
      <c r="P88" s="357"/>
      <c r="Q88" s="356"/>
      <c r="R88" s="357"/>
    </row>
    <row r="89" spans="2:18">
      <c r="B89" s="64"/>
      <c r="C89" s="357"/>
      <c r="D89" s="357"/>
      <c r="E89" s="357"/>
      <c r="F89" s="64"/>
      <c r="H89" s="64"/>
      <c r="K89" s="357"/>
      <c r="L89" s="357"/>
      <c r="M89" s="357"/>
      <c r="N89" s="357"/>
      <c r="O89" s="357"/>
      <c r="P89" s="357"/>
      <c r="Q89" s="356"/>
      <c r="R89" s="357"/>
    </row>
    <row r="90" spans="2:18">
      <c r="B90" s="64"/>
      <c r="C90" s="357"/>
      <c r="D90" s="357"/>
      <c r="E90" s="357"/>
      <c r="F90" s="64"/>
      <c r="H90" s="64"/>
      <c r="K90" s="357"/>
      <c r="L90" s="357"/>
      <c r="M90" s="357"/>
      <c r="N90" s="357"/>
      <c r="O90" s="357"/>
      <c r="P90" s="357"/>
      <c r="Q90" s="356"/>
      <c r="R90" s="357"/>
    </row>
    <row r="91" spans="2:18">
      <c r="B91" s="64"/>
      <c r="C91" s="357"/>
      <c r="D91" s="357"/>
      <c r="E91" s="357"/>
      <c r="F91" s="64"/>
      <c r="H91" s="64"/>
      <c r="K91" s="357"/>
      <c r="L91" s="357"/>
      <c r="M91" s="357"/>
      <c r="N91" s="357"/>
      <c r="O91" s="357"/>
      <c r="P91" s="357"/>
      <c r="Q91" s="356"/>
      <c r="R91" s="357"/>
    </row>
    <row r="92" spans="2:18">
      <c r="B92" s="64"/>
      <c r="C92" s="357"/>
      <c r="D92" s="357"/>
      <c r="E92" s="357"/>
      <c r="F92" s="64"/>
      <c r="H92" s="64"/>
      <c r="K92" s="357"/>
      <c r="L92" s="357"/>
      <c r="M92" s="357"/>
      <c r="N92" s="357"/>
      <c r="O92" s="357"/>
      <c r="P92" s="357"/>
      <c r="Q92" s="356"/>
      <c r="R92" s="357"/>
    </row>
    <row r="93" spans="2:18">
      <c r="B93" s="64"/>
      <c r="C93" s="357"/>
      <c r="D93" s="357"/>
      <c r="E93" s="357"/>
      <c r="F93" s="64"/>
      <c r="H93" s="64"/>
      <c r="K93" s="357"/>
      <c r="L93" s="357"/>
      <c r="M93" s="357"/>
      <c r="N93" s="357"/>
      <c r="O93" s="357"/>
      <c r="P93" s="357"/>
      <c r="Q93" s="356"/>
      <c r="R93" s="357"/>
    </row>
    <row r="94" spans="2:18">
      <c r="B94" s="64"/>
      <c r="C94" s="357"/>
      <c r="D94" s="357"/>
      <c r="E94" s="357"/>
      <c r="F94" s="64"/>
      <c r="H94" s="64"/>
      <c r="K94" s="357"/>
      <c r="L94" s="357"/>
      <c r="M94" s="357"/>
      <c r="N94" s="357"/>
      <c r="O94" s="357"/>
      <c r="P94" s="357"/>
      <c r="Q94" s="356"/>
      <c r="R94" s="357"/>
    </row>
    <row r="95" spans="2:18">
      <c r="B95" s="64"/>
      <c r="C95" s="357"/>
      <c r="D95" s="357"/>
      <c r="E95" s="357"/>
      <c r="F95" s="64"/>
      <c r="H95" s="64"/>
      <c r="K95" s="357"/>
      <c r="L95" s="357"/>
      <c r="M95" s="357"/>
      <c r="N95" s="357"/>
      <c r="O95" s="357"/>
      <c r="P95" s="357"/>
      <c r="Q95" s="356"/>
      <c r="R95" s="357"/>
    </row>
    <row r="96" spans="2:18">
      <c r="B96" s="64"/>
      <c r="C96" s="357"/>
      <c r="D96" s="357"/>
      <c r="E96" s="357"/>
      <c r="F96" s="64"/>
      <c r="H96" s="64"/>
      <c r="K96" s="357"/>
      <c r="L96" s="357"/>
      <c r="M96" s="357"/>
      <c r="N96" s="357"/>
      <c r="O96" s="357"/>
      <c r="P96" s="357"/>
      <c r="Q96" s="356"/>
      <c r="R96" s="357"/>
    </row>
    <row r="97" spans="2:18">
      <c r="B97" s="64"/>
      <c r="C97" s="357"/>
      <c r="D97" s="357"/>
      <c r="E97" s="357"/>
      <c r="F97" s="64"/>
      <c r="H97" s="64"/>
      <c r="K97" s="357"/>
      <c r="L97" s="357"/>
      <c r="M97" s="357"/>
      <c r="N97" s="357"/>
      <c r="O97" s="357"/>
      <c r="P97" s="357"/>
      <c r="Q97" s="356"/>
      <c r="R97" s="357"/>
    </row>
    <row r="98" spans="2:18">
      <c r="B98" s="64"/>
      <c r="C98" s="357"/>
      <c r="D98" s="357"/>
      <c r="E98" s="357"/>
      <c r="F98" s="64"/>
      <c r="H98" s="64"/>
      <c r="K98" s="357"/>
      <c r="L98" s="357"/>
      <c r="M98" s="357"/>
      <c r="N98" s="357"/>
      <c r="O98" s="357"/>
      <c r="P98" s="357"/>
      <c r="Q98" s="356"/>
      <c r="R98" s="357"/>
    </row>
    <row r="99" spans="2:18">
      <c r="B99" s="64"/>
      <c r="C99" s="357"/>
      <c r="D99" s="357"/>
      <c r="E99" s="357"/>
      <c r="F99" s="64"/>
      <c r="H99" s="64"/>
      <c r="K99" s="357"/>
      <c r="L99" s="357"/>
      <c r="M99" s="357"/>
      <c r="N99" s="357"/>
      <c r="O99" s="357"/>
      <c r="P99" s="357"/>
      <c r="Q99" s="356"/>
      <c r="R99" s="357"/>
    </row>
    <row r="100" spans="2:18">
      <c r="B100" s="64"/>
      <c r="C100" s="357"/>
      <c r="D100" s="357"/>
      <c r="E100" s="357"/>
      <c r="F100" s="64"/>
      <c r="H100" s="64"/>
      <c r="K100" s="357"/>
      <c r="L100" s="357"/>
      <c r="M100" s="357"/>
      <c r="N100" s="357"/>
      <c r="O100" s="357"/>
      <c r="P100" s="357"/>
      <c r="Q100" s="356"/>
      <c r="R100" s="357"/>
    </row>
    <row r="101" spans="2:18">
      <c r="B101" s="64"/>
      <c r="C101" s="357"/>
      <c r="D101" s="357"/>
      <c r="E101" s="357"/>
      <c r="F101" s="64"/>
      <c r="H101" s="64"/>
      <c r="K101" s="357"/>
      <c r="L101" s="357"/>
      <c r="M101" s="357"/>
      <c r="N101" s="357"/>
      <c r="O101" s="357"/>
      <c r="P101" s="357"/>
      <c r="Q101" s="356"/>
      <c r="R101" s="357"/>
    </row>
    <row r="102" spans="2:18">
      <c r="B102" s="64"/>
      <c r="C102" s="357"/>
      <c r="D102" s="357"/>
      <c r="E102" s="357"/>
      <c r="F102" s="64"/>
      <c r="H102" s="64"/>
      <c r="K102" s="357"/>
      <c r="L102" s="357"/>
      <c r="M102" s="357"/>
      <c r="N102" s="357"/>
      <c r="O102" s="357"/>
      <c r="P102" s="357"/>
      <c r="Q102" s="356"/>
      <c r="R102" s="357"/>
    </row>
    <row r="103" spans="2:18">
      <c r="B103" s="64"/>
      <c r="C103" s="357"/>
      <c r="D103" s="357"/>
      <c r="E103" s="357"/>
      <c r="F103" s="64"/>
      <c r="H103" s="64"/>
      <c r="K103" s="357"/>
      <c r="L103" s="357"/>
      <c r="M103" s="357"/>
      <c r="N103" s="357"/>
      <c r="O103" s="357"/>
      <c r="P103" s="357"/>
      <c r="Q103" s="356"/>
      <c r="R103" s="357"/>
    </row>
    <row r="104" spans="2:18">
      <c r="B104" s="64"/>
      <c r="C104" s="357"/>
      <c r="D104" s="357"/>
      <c r="E104" s="357"/>
      <c r="F104" s="64"/>
      <c r="H104" s="64"/>
      <c r="K104" s="357"/>
      <c r="L104" s="357"/>
      <c r="M104" s="357"/>
      <c r="N104" s="357"/>
      <c r="O104" s="357"/>
      <c r="P104" s="357"/>
      <c r="Q104" s="356"/>
      <c r="R104" s="357"/>
    </row>
    <row r="105" spans="2:18">
      <c r="B105" s="64"/>
      <c r="C105" s="357"/>
      <c r="D105" s="357"/>
      <c r="E105" s="357"/>
      <c r="F105" s="64"/>
      <c r="H105" s="64"/>
      <c r="K105" s="357"/>
      <c r="L105" s="357"/>
      <c r="M105" s="357"/>
      <c r="N105" s="357"/>
      <c r="O105" s="357"/>
      <c r="P105" s="357"/>
      <c r="Q105" s="356"/>
      <c r="R105" s="357"/>
    </row>
    <row r="106" spans="2:18">
      <c r="B106" s="64"/>
      <c r="C106" s="357"/>
      <c r="D106" s="357"/>
      <c r="E106" s="357"/>
      <c r="F106" s="64"/>
      <c r="H106" s="64"/>
      <c r="K106" s="357"/>
      <c r="L106" s="357"/>
      <c r="M106" s="357"/>
      <c r="N106" s="357"/>
      <c r="O106" s="357"/>
      <c r="P106" s="357"/>
      <c r="Q106" s="356"/>
      <c r="R106" s="357"/>
    </row>
    <row r="107" spans="2:18">
      <c r="B107" s="64"/>
      <c r="C107" s="357"/>
      <c r="D107" s="357"/>
      <c r="E107" s="357"/>
      <c r="F107" s="64"/>
      <c r="H107" s="64"/>
      <c r="K107" s="357"/>
      <c r="L107" s="357"/>
      <c r="M107" s="357"/>
      <c r="N107" s="357"/>
      <c r="O107" s="357"/>
      <c r="P107" s="357"/>
      <c r="Q107" s="356"/>
      <c r="R107" s="357"/>
    </row>
    <row r="108" spans="2:18">
      <c r="B108" s="64"/>
      <c r="C108" s="357"/>
      <c r="D108" s="357"/>
      <c r="E108" s="357"/>
      <c r="F108" s="64"/>
      <c r="H108" s="64"/>
      <c r="K108" s="357"/>
      <c r="L108" s="357"/>
      <c r="M108" s="357"/>
      <c r="N108" s="357"/>
      <c r="O108" s="357"/>
      <c r="P108" s="357"/>
      <c r="Q108" s="356"/>
      <c r="R108" s="357"/>
    </row>
    <row r="109" spans="2:18">
      <c r="B109" s="64"/>
      <c r="C109" s="357"/>
      <c r="D109" s="357"/>
      <c r="E109" s="357"/>
      <c r="F109" s="64"/>
      <c r="H109" s="64"/>
      <c r="K109" s="357"/>
      <c r="L109" s="357"/>
      <c r="M109" s="357"/>
      <c r="N109" s="357"/>
      <c r="O109" s="357"/>
      <c r="P109" s="357"/>
      <c r="Q109" s="356"/>
      <c r="R109" s="357"/>
    </row>
    <row r="110" spans="2:18">
      <c r="B110" s="64"/>
      <c r="C110" s="357"/>
      <c r="D110" s="357"/>
      <c r="E110" s="357"/>
      <c r="F110" s="64"/>
      <c r="H110" s="64"/>
      <c r="K110" s="357"/>
      <c r="L110" s="357"/>
      <c r="M110" s="357"/>
      <c r="N110" s="357"/>
      <c r="O110" s="357"/>
      <c r="P110" s="357"/>
      <c r="Q110" s="356"/>
      <c r="R110" s="357"/>
    </row>
    <row r="111" spans="2:18">
      <c r="B111" s="64"/>
      <c r="C111" s="357"/>
      <c r="D111" s="357"/>
      <c r="E111" s="357"/>
      <c r="F111" s="64"/>
      <c r="H111" s="64"/>
      <c r="K111" s="357"/>
      <c r="L111" s="357"/>
      <c r="M111" s="357"/>
      <c r="N111" s="357"/>
      <c r="O111" s="357"/>
      <c r="P111" s="357"/>
      <c r="Q111" s="356"/>
      <c r="R111" s="357"/>
    </row>
    <row r="112" spans="2:18">
      <c r="B112" s="64"/>
      <c r="C112" s="357"/>
      <c r="D112" s="357"/>
      <c r="E112" s="357"/>
      <c r="F112" s="64"/>
      <c r="H112" s="64"/>
      <c r="K112" s="357"/>
      <c r="L112" s="357"/>
      <c r="M112" s="357"/>
      <c r="N112" s="357"/>
      <c r="O112" s="357"/>
      <c r="P112" s="357"/>
      <c r="Q112" s="356"/>
      <c r="R112" s="357"/>
    </row>
    <row r="113" spans="1:18">
      <c r="B113" s="64"/>
      <c r="C113" s="357"/>
      <c r="D113" s="357"/>
      <c r="E113" s="357"/>
      <c r="F113" s="64"/>
      <c r="H113" s="64"/>
      <c r="K113" s="357"/>
      <c r="L113" s="357"/>
      <c r="M113" s="357"/>
      <c r="N113" s="357"/>
      <c r="O113" s="357"/>
      <c r="P113" s="357"/>
      <c r="Q113" s="356"/>
      <c r="R113" s="357"/>
    </row>
    <row r="114" spans="1:18">
      <c r="B114" s="64"/>
      <c r="C114" s="357"/>
      <c r="D114" s="357"/>
      <c r="E114" s="357"/>
      <c r="F114" s="64"/>
      <c r="H114" s="64"/>
      <c r="K114" s="357"/>
      <c r="L114" s="357"/>
      <c r="M114" s="357"/>
      <c r="N114" s="357"/>
      <c r="O114" s="357"/>
      <c r="P114" s="357"/>
      <c r="Q114" s="356"/>
      <c r="R114" s="357"/>
    </row>
    <row r="115" spans="1:18">
      <c r="B115" s="64"/>
      <c r="C115" s="357"/>
      <c r="D115" s="357"/>
      <c r="E115" s="357"/>
      <c r="F115" s="64"/>
      <c r="H115" s="64"/>
      <c r="K115" s="357"/>
      <c r="L115" s="357"/>
      <c r="M115" s="357"/>
      <c r="N115" s="357"/>
      <c r="O115" s="357"/>
      <c r="P115" s="357"/>
      <c r="Q115" s="356"/>
      <c r="R115" s="357"/>
    </row>
    <row r="116" spans="1:18">
      <c r="B116" s="64"/>
      <c r="C116" s="357"/>
      <c r="D116" s="357"/>
      <c r="E116" s="357"/>
      <c r="F116" s="64"/>
      <c r="H116" s="64"/>
      <c r="K116" s="357"/>
      <c r="L116" s="357"/>
      <c r="M116" s="357"/>
      <c r="N116" s="357"/>
      <c r="O116" s="357"/>
      <c r="P116" s="357"/>
      <c r="Q116" s="356"/>
      <c r="R116" s="357"/>
    </row>
    <row r="117" spans="1:18">
      <c r="B117" s="64"/>
      <c r="C117" s="357"/>
      <c r="D117" s="357"/>
      <c r="E117" s="357"/>
      <c r="F117" s="64"/>
      <c r="H117" s="64"/>
      <c r="K117" s="357"/>
      <c r="L117" s="357"/>
      <c r="M117" s="357"/>
      <c r="N117" s="357"/>
      <c r="O117" s="357"/>
      <c r="P117" s="357"/>
      <c r="Q117" s="356"/>
      <c r="R117" s="357"/>
    </row>
    <row r="118" spans="1:18">
      <c r="B118" s="64"/>
      <c r="C118" s="357"/>
      <c r="D118" s="357"/>
      <c r="E118" s="357"/>
      <c r="F118" s="64"/>
      <c r="H118" s="64"/>
      <c r="K118" s="357"/>
      <c r="L118" s="357"/>
      <c r="M118" s="357"/>
      <c r="N118" s="357"/>
      <c r="O118" s="357"/>
      <c r="P118" s="357"/>
      <c r="Q118" s="356"/>
      <c r="R118" s="357"/>
    </row>
    <row r="119" spans="1:18">
      <c r="B119" s="64"/>
      <c r="C119" s="357"/>
      <c r="D119" s="357"/>
      <c r="E119" s="357"/>
      <c r="F119" s="64"/>
      <c r="H119" s="64"/>
      <c r="K119" s="357"/>
      <c r="L119" s="357"/>
      <c r="M119" s="357"/>
      <c r="N119" s="357"/>
      <c r="O119" s="357"/>
      <c r="P119" s="357"/>
      <c r="Q119" s="356"/>
      <c r="R119" s="357"/>
    </row>
    <row r="120" spans="1:18">
      <c r="B120" s="64"/>
      <c r="C120" s="357"/>
      <c r="D120" s="357"/>
      <c r="E120" s="357"/>
      <c r="F120" s="64"/>
      <c r="H120" s="64"/>
      <c r="K120" s="357"/>
      <c r="L120" s="357"/>
      <c r="M120" s="357"/>
      <c r="N120" s="357"/>
      <c r="O120" s="357"/>
      <c r="P120" s="357"/>
      <c r="Q120" s="356"/>
      <c r="R120" s="357"/>
    </row>
    <row r="121" spans="1:18">
      <c r="B121" s="64"/>
      <c r="C121" s="357"/>
      <c r="D121" s="357"/>
      <c r="E121" s="357"/>
      <c r="F121" s="64"/>
      <c r="H121" s="64"/>
      <c r="K121" s="357"/>
      <c r="L121" s="357"/>
      <c r="M121" s="357"/>
      <c r="N121" s="357"/>
      <c r="O121" s="357"/>
      <c r="P121" s="357"/>
      <c r="Q121" s="356"/>
      <c r="R121" s="357"/>
    </row>
    <row r="122" spans="1:18">
      <c r="B122" s="64"/>
      <c r="C122" s="357"/>
      <c r="D122" s="357"/>
      <c r="E122" s="357"/>
      <c r="F122" s="64"/>
      <c r="H122" s="64"/>
      <c r="K122" s="357"/>
      <c r="L122" s="357"/>
      <c r="M122" s="357"/>
      <c r="N122" s="357"/>
      <c r="O122" s="357"/>
      <c r="P122" s="357"/>
      <c r="Q122" s="356"/>
      <c r="R122" s="357"/>
    </row>
    <row r="123" spans="1:18">
      <c r="B123" s="64"/>
      <c r="C123" s="357"/>
      <c r="D123" s="357"/>
      <c r="E123" s="357"/>
      <c r="F123" s="64"/>
      <c r="H123" s="64"/>
      <c r="K123" s="357"/>
      <c r="L123" s="357"/>
      <c r="M123" s="357"/>
      <c r="N123" s="357"/>
      <c r="O123" s="357"/>
      <c r="P123" s="357"/>
      <c r="Q123" s="356"/>
      <c r="R123" s="357"/>
    </row>
    <row r="124" spans="1:18">
      <c r="A124" s="357"/>
      <c r="B124" s="64"/>
      <c r="C124" s="357"/>
      <c r="D124" s="357"/>
      <c r="E124" s="357"/>
      <c r="F124" s="64"/>
      <c r="H124" s="64"/>
      <c r="K124" s="357"/>
      <c r="L124" s="357"/>
      <c r="M124" s="357"/>
      <c r="N124" s="357"/>
      <c r="O124" s="357"/>
      <c r="P124" s="357"/>
      <c r="Q124" s="356"/>
      <c r="R124" s="357"/>
    </row>
    <row r="125" spans="1:18">
      <c r="A125" s="357"/>
      <c r="B125" s="64"/>
      <c r="C125" s="357"/>
      <c r="D125" s="357"/>
      <c r="E125" s="357"/>
      <c r="F125" s="64"/>
      <c r="H125" s="64"/>
      <c r="K125" s="357"/>
      <c r="L125" s="357"/>
      <c r="M125" s="357"/>
      <c r="N125" s="357"/>
      <c r="O125" s="357"/>
      <c r="P125" s="357"/>
      <c r="Q125" s="356"/>
      <c r="R125" s="357"/>
    </row>
    <row r="126" spans="1:18">
      <c r="A126" s="357"/>
      <c r="B126" s="64"/>
      <c r="C126" s="357"/>
      <c r="D126" s="357"/>
      <c r="E126" s="357"/>
      <c r="F126" s="64"/>
      <c r="H126" s="64"/>
      <c r="K126" s="357"/>
      <c r="L126" s="357"/>
      <c r="M126" s="357"/>
      <c r="N126" s="357"/>
      <c r="O126" s="357"/>
      <c r="P126" s="357"/>
      <c r="Q126" s="356"/>
      <c r="R126" s="357"/>
    </row>
    <row r="127" spans="1:18">
      <c r="A127" s="357"/>
      <c r="B127" s="64"/>
      <c r="C127" s="357"/>
      <c r="D127" s="357"/>
      <c r="E127" s="357"/>
      <c r="F127" s="64"/>
      <c r="H127" s="64"/>
      <c r="K127" s="357"/>
      <c r="L127" s="357"/>
      <c r="M127" s="357"/>
      <c r="N127" s="357"/>
      <c r="O127" s="357"/>
      <c r="P127" s="357"/>
      <c r="Q127" s="356"/>
      <c r="R127" s="357"/>
    </row>
    <row r="128" spans="1:18">
      <c r="A128" s="357"/>
      <c r="B128" s="64"/>
      <c r="C128" s="357"/>
      <c r="D128" s="357"/>
      <c r="E128" s="357"/>
      <c r="F128" s="64"/>
      <c r="H128" s="64"/>
      <c r="K128" s="357"/>
      <c r="L128" s="357"/>
      <c r="M128" s="357"/>
      <c r="N128" s="357"/>
      <c r="O128" s="357"/>
      <c r="P128" s="357"/>
      <c r="Q128" s="356"/>
      <c r="R128" s="357"/>
    </row>
    <row r="129" spans="1:18">
      <c r="A129" s="357"/>
      <c r="B129" s="64"/>
      <c r="C129" s="357"/>
      <c r="D129" s="357"/>
      <c r="E129" s="357"/>
      <c r="F129" s="64"/>
      <c r="H129" s="64"/>
      <c r="K129" s="357"/>
      <c r="L129" s="357"/>
      <c r="M129" s="357"/>
      <c r="N129" s="357"/>
      <c r="O129" s="357"/>
      <c r="P129" s="357"/>
      <c r="Q129" s="356"/>
      <c r="R129" s="357"/>
    </row>
    <row r="130" spans="1:18">
      <c r="A130" s="357"/>
      <c r="B130" s="64"/>
      <c r="C130" s="357"/>
      <c r="D130" s="357"/>
      <c r="E130" s="357"/>
      <c r="F130" s="64"/>
      <c r="H130" s="64"/>
      <c r="K130" s="357"/>
      <c r="L130" s="357"/>
      <c r="M130" s="357"/>
      <c r="N130" s="357"/>
      <c r="O130" s="357"/>
      <c r="P130" s="357"/>
      <c r="Q130" s="356"/>
      <c r="R130" s="357"/>
    </row>
    <row r="131" spans="1:18">
      <c r="A131" s="357"/>
      <c r="B131" s="64"/>
      <c r="C131" s="357"/>
      <c r="D131" s="357"/>
      <c r="E131" s="357"/>
      <c r="F131" s="64"/>
      <c r="H131" s="64"/>
      <c r="K131" s="357"/>
      <c r="L131" s="357"/>
      <c r="M131" s="357"/>
      <c r="N131" s="357"/>
      <c r="O131" s="357"/>
      <c r="P131" s="357"/>
      <c r="Q131" s="356"/>
      <c r="R131" s="357"/>
    </row>
    <row r="132" spans="1:18">
      <c r="A132" s="357"/>
      <c r="B132" s="64"/>
      <c r="C132" s="357"/>
      <c r="D132" s="357"/>
      <c r="E132" s="357"/>
      <c r="F132" s="64"/>
      <c r="H132" s="64"/>
      <c r="K132" s="357"/>
      <c r="L132" s="357"/>
      <c r="M132" s="357"/>
      <c r="N132" s="357"/>
      <c r="O132" s="357"/>
      <c r="P132" s="357"/>
      <c r="Q132" s="356"/>
      <c r="R132" s="357"/>
    </row>
    <row r="133" spans="1:18">
      <c r="A133" s="357"/>
      <c r="B133" s="64"/>
      <c r="C133" s="357"/>
      <c r="D133" s="357"/>
      <c r="E133" s="357"/>
      <c r="F133" s="64"/>
      <c r="H133" s="64"/>
      <c r="K133" s="357"/>
      <c r="L133" s="357"/>
      <c r="M133" s="357"/>
      <c r="N133" s="357"/>
      <c r="O133" s="357"/>
      <c r="P133" s="357"/>
      <c r="Q133" s="356"/>
      <c r="R133" s="357"/>
    </row>
    <row r="134" spans="1:18">
      <c r="A134" s="357"/>
      <c r="B134" s="64"/>
      <c r="C134" s="357"/>
      <c r="D134" s="357"/>
      <c r="E134" s="357"/>
      <c r="F134" s="64"/>
      <c r="H134" s="64"/>
      <c r="K134" s="357"/>
      <c r="L134" s="357"/>
      <c r="M134" s="357"/>
      <c r="N134" s="357"/>
      <c r="O134" s="357"/>
      <c r="P134" s="357"/>
      <c r="Q134" s="356"/>
      <c r="R134" s="357"/>
    </row>
    <row r="135" spans="1:18">
      <c r="A135" s="357"/>
      <c r="B135" s="64"/>
      <c r="C135" s="357"/>
      <c r="D135" s="357"/>
      <c r="E135" s="357"/>
      <c r="F135" s="64"/>
      <c r="H135" s="64"/>
      <c r="K135" s="357"/>
      <c r="L135" s="357"/>
      <c r="M135" s="357"/>
      <c r="N135" s="357"/>
      <c r="O135" s="357"/>
      <c r="P135" s="357"/>
      <c r="Q135" s="356"/>
      <c r="R135" s="357"/>
    </row>
    <row r="136" spans="1:18">
      <c r="A136" s="357"/>
      <c r="B136" s="64"/>
      <c r="C136" s="357"/>
      <c r="D136" s="357"/>
      <c r="E136" s="357"/>
      <c r="F136" s="64"/>
      <c r="H136" s="64"/>
      <c r="K136" s="357"/>
      <c r="L136" s="357"/>
      <c r="M136" s="357"/>
      <c r="N136" s="357"/>
      <c r="O136" s="357"/>
      <c r="P136" s="357"/>
      <c r="Q136" s="356"/>
      <c r="R136" s="357"/>
    </row>
    <row r="137" spans="1:18">
      <c r="A137" s="357"/>
      <c r="B137" s="64"/>
      <c r="C137" s="357"/>
      <c r="D137" s="357"/>
      <c r="E137" s="357"/>
      <c r="F137" s="64"/>
      <c r="H137" s="64"/>
      <c r="K137" s="357"/>
      <c r="L137" s="357"/>
      <c r="M137" s="357"/>
      <c r="N137" s="357"/>
      <c r="O137" s="357"/>
      <c r="P137" s="357"/>
      <c r="Q137" s="356"/>
      <c r="R137" s="357"/>
    </row>
    <row r="138" spans="1:18">
      <c r="A138" s="357"/>
      <c r="B138" s="64"/>
      <c r="C138" s="357"/>
      <c r="D138" s="357"/>
      <c r="E138" s="357"/>
      <c r="F138" s="64"/>
      <c r="H138" s="64"/>
      <c r="K138" s="357"/>
      <c r="L138" s="357"/>
      <c r="M138" s="357"/>
      <c r="N138" s="357"/>
      <c r="O138" s="357"/>
      <c r="P138" s="357"/>
      <c r="Q138" s="356"/>
      <c r="R138" s="357"/>
    </row>
    <row r="139" spans="1:18">
      <c r="A139" s="357"/>
      <c r="B139" s="64"/>
      <c r="C139" s="357"/>
      <c r="D139" s="357"/>
      <c r="E139" s="357"/>
      <c r="F139" s="64"/>
      <c r="H139" s="64"/>
      <c r="K139" s="357"/>
      <c r="L139" s="357"/>
      <c r="M139" s="357"/>
      <c r="N139" s="357"/>
      <c r="O139" s="357"/>
      <c r="P139" s="357"/>
      <c r="Q139" s="356"/>
      <c r="R139" s="357"/>
    </row>
    <row r="140" spans="1:18">
      <c r="A140" s="357"/>
      <c r="B140" s="64"/>
      <c r="C140" s="357"/>
      <c r="D140" s="357"/>
      <c r="E140" s="357"/>
      <c r="F140" s="64"/>
      <c r="H140" s="64"/>
      <c r="K140" s="357"/>
      <c r="L140" s="357"/>
      <c r="M140" s="357"/>
      <c r="N140" s="357"/>
      <c r="O140" s="357"/>
      <c r="P140" s="357"/>
      <c r="Q140" s="356"/>
      <c r="R140" s="357"/>
    </row>
    <row r="141" spans="1:18">
      <c r="A141" s="357"/>
      <c r="B141" s="64"/>
      <c r="C141" s="357"/>
      <c r="D141" s="357"/>
      <c r="E141" s="357"/>
      <c r="F141" s="64"/>
      <c r="H141" s="64"/>
      <c r="K141" s="357"/>
      <c r="L141" s="357"/>
      <c r="M141" s="357"/>
      <c r="N141" s="357"/>
      <c r="O141" s="357"/>
      <c r="P141" s="357"/>
      <c r="Q141" s="356"/>
      <c r="R141" s="357"/>
    </row>
    <row r="142" spans="1:18">
      <c r="A142" s="357"/>
      <c r="B142" s="64"/>
      <c r="C142" s="357"/>
      <c r="D142" s="357"/>
      <c r="E142" s="357"/>
      <c r="F142" s="64"/>
      <c r="H142" s="64"/>
      <c r="K142" s="357"/>
      <c r="L142" s="357"/>
      <c r="M142" s="357"/>
      <c r="N142" s="357"/>
      <c r="O142" s="357"/>
      <c r="P142" s="357"/>
      <c r="Q142" s="356"/>
      <c r="R142" s="357"/>
    </row>
    <row r="143" spans="1:18">
      <c r="A143" s="357"/>
      <c r="B143" s="64"/>
      <c r="C143" s="357"/>
      <c r="D143" s="357"/>
      <c r="E143" s="357"/>
      <c r="F143" s="64"/>
      <c r="H143" s="64"/>
      <c r="K143" s="357"/>
      <c r="L143" s="357"/>
      <c r="M143" s="357"/>
      <c r="N143" s="357"/>
      <c r="O143" s="357"/>
      <c r="P143" s="357"/>
      <c r="Q143" s="356"/>
      <c r="R143" s="357"/>
    </row>
    <row r="144" spans="1:18">
      <c r="A144" s="357"/>
      <c r="B144" s="64"/>
      <c r="C144" s="357"/>
      <c r="D144" s="357"/>
      <c r="E144" s="357"/>
      <c r="F144" s="64"/>
      <c r="H144" s="64"/>
      <c r="K144" s="357"/>
      <c r="L144" s="357"/>
      <c r="M144" s="357"/>
      <c r="N144" s="357"/>
      <c r="O144" s="357"/>
      <c r="P144" s="357"/>
      <c r="Q144" s="356"/>
      <c r="R144" s="357"/>
    </row>
    <row r="145" spans="1:18">
      <c r="A145" s="357"/>
      <c r="B145" s="64"/>
      <c r="C145" s="357"/>
      <c r="D145" s="357"/>
      <c r="E145" s="357"/>
      <c r="F145" s="64"/>
      <c r="H145" s="64"/>
      <c r="K145" s="357"/>
      <c r="L145" s="357"/>
      <c r="M145" s="357"/>
      <c r="N145" s="357"/>
      <c r="O145" s="357"/>
      <c r="P145" s="357"/>
      <c r="Q145" s="356"/>
      <c r="R145" s="357"/>
    </row>
    <row r="146" spans="1:18">
      <c r="A146" s="357"/>
      <c r="B146" s="64"/>
      <c r="C146" s="357"/>
      <c r="D146" s="357"/>
      <c r="E146" s="357"/>
      <c r="F146" s="64"/>
      <c r="H146" s="64"/>
      <c r="K146" s="357"/>
      <c r="L146" s="357"/>
      <c r="M146" s="357"/>
      <c r="N146" s="357"/>
      <c r="O146" s="357"/>
      <c r="P146" s="357"/>
      <c r="Q146" s="356"/>
      <c r="R146" s="357"/>
    </row>
    <row r="147" spans="1:18">
      <c r="A147" s="357"/>
      <c r="B147" s="64"/>
      <c r="C147" s="357"/>
      <c r="D147" s="357"/>
      <c r="E147" s="357"/>
      <c r="F147" s="64"/>
      <c r="H147" s="64"/>
      <c r="K147" s="357"/>
      <c r="L147" s="357"/>
      <c r="M147" s="357"/>
      <c r="N147" s="357"/>
      <c r="O147" s="357"/>
      <c r="P147" s="357"/>
      <c r="Q147" s="356"/>
      <c r="R147" s="357"/>
    </row>
    <row r="148" spans="1:18">
      <c r="A148" s="357"/>
      <c r="B148" s="64"/>
      <c r="C148" s="357"/>
      <c r="D148" s="357"/>
      <c r="E148" s="357"/>
      <c r="F148" s="64"/>
      <c r="H148" s="64"/>
      <c r="K148" s="357"/>
      <c r="L148" s="357"/>
      <c r="M148" s="357"/>
      <c r="N148" s="357"/>
      <c r="O148" s="357"/>
      <c r="P148" s="357"/>
      <c r="Q148" s="356"/>
      <c r="R148" s="357"/>
    </row>
    <row r="149" spans="1:18">
      <c r="A149" s="357"/>
      <c r="B149" s="64"/>
      <c r="C149" s="357"/>
      <c r="D149" s="357"/>
      <c r="E149" s="357"/>
      <c r="F149" s="64"/>
      <c r="H149" s="64"/>
      <c r="K149" s="357"/>
      <c r="L149" s="357"/>
      <c r="M149" s="357"/>
      <c r="N149" s="357"/>
      <c r="O149" s="357"/>
      <c r="P149" s="357"/>
      <c r="Q149" s="356"/>
      <c r="R149" s="357"/>
    </row>
    <row r="150" spans="1:18">
      <c r="A150" s="357"/>
      <c r="B150" s="64"/>
      <c r="C150" s="357"/>
      <c r="D150" s="357"/>
      <c r="E150" s="357"/>
      <c r="F150" s="64"/>
      <c r="H150" s="64"/>
      <c r="K150" s="357"/>
      <c r="L150" s="357"/>
      <c r="M150" s="357"/>
      <c r="N150" s="357"/>
      <c r="O150" s="357"/>
      <c r="P150" s="357"/>
      <c r="Q150" s="356"/>
      <c r="R150" s="357"/>
    </row>
    <row r="151" spans="1:18">
      <c r="A151" s="357"/>
      <c r="B151" s="64"/>
      <c r="C151" s="357"/>
      <c r="D151" s="357"/>
      <c r="E151" s="357"/>
      <c r="F151" s="64"/>
      <c r="H151" s="64"/>
      <c r="K151" s="357"/>
      <c r="L151" s="357"/>
      <c r="M151" s="357"/>
      <c r="N151" s="357"/>
      <c r="O151" s="357"/>
      <c r="P151" s="357"/>
      <c r="Q151" s="356"/>
      <c r="R151" s="357"/>
    </row>
    <row r="152" spans="1:18">
      <c r="A152" s="357"/>
      <c r="B152" s="64"/>
      <c r="C152" s="357"/>
      <c r="D152" s="357"/>
      <c r="E152" s="357"/>
      <c r="F152" s="64"/>
      <c r="H152" s="64"/>
      <c r="K152" s="357"/>
      <c r="L152" s="357"/>
      <c r="M152" s="357"/>
      <c r="N152" s="357"/>
      <c r="O152" s="357"/>
      <c r="P152" s="357"/>
      <c r="Q152" s="356"/>
      <c r="R152" s="357"/>
    </row>
    <row r="153" spans="1:18">
      <c r="A153" s="357"/>
      <c r="B153" s="64"/>
      <c r="C153" s="357"/>
      <c r="D153" s="357"/>
      <c r="E153" s="357"/>
      <c r="F153" s="64"/>
      <c r="H153" s="64"/>
      <c r="K153" s="357"/>
      <c r="L153" s="357"/>
      <c r="M153" s="357"/>
      <c r="N153" s="357"/>
      <c r="O153" s="357"/>
      <c r="P153" s="357"/>
      <c r="Q153" s="356"/>
      <c r="R153" s="357"/>
    </row>
    <row r="154" spans="1:18">
      <c r="A154" s="357"/>
      <c r="B154" s="64"/>
      <c r="C154" s="357"/>
      <c r="D154" s="357"/>
      <c r="E154" s="357"/>
      <c r="F154" s="64"/>
      <c r="H154" s="64"/>
      <c r="K154" s="357"/>
      <c r="L154" s="357"/>
      <c r="M154" s="357"/>
      <c r="N154" s="357"/>
      <c r="O154" s="357"/>
      <c r="P154" s="357"/>
      <c r="Q154" s="356"/>
      <c r="R154" s="357"/>
    </row>
    <row r="155" spans="1:18">
      <c r="A155" s="357"/>
      <c r="B155" s="64"/>
      <c r="C155" s="357"/>
      <c r="D155" s="357"/>
      <c r="E155" s="357"/>
      <c r="F155" s="64"/>
      <c r="H155" s="64"/>
      <c r="K155" s="357"/>
      <c r="L155" s="357"/>
      <c r="M155" s="357"/>
      <c r="N155" s="357"/>
      <c r="O155" s="357"/>
      <c r="P155" s="357"/>
      <c r="Q155" s="356"/>
      <c r="R155" s="357"/>
    </row>
    <row r="156" spans="1:18">
      <c r="A156" s="357"/>
      <c r="B156" s="64"/>
      <c r="C156" s="357"/>
      <c r="D156" s="357"/>
      <c r="E156" s="357"/>
      <c r="F156" s="64"/>
      <c r="H156" s="64"/>
      <c r="K156" s="357"/>
      <c r="L156" s="357"/>
      <c r="M156" s="357"/>
      <c r="N156" s="357"/>
      <c r="O156" s="357"/>
      <c r="P156" s="357"/>
      <c r="Q156" s="356"/>
      <c r="R156" s="357"/>
    </row>
    <row r="157" spans="1:18">
      <c r="A157" s="357"/>
      <c r="B157" s="64"/>
      <c r="C157" s="357"/>
      <c r="D157" s="357"/>
      <c r="E157" s="357"/>
      <c r="F157" s="64"/>
      <c r="H157" s="64"/>
      <c r="K157" s="357"/>
      <c r="L157" s="357"/>
      <c r="M157" s="357"/>
      <c r="N157" s="357"/>
      <c r="O157" s="357"/>
      <c r="P157" s="357"/>
      <c r="Q157" s="356"/>
      <c r="R157" s="357"/>
    </row>
    <row r="158" spans="1:18">
      <c r="A158" s="357"/>
      <c r="B158" s="64"/>
      <c r="C158" s="357"/>
      <c r="D158" s="357"/>
      <c r="E158" s="357"/>
      <c r="F158" s="64"/>
      <c r="H158" s="64"/>
      <c r="K158" s="357"/>
      <c r="L158" s="357"/>
      <c r="M158" s="357"/>
      <c r="N158" s="357"/>
      <c r="O158" s="357"/>
      <c r="P158" s="357"/>
      <c r="Q158" s="356"/>
      <c r="R158" s="357"/>
    </row>
    <row r="159" spans="1:18">
      <c r="A159" s="357"/>
      <c r="B159" s="64"/>
      <c r="C159" s="357"/>
      <c r="D159" s="357"/>
      <c r="E159" s="357"/>
      <c r="F159" s="64"/>
      <c r="H159" s="64"/>
      <c r="K159" s="357"/>
      <c r="L159" s="357"/>
      <c r="M159" s="357"/>
      <c r="N159" s="357"/>
      <c r="O159" s="357"/>
      <c r="P159" s="357"/>
      <c r="Q159" s="356"/>
      <c r="R159" s="357"/>
    </row>
    <row r="160" spans="1:18">
      <c r="A160" s="357"/>
      <c r="B160" s="64"/>
      <c r="C160" s="357"/>
      <c r="D160" s="357"/>
      <c r="E160" s="357"/>
      <c r="F160" s="64"/>
      <c r="H160" s="64"/>
      <c r="K160" s="357"/>
      <c r="L160" s="357"/>
      <c r="M160" s="357"/>
      <c r="N160" s="357"/>
      <c r="O160" s="357"/>
      <c r="P160" s="357"/>
      <c r="Q160" s="356"/>
      <c r="R160" s="357"/>
    </row>
    <row r="161" spans="1:18">
      <c r="A161" s="357"/>
      <c r="B161" s="64"/>
      <c r="C161" s="357"/>
      <c r="D161" s="357"/>
      <c r="E161" s="357"/>
      <c r="F161" s="64"/>
      <c r="H161" s="64"/>
      <c r="K161" s="357"/>
      <c r="L161" s="357"/>
      <c r="M161" s="357"/>
      <c r="N161" s="357"/>
      <c r="O161" s="357"/>
      <c r="P161" s="357"/>
      <c r="Q161" s="356"/>
      <c r="R161" s="357"/>
    </row>
    <row r="162" spans="1:18">
      <c r="A162" s="357"/>
      <c r="B162" s="64"/>
      <c r="C162" s="357"/>
      <c r="D162" s="357"/>
      <c r="E162" s="357"/>
      <c r="F162" s="64"/>
      <c r="H162" s="64"/>
      <c r="K162" s="357"/>
      <c r="L162" s="357"/>
      <c r="M162" s="357"/>
      <c r="N162" s="357"/>
      <c r="O162" s="357"/>
      <c r="P162" s="357"/>
      <c r="Q162" s="356"/>
      <c r="R162" s="357"/>
    </row>
    <row r="163" spans="1:18">
      <c r="A163" s="357"/>
      <c r="B163" s="64"/>
      <c r="C163" s="357"/>
      <c r="D163" s="357"/>
      <c r="E163" s="357"/>
      <c r="F163" s="64"/>
      <c r="H163" s="64"/>
      <c r="K163" s="357"/>
      <c r="L163" s="357"/>
      <c r="M163" s="357"/>
      <c r="N163" s="357"/>
      <c r="O163" s="357"/>
      <c r="P163" s="357"/>
      <c r="Q163" s="356"/>
      <c r="R163" s="357"/>
    </row>
    <row r="164" spans="1:18">
      <c r="A164" s="357"/>
      <c r="B164" s="64"/>
      <c r="C164" s="357"/>
      <c r="D164" s="357"/>
      <c r="E164" s="357"/>
      <c r="F164" s="64"/>
      <c r="H164" s="64"/>
      <c r="K164" s="357"/>
      <c r="L164" s="357"/>
      <c r="M164" s="357"/>
      <c r="N164" s="357"/>
      <c r="O164" s="357"/>
      <c r="P164" s="357"/>
      <c r="Q164" s="356"/>
      <c r="R164" s="357"/>
    </row>
    <row r="165" spans="1:18">
      <c r="A165" s="357"/>
      <c r="B165" s="64"/>
      <c r="C165" s="357"/>
      <c r="D165" s="357"/>
      <c r="E165" s="357"/>
      <c r="F165" s="64"/>
      <c r="H165" s="64"/>
      <c r="K165" s="357"/>
      <c r="L165" s="357"/>
      <c r="M165" s="357"/>
      <c r="N165" s="357"/>
      <c r="O165" s="357"/>
      <c r="P165" s="357"/>
      <c r="Q165" s="356"/>
      <c r="R165" s="357"/>
    </row>
    <row r="166" spans="1:18">
      <c r="A166" s="357"/>
      <c r="B166" s="64"/>
      <c r="C166" s="357"/>
      <c r="D166" s="357"/>
      <c r="E166" s="357"/>
      <c r="F166" s="64"/>
      <c r="H166" s="64"/>
      <c r="K166" s="357"/>
      <c r="L166" s="357"/>
      <c r="M166" s="357"/>
      <c r="N166" s="357"/>
      <c r="O166" s="357"/>
      <c r="P166" s="357"/>
      <c r="Q166" s="356"/>
      <c r="R166" s="357"/>
    </row>
    <row r="167" spans="1:18">
      <c r="A167" s="357"/>
      <c r="B167" s="64"/>
      <c r="C167" s="357"/>
      <c r="D167" s="357"/>
      <c r="E167" s="357"/>
      <c r="F167" s="64"/>
      <c r="H167" s="64"/>
      <c r="K167" s="357"/>
      <c r="L167" s="357"/>
      <c r="M167" s="357"/>
      <c r="N167" s="357"/>
      <c r="O167" s="357"/>
      <c r="P167" s="357"/>
      <c r="Q167" s="356"/>
      <c r="R167" s="357"/>
    </row>
    <row r="168" spans="1:18">
      <c r="A168" s="357"/>
      <c r="B168" s="64"/>
      <c r="C168" s="357"/>
      <c r="D168" s="357"/>
      <c r="E168" s="357"/>
      <c r="F168" s="64"/>
      <c r="H168" s="64"/>
      <c r="K168" s="357"/>
      <c r="L168" s="357"/>
      <c r="M168" s="357"/>
      <c r="N168" s="357"/>
      <c r="O168" s="357"/>
      <c r="P168" s="357"/>
      <c r="Q168" s="356"/>
      <c r="R168" s="357"/>
    </row>
    <row r="169" spans="1:18">
      <c r="A169" s="357"/>
      <c r="B169" s="64"/>
      <c r="C169" s="357"/>
      <c r="D169" s="357"/>
      <c r="E169" s="357"/>
      <c r="F169" s="64"/>
      <c r="H169" s="64"/>
      <c r="K169" s="357"/>
      <c r="L169" s="357"/>
      <c r="M169" s="357"/>
      <c r="N169" s="357"/>
      <c r="O169" s="357"/>
      <c r="P169" s="357"/>
      <c r="Q169" s="356"/>
      <c r="R169" s="357"/>
    </row>
    <row r="170" spans="1:18">
      <c r="A170" s="357"/>
      <c r="B170" s="64"/>
      <c r="C170" s="357"/>
      <c r="D170" s="357"/>
      <c r="E170" s="357"/>
      <c r="F170" s="64"/>
      <c r="H170" s="64"/>
      <c r="K170" s="357"/>
      <c r="L170" s="357"/>
      <c r="M170" s="357"/>
      <c r="N170" s="357"/>
      <c r="O170" s="357"/>
      <c r="P170" s="357"/>
      <c r="Q170" s="356"/>
      <c r="R170" s="357"/>
    </row>
    <row r="171" spans="1:18">
      <c r="A171" s="357"/>
      <c r="B171" s="64"/>
      <c r="C171" s="357"/>
      <c r="D171" s="357"/>
      <c r="E171" s="357"/>
      <c r="F171" s="64"/>
      <c r="H171" s="64"/>
      <c r="K171" s="357"/>
      <c r="L171" s="357"/>
      <c r="M171" s="357"/>
      <c r="N171" s="357"/>
      <c r="O171" s="357"/>
      <c r="P171" s="357"/>
      <c r="Q171" s="356"/>
      <c r="R171" s="357"/>
    </row>
    <row r="172" spans="1:18">
      <c r="A172" s="357"/>
      <c r="B172" s="64"/>
      <c r="C172" s="357"/>
      <c r="D172" s="357"/>
      <c r="E172" s="357"/>
      <c r="F172" s="64"/>
      <c r="H172" s="64"/>
      <c r="K172" s="357"/>
      <c r="L172" s="357"/>
      <c r="M172" s="357"/>
      <c r="N172" s="357"/>
      <c r="O172" s="357"/>
      <c r="P172" s="357"/>
      <c r="Q172" s="356"/>
      <c r="R172" s="357"/>
    </row>
    <row r="173" spans="1:18">
      <c r="A173" s="357"/>
      <c r="B173" s="64"/>
      <c r="C173" s="357"/>
      <c r="D173" s="357"/>
      <c r="E173" s="357"/>
      <c r="F173" s="64"/>
      <c r="H173" s="64"/>
      <c r="K173" s="357"/>
      <c r="L173" s="357"/>
      <c r="M173" s="357"/>
      <c r="N173" s="357"/>
      <c r="O173" s="357"/>
      <c r="P173" s="357"/>
      <c r="Q173" s="356"/>
      <c r="R173" s="357"/>
    </row>
    <row r="174" spans="1:18">
      <c r="A174" s="357"/>
      <c r="B174" s="64"/>
      <c r="C174" s="357"/>
      <c r="D174" s="357"/>
      <c r="E174" s="357"/>
      <c r="F174" s="64"/>
      <c r="H174" s="64"/>
      <c r="K174" s="357"/>
      <c r="L174" s="357"/>
      <c r="M174" s="357"/>
      <c r="N174" s="357"/>
      <c r="O174" s="357"/>
      <c r="P174" s="357"/>
      <c r="Q174" s="356"/>
      <c r="R174" s="357"/>
    </row>
    <row r="175" spans="1:18">
      <c r="A175" s="357"/>
      <c r="B175" s="64"/>
      <c r="C175" s="357"/>
      <c r="D175" s="357"/>
      <c r="E175" s="357"/>
      <c r="F175" s="64"/>
      <c r="H175" s="64"/>
      <c r="K175" s="357"/>
      <c r="L175" s="357"/>
      <c r="M175" s="357"/>
      <c r="N175" s="357"/>
      <c r="O175" s="357"/>
      <c r="P175" s="357"/>
      <c r="Q175" s="356"/>
      <c r="R175" s="357"/>
    </row>
    <row r="176" spans="1:18">
      <c r="A176" s="357"/>
      <c r="B176" s="64"/>
      <c r="C176" s="357"/>
      <c r="D176" s="357"/>
      <c r="E176" s="357"/>
      <c r="F176" s="64"/>
      <c r="H176" s="64"/>
      <c r="K176" s="357"/>
      <c r="L176" s="357"/>
      <c r="M176" s="357"/>
      <c r="N176" s="357"/>
      <c r="O176" s="357"/>
      <c r="P176" s="357"/>
      <c r="Q176" s="356"/>
      <c r="R176" s="357"/>
    </row>
    <row r="177" spans="1:18">
      <c r="A177" s="357"/>
      <c r="B177" s="64"/>
      <c r="C177" s="357"/>
      <c r="D177" s="357"/>
      <c r="E177" s="357"/>
      <c r="F177" s="64"/>
      <c r="H177" s="64"/>
      <c r="K177" s="357"/>
      <c r="L177" s="357"/>
      <c r="M177" s="357"/>
      <c r="N177" s="357"/>
      <c r="O177" s="357"/>
      <c r="P177" s="357"/>
      <c r="Q177" s="356"/>
      <c r="R177" s="357"/>
    </row>
    <row r="178" spans="1:18">
      <c r="A178" s="357"/>
      <c r="B178" s="64"/>
      <c r="C178" s="357"/>
      <c r="D178" s="357"/>
      <c r="E178" s="357"/>
      <c r="F178" s="64"/>
      <c r="H178" s="64"/>
      <c r="K178" s="357"/>
      <c r="L178" s="357"/>
      <c r="M178" s="357"/>
      <c r="N178" s="357"/>
      <c r="O178" s="357"/>
      <c r="P178" s="357"/>
      <c r="Q178" s="356"/>
      <c r="R178" s="357"/>
    </row>
    <row r="179" spans="1:18">
      <c r="A179" s="357"/>
      <c r="B179" s="64"/>
      <c r="C179" s="357"/>
      <c r="D179" s="357"/>
      <c r="E179" s="357"/>
      <c r="F179" s="64"/>
      <c r="H179" s="64"/>
      <c r="K179" s="357"/>
      <c r="L179" s="357"/>
      <c r="M179" s="357"/>
      <c r="N179" s="357"/>
      <c r="O179" s="357"/>
      <c r="P179" s="357"/>
      <c r="Q179" s="356"/>
      <c r="R179" s="357"/>
    </row>
  </sheetData>
  <dataConsolidate/>
  <mergeCells count="26">
    <mergeCell ref="A26:A27"/>
    <mergeCell ref="Q26:Q27"/>
    <mergeCell ref="R26:R27"/>
    <mergeCell ref="A55:A56"/>
    <mergeCell ref="A28:A32"/>
    <mergeCell ref="Q28:Q32"/>
    <mergeCell ref="R28:R32"/>
    <mergeCell ref="A33:A35"/>
    <mergeCell ref="A36:A37"/>
    <mergeCell ref="A39:A40"/>
    <mergeCell ref="A41:A43"/>
    <mergeCell ref="A45:A48"/>
    <mergeCell ref="A49:A50"/>
    <mergeCell ref="A51:A52"/>
    <mergeCell ref="A53:A54"/>
    <mergeCell ref="AF2:AK2"/>
    <mergeCell ref="AA23:AF23"/>
    <mergeCell ref="A9:A13"/>
    <mergeCell ref="C1:I1"/>
    <mergeCell ref="K1:P1"/>
    <mergeCell ref="T2:Y2"/>
    <mergeCell ref="A4:A5"/>
    <mergeCell ref="A6:A8"/>
    <mergeCell ref="A15:A20"/>
    <mergeCell ref="A21:A24"/>
    <mergeCell ref="T24:U24"/>
  </mergeCells>
  <conditionalFormatting sqref="O3:O56">
    <cfRule type="cellIs" dxfId="26" priority="5" operator="lessThan">
      <formula>0</formula>
    </cfRule>
  </conditionalFormatting>
  <conditionalFormatting sqref="M3:M56">
    <cfRule type="expression" dxfId="25" priority="4">
      <formula>(M3&lt;E3)</formula>
    </cfRule>
  </conditionalFormatting>
  <conditionalFormatting sqref="U4:Z15">
    <cfRule type="cellIs" dxfId="24" priority="3" operator="greaterThan">
      <formula>0</formula>
    </cfRule>
  </conditionalFormatting>
  <conditionalFormatting sqref="AG4:AL15">
    <cfRule type="cellIs" dxfId="23" priority="2" operator="greaterThan">
      <formula>0</formula>
    </cfRule>
  </conditionalFormatting>
  <conditionalFormatting sqref="AB25:AG36">
    <cfRule type="cellIs" dxfId="22" priority="1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79"/>
  <sheetViews>
    <sheetView topLeftCell="P1" zoomScale="80" zoomScaleNormal="80" workbookViewId="0">
      <selection activeCell="U46" sqref="U46"/>
    </sheetView>
  </sheetViews>
  <sheetFormatPr defaultColWidth="9" defaultRowHeight="12.75"/>
  <cols>
    <col min="1" max="1" width="13.42578125" style="5" customWidth="1"/>
    <col min="2" max="2" width="22.7109375" style="63" customWidth="1"/>
    <col min="3" max="3" width="26.7109375" style="59" customWidth="1"/>
    <col min="4" max="4" width="16.85546875" style="59" customWidth="1"/>
    <col min="5" max="5" width="16.7109375" style="62" customWidth="1"/>
    <col min="6" max="8" width="23.7109375" style="61" customWidth="1"/>
    <col min="9" max="9" width="36.140625" style="61" customWidth="1"/>
    <col min="10" max="10" width="16.140625" style="59" customWidth="1"/>
    <col min="11" max="11" width="28.85546875" style="59" customWidth="1"/>
    <col min="12" max="12" width="17.7109375" style="59" customWidth="1"/>
    <col min="13" max="13" width="16.140625" style="59" customWidth="1"/>
    <col min="14" max="14" width="21.5703125" style="59" customWidth="1"/>
    <col min="15" max="16" width="30" style="59" customWidth="1"/>
    <col min="17" max="17" width="23.28515625" style="59" customWidth="1"/>
    <col min="18" max="18" width="26.42578125" style="59" customWidth="1"/>
    <col min="19" max="19" width="30.7109375" style="59" customWidth="1"/>
    <col min="20" max="20" width="30.7109375" style="410" customWidth="1"/>
    <col min="21" max="21" width="28.140625" style="411" customWidth="1"/>
    <col min="22" max="22" width="26.42578125" style="411" customWidth="1"/>
    <col min="23" max="23" width="23" style="58" customWidth="1"/>
    <col min="24" max="24" width="22.85546875" style="5" customWidth="1"/>
    <col min="25" max="25" width="23.7109375" style="5" customWidth="1"/>
    <col min="26" max="26" width="21.5703125" style="5" customWidth="1"/>
    <col min="27" max="16384" width="9" style="5"/>
  </cols>
  <sheetData>
    <row r="1" spans="1:30" ht="14.25" customHeight="1">
      <c r="A1" s="364"/>
      <c r="B1" s="200"/>
      <c r="C1" s="516" t="s">
        <v>453</v>
      </c>
      <c r="D1" s="517"/>
      <c r="E1" s="517"/>
      <c r="F1" s="517"/>
      <c r="G1" s="517"/>
      <c r="H1" s="517"/>
      <c r="I1" s="517"/>
      <c r="J1" s="518"/>
      <c r="K1" s="521" t="s">
        <v>452</v>
      </c>
      <c r="L1" s="522"/>
      <c r="M1" s="522"/>
      <c r="N1" s="522"/>
      <c r="O1" s="522"/>
      <c r="P1" s="522"/>
      <c r="Q1" s="522"/>
      <c r="R1" s="360"/>
      <c r="S1" s="360"/>
      <c r="T1" s="360"/>
      <c r="U1" s="360"/>
      <c r="V1" s="360"/>
      <c r="X1" s="532"/>
      <c r="Y1" s="532"/>
      <c r="Z1" s="532"/>
    </row>
    <row r="2" spans="1:30" ht="14.25" customHeight="1" thickBot="1">
      <c r="A2" s="364" t="s">
        <v>451</v>
      </c>
      <c r="B2" s="198" t="s">
        <v>450</v>
      </c>
      <c r="C2" s="197" t="s">
        <v>449</v>
      </c>
      <c r="D2" s="196" t="s">
        <v>34</v>
      </c>
      <c r="E2" s="196" t="s">
        <v>33</v>
      </c>
      <c r="F2" s="196" t="s">
        <v>448</v>
      </c>
      <c r="G2" s="373" t="s">
        <v>460</v>
      </c>
      <c r="H2" s="373" t="s">
        <v>461</v>
      </c>
      <c r="I2" s="373" t="s">
        <v>481</v>
      </c>
      <c r="J2" s="373" t="s">
        <v>445</v>
      </c>
      <c r="K2" s="192" t="s">
        <v>447</v>
      </c>
      <c r="L2" s="194" t="s">
        <v>34</v>
      </c>
      <c r="M2" s="194" t="s">
        <v>33</v>
      </c>
      <c r="N2" s="193" t="s">
        <v>482</v>
      </c>
      <c r="O2" s="193" t="s">
        <v>483</v>
      </c>
      <c r="P2" s="193" t="s">
        <v>484</v>
      </c>
      <c r="Q2" s="192" t="s">
        <v>445</v>
      </c>
      <c r="R2" s="363"/>
      <c r="S2" s="363"/>
      <c r="T2" s="406"/>
      <c r="U2" s="406"/>
      <c r="V2" s="363"/>
      <c r="X2" s="366"/>
      <c r="Y2" s="366"/>
      <c r="Z2" s="366"/>
    </row>
    <row r="3" spans="1:30" ht="15" customHeight="1" thickBot="1">
      <c r="A3" s="164" t="s">
        <v>439</v>
      </c>
      <c r="B3" s="186" t="s">
        <v>438</v>
      </c>
      <c r="C3" s="185" t="s">
        <v>437</v>
      </c>
      <c r="D3" s="184">
        <v>386.9</v>
      </c>
      <c r="E3" s="184">
        <v>200</v>
      </c>
      <c r="F3" s="184">
        <v>131.95400000000001</v>
      </c>
      <c r="G3" s="299">
        <v>0.5</v>
      </c>
      <c r="H3" s="93">
        <f>G3*F3</f>
        <v>65.977000000000004</v>
      </c>
      <c r="I3" s="299">
        <v>66</v>
      </c>
      <c r="J3" s="299">
        <f>E3-H3</f>
        <v>134.023</v>
      </c>
      <c r="K3" s="180" t="s">
        <v>436</v>
      </c>
      <c r="L3" s="182">
        <v>598.85</v>
      </c>
      <c r="M3" s="182">
        <v>150</v>
      </c>
      <c r="N3" s="182">
        <f>H3</f>
        <v>65.977000000000004</v>
      </c>
      <c r="O3" s="182">
        <v>66</v>
      </c>
      <c r="P3" s="182">
        <f>-1*(O3-I3)/I3*100</f>
        <v>0</v>
      </c>
      <c r="Q3" s="181">
        <f>M3-H3</f>
        <v>84.022999999999996</v>
      </c>
      <c r="R3" s="367"/>
      <c r="S3" s="367"/>
      <c r="T3" s="343"/>
      <c r="U3" s="368"/>
      <c r="V3" s="368"/>
      <c r="X3" s="364"/>
      <c r="Y3" s="364"/>
      <c r="Z3" s="364"/>
    </row>
    <row r="4" spans="1:30" ht="15" customHeight="1">
      <c r="A4" s="497" t="s">
        <v>44</v>
      </c>
      <c r="B4" s="179" t="s">
        <v>3</v>
      </c>
      <c r="C4" s="178" t="s">
        <v>44</v>
      </c>
      <c r="D4" s="177">
        <v>424.31</v>
      </c>
      <c r="E4" s="177">
        <v>200</v>
      </c>
      <c r="F4" s="177">
        <v>79.758499999999998</v>
      </c>
      <c r="G4" s="84">
        <v>0.5</v>
      </c>
      <c r="H4" s="84">
        <f t="shared" ref="H4:H56" si="0">G4*F4</f>
        <v>39.879249999999999</v>
      </c>
      <c r="I4" s="84">
        <v>40</v>
      </c>
      <c r="J4" s="369">
        <f t="shared" ref="J4:J13" si="1">E4-H4</f>
        <v>160.12074999999999</v>
      </c>
      <c r="K4" s="304" t="s">
        <v>435</v>
      </c>
      <c r="L4" s="176">
        <v>561.44000000000005</v>
      </c>
      <c r="M4" s="176">
        <v>150</v>
      </c>
      <c r="N4" s="92">
        <f t="shared" ref="N4:N13" si="2">H4</f>
        <v>39.879249999999999</v>
      </c>
      <c r="O4" s="92">
        <v>40</v>
      </c>
      <c r="P4" s="92">
        <f t="shared" ref="P4:P56" si="3">-1*(O4-I4)/I4*100</f>
        <v>0</v>
      </c>
      <c r="Q4" s="91">
        <f t="shared" ref="Q4:Q13" si="4">M4-H4</f>
        <v>110.12075</v>
      </c>
      <c r="R4" s="367"/>
      <c r="S4" s="367"/>
      <c r="T4" s="343"/>
      <c r="U4" s="368"/>
      <c r="V4" s="368"/>
      <c r="X4" s="365"/>
      <c r="Y4" s="365"/>
      <c r="Z4" s="366"/>
    </row>
    <row r="5" spans="1:30" ht="14.25" customHeight="1" thickBot="1">
      <c r="A5" s="498"/>
      <c r="B5" s="174" t="s">
        <v>25</v>
      </c>
      <c r="C5" s="114" t="s">
        <v>65</v>
      </c>
      <c r="D5" s="94">
        <v>645.40499999999997</v>
      </c>
      <c r="E5" s="94">
        <v>150</v>
      </c>
      <c r="F5" s="94">
        <v>101.52370000000001</v>
      </c>
      <c r="G5" s="299">
        <v>0.5</v>
      </c>
      <c r="H5" s="299">
        <f t="shared" si="0"/>
        <v>50.761850000000003</v>
      </c>
      <c r="I5" s="299">
        <v>51</v>
      </c>
      <c r="J5" s="370">
        <f t="shared" si="1"/>
        <v>99.23814999999999</v>
      </c>
      <c r="K5" s="301" t="s">
        <v>430</v>
      </c>
      <c r="L5" s="92">
        <v>691.82</v>
      </c>
      <c r="M5" s="92">
        <v>150</v>
      </c>
      <c r="N5" s="92">
        <f t="shared" si="2"/>
        <v>50.761850000000003</v>
      </c>
      <c r="O5" s="92">
        <f t="shared" ref="O5:O56" si="5">IF(M5&lt;E5,"",I5)</f>
        <v>51</v>
      </c>
      <c r="P5" s="92">
        <f t="shared" si="3"/>
        <v>0</v>
      </c>
      <c r="Q5" s="91">
        <f t="shared" si="4"/>
        <v>99.23814999999999</v>
      </c>
      <c r="R5" s="367"/>
      <c r="S5" s="367"/>
      <c r="T5" s="343"/>
      <c r="U5" s="410"/>
      <c r="V5" s="365"/>
      <c r="X5" s="365"/>
      <c r="Y5" s="365"/>
      <c r="Z5" s="366"/>
    </row>
    <row r="6" spans="1:30" ht="14.25" customHeight="1">
      <c r="A6" s="497" t="s">
        <v>434</v>
      </c>
      <c r="B6" s="87" t="s">
        <v>433</v>
      </c>
      <c r="C6" s="86" t="s">
        <v>392</v>
      </c>
      <c r="D6" s="85">
        <v>774.56</v>
      </c>
      <c r="E6" s="85">
        <v>450</v>
      </c>
      <c r="F6" s="85">
        <v>593.39</v>
      </c>
      <c r="G6" s="93">
        <v>0.5</v>
      </c>
      <c r="H6" s="93">
        <f t="shared" si="0"/>
        <v>296.69499999999999</v>
      </c>
      <c r="I6" s="93">
        <v>297</v>
      </c>
      <c r="J6" s="371">
        <f t="shared" si="1"/>
        <v>153.30500000000001</v>
      </c>
      <c r="K6" s="100" t="s">
        <v>432</v>
      </c>
      <c r="L6" s="83">
        <v>778.62</v>
      </c>
      <c r="M6" s="83">
        <v>450</v>
      </c>
      <c r="N6" s="83">
        <f t="shared" si="2"/>
        <v>296.69499999999999</v>
      </c>
      <c r="O6" s="83">
        <f t="shared" si="5"/>
        <v>297</v>
      </c>
      <c r="P6" s="83">
        <f t="shared" si="3"/>
        <v>0</v>
      </c>
      <c r="Q6" s="82">
        <f t="shared" si="4"/>
        <v>153.30500000000001</v>
      </c>
      <c r="R6" s="367"/>
      <c r="S6" s="367"/>
      <c r="T6" s="343"/>
      <c r="U6" s="367"/>
      <c r="V6" s="367"/>
      <c r="X6" s="257"/>
      <c r="Y6" s="366"/>
      <c r="Z6" s="365"/>
    </row>
    <row r="7" spans="1:30" ht="14.25" customHeight="1">
      <c r="A7" s="499"/>
      <c r="B7" s="96" t="s">
        <v>4</v>
      </c>
      <c r="C7" s="95" t="s">
        <v>45</v>
      </c>
      <c r="D7" s="108">
        <v>221.095</v>
      </c>
      <c r="E7" s="108">
        <v>250</v>
      </c>
      <c r="F7" s="108">
        <v>165.54</v>
      </c>
      <c r="G7" s="93">
        <v>0.5</v>
      </c>
      <c r="H7" s="93">
        <f t="shared" si="0"/>
        <v>82.77</v>
      </c>
      <c r="I7" s="93">
        <v>83</v>
      </c>
      <c r="J7" s="371">
        <f t="shared" si="1"/>
        <v>167.23000000000002</v>
      </c>
      <c r="K7" s="302" t="s">
        <v>431</v>
      </c>
      <c r="L7" s="106">
        <v>904.18</v>
      </c>
      <c r="M7" s="106">
        <v>150</v>
      </c>
      <c r="N7" s="92">
        <f t="shared" si="2"/>
        <v>82.77</v>
      </c>
      <c r="O7" s="92">
        <v>83</v>
      </c>
      <c r="P7" s="92">
        <f t="shared" si="3"/>
        <v>0</v>
      </c>
      <c r="Q7" s="91">
        <f t="shared" si="4"/>
        <v>67.23</v>
      </c>
      <c r="R7" s="367"/>
      <c r="S7" s="367"/>
      <c r="T7" s="343"/>
      <c r="U7" s="367"/>
      <c r="V7" s="367"/>
      <c r="X7" s="257"/>
      <c r="Y7" s="366"/>
      <c r="Z7" s="365"/>
    </row>
    <row r="8" spans="1:30" ht="14.25" customHeight="1" thickBot="1">
      <c r="A8" s="499"/>
      <c r="B8" s="96" t="s">
        <v>25</v>
      </c>
      <c r="C8" s="95" t="s">
        <v>65</v>
      </c>
      <c r="D8" s="94">
        <v>645.40499999999997</v>
      </c>
      <c r="E8" s="94">
        <v>150</v>
      </c>
      <c r="F8" s="94">
        <v>101.52370000000001</v>
      </c>
      <c r="G8" s="93">
        <v>0.5</v>
      </c>
      <c r="H8" s="93">
        <f t="shared" si="0"/>
        <v>50.761850000000003</v>
      </c>
      <c r="I8" s="93">
        <v>51</v>
      </c>
      <c r="J8" s="371">
        <f t="shared" si="1"/>
        <v>99.23814999999999</v>
      </c>
      <c r="K8" s="301" t="s">
        <v>430</v>
      </c>
      <c r="L8" s="92">
        <v>691.82</v>
      </c>
      <c r="M8" s="92">
        <v>150</v>
      </c>
      <c r="N8" s="72">
        <f t="shared" si="2"/>
        <v>50.761850000000003</v>
      </c>
      <c r="O8" s="72">
        <f t="shared" si="5"/>
        <v>51</v>
      </c>
      <c r="P8" s="72">
        <f t="shared" si="3"/>
        <v>0</v>
      </c>
      <c r="Q8" s="119">
        <f t="shared" si="4"/>
        <v>99.23814999999999</v>
      </c>
      <c r="R8" s="367"/>
      <c r="S8" s="367"/>
      <c r="T8" s="343"/>
      <c r="U8" s="367"/>
      <c r="V8" s="367"/>
      <c r="X8" s="365"/>
      <c r="Y8" s="365"/>
      <c r="Z8" s="365"/>
    </row>
    <row r="9" spans="1:30" ht="14.25" customHeight="1">
      <c r="A9" s="497" t="s">
        <v>46</v>
      </c>
      <c r="B9" s="87" t="s">
        <v>5</v>
      </c>
      <c r="C9" s="86" t="s">
        <v>46</v>
      </c>
      <c r="D9" s="85">
        <v>87.444999999999993</v>
      </c>
      <c r="E9" s="85">
        <v>300</v>
      </c>
      <c r="F9" s="85">
        <v>330.03719999999998</v>
      </c>
      <c r="G9" s="84">
        <v>0.5</v>
      </c>
      <c r="H9" s="84">
        <f t="shared" si="0"/>
        <v>165.01859999999999</v>
      </c>
      <c r="I9" s="84">
        <v>165</v>
      </c>
      <c r="J9" s="369">
        <f t="shared" si="1"/>
        <v>134.98140000000001</v>
      </c>
      <c r="K9" s="100" t="s">
        <v>429</v>
      </c>
      <c r="L9" s="83">
        <v>243.73500000000001</v>
      </c>
      <c r="M9" s="83">
        <v>250</v>
      </c>
      <c r="N9" s="92">
        <f t="shared" si="2"/>
        <v>165.01859999999999</v>
      </c>
      <c r="O9" s="92">
        <v>165</v>
      </c>
      <c r="P9" s="92">
        <f t="shared" si="3"/>
        <v>0</v>
      </c>
      <c r="Q9" s="91">
        <f t="shared" si="4"/>
        <v>84.981400000000008</v>
      </c>
      <c r="R9" s="365"/>
      <c r="S9" s="365"/>
      <c r="T9" s="343"/>
      <c r="U9" s="367"/>
      <c r="V9" s="367"/>
    </row>
    <row r="10" spans="1:30" ht="14.25" customHeight="1">
      <c r="A10" s="499"/>
      <c r="B10" s="96" t="s">
        <v>7</v>
      </c>
      <c r="C10" s="95" t="s">
        <v>48</v>
      </c>
      <c r="D10" s="108">
        <v>457.755</v>
      </c>
      <c r="E10" s="108">
        <v>200</v>
      </c>
      <c r="F10" s="108">
        <v>200.11</v>
      </c>
      <c r="G10" s="93">
        <v>0.5</v>
      </c>
      <c r="H10" s="93">
        <f t="shared" si="0"/>
        <v>100.05500000000001</v>
      </c>
      <c r="I10" s="93">
        <v>100</v>
      </c>
      <c r="J10" s="371">
        <f t="shared" si="1"/>
        <v>99.944999999999993</v>
      </c>
      <c r="K10" s="302" t="s">
        <v>428</v>
      </c>
      <c r="L10" s="106">
        <v>614.06500000000005</v>
      </c>
      <c r="M10" s="106">
        <v>150</v>
      </c>
      <c r="N10" s="92">
        <f t="shared" si="2"/>
        <v>100.05500000000001</v>
      </c>
      <c r="O10" s="92">
        <v>100</v>
      </c>
      <c r="P10" s="92">
        <f t="shared" si="3"/>
        <v>0</v>
      </c>
      <c r="Q10" s="91">
        <f t="shared" si="4"/>
        <v>49.944999999999993</v>
      </c>
      <c r="R10" s="365"/>
      <c r="S10" s="365"/>
      <c r="T10" s="343"/>
      <c r="U10" s="367"/>
      <c r="V10" s="367"/>
      <c r="X10" s="365"/>
      <c r="Y10" s="365"/>
      <c r="Z10" s="365"/>
    </row>
    <row r="11" spans="1:30" ht="14.25" customHeight="1">
      <c r="A11" s="499"/>
      <c r="B11" s="96" t="s">
        <v>8</v>
      </c>
      <c r="C11" s="95" t="s">
        <v>74</v>
      </c>
      <c r="D11" s="108">
        <v>632.29</v>
      </c>
      <c r="E11" s="108">
        <v>300</v>
      </c>
      <c r="F11" s="108">
        <v>416.14780000000002</v>
      </c>
      <c r="G11" s="93">
        <v>0.5</v>
      </c>
      <c r="H11" s="93">
        <f t="shared" si="0"/>
        <v>208.07390000000001</v>
      </c>
      <c r="I11" s="93">
        <v>208</v>
      </c>
      <c r="J11" s="371">
        <f t="shared" si="1"/>
        <v>91.926099999999991</v>
      </c>
      <c r="K11" s="302" t="s">
        <v>427</v>
      </c>
      <c r="L11" s="106">
        <v>692.19500000000005</v>
      </c>
      <c r="M11" s="106">
        <v>300</v>
      </c>
      <c r="N11" s="92">
        <f t="shared" si="2"/>
        <v>208.07390000000001</v>
      </c>
      <c r="O11" s="92">
        <f t="shared" si="5"/>
        <v>208</v>
      </c>
      <c r="P11" s="92">
        <f t="shared" si="3"/>
        <v>0</v>
      </c>
      <c r="Q11" s="91">
        <f t="shared" si="4"/>
        <v>91.926099999999991</v>
      </c>
      <c r="R11" s="365"/>
      <c r="S11" s="365"/>
      <c r="T11" s="343"/>
      <c r="U11" s="367"/>
      <c r="V11" s="367"/>
      <c r="X11" s="363"/>
      <c r="Y11" s="363"/>
      <c r="Z11" s="363"/>
      <c r="AA11" s="365"/>
      <c r="AB11" s="365"/>
      <c r="AC11" s="365"/>
      <c r="AD11" s="365"/>
    </row>
    <row r="12" spans="1:30" ht="14.25" customHeight="1">
      <c r="A12" s="499"/>
      <c r="B12" s="96" t="s">
        <v>12</v>
      </c>
      <c r="C12" s="95" t="s">
        <v>52</v>
      </c>
      <c r="D12" s="108">
        <v>428.91</v>
      </c>
      <c r="E12" s="108">
        <v>200</v>
      </c>
      <c r="F12" s="108">
        <v>320.77999999999997</v>
      </c>
      <c r="G12" s="93">
        <v>0.5</v>
      </c>
      <c r="H12" s="93">
        <f t="shared" si="0"/>
        <v>160.38999999999999</v>
      </c>
      <c r="I12" s="93">
        <v>160</v>
      </c>
      <c r="J12" s="371">
        <f t="shared" si="1"/>
        <v>39.610000000000014</v>
      </c>
      <c r="K12" s="302" t="s">
        <v>421</v>
      </c>
      <c r="L12" s="106">
        <v>440.09</v>
      </c>
      <c r="M12" s="106">
        <v>200</v>
      </c>
      <c r="N12" s="92">
        <f t="shared" si="2"/>
        <v>160.38999999999999</v>
      </c>
      <c r="O12" s="92">
        <f t="shared" si="5"/>
        <v>160</v>
      </c>
      <c r="P12" s="92">
        <f t="shared" si="3"/>
        <v>0</v>
      </c>
      <c r="Q12" s="91">
        <f t="shared" si="4"/>
        <v>39.610000000000014</v>
      </c>
      <c r="R12" s="365"/>
      <c r="S12" s="365"/>
      <c r="T12" s="343"/>
      <c r="U12" s="367"/>
      <c r="V12" s="367"/>
      <c r="X12" s="365"/>
      <c r="Y12" s="365"/>
      <c r="Z12" s="365"/>
      <c r="AA12" s="534"/>
      <c r="AB12" s="534"/>
      <c r="AC12" s="365"/>
      <c r="AD12" s="365"/>
    </row>
    <row r="13" spans="1:30" ht="14.25" customHeight="1" thickBot="1">
      <c r="A13" s="499"/>
      <c r="B13" s="96" t="s">
        <v>397</v>
      </c>
      <c r="C13" s="95" t="s">
        <v>63</v>
      </c>
      <c r="D13" s="94">
        <v>530.30999999999995</v>
      </c>
      <c r="E13" s="94">
        <v>200</v>
      </c>
      <c r="F13" s="94">
        <v>22.35</v>
      </c>
      <c r="G13" s="299">
        <v>0.5</v>
      </c>
      <c r="H13" s="299">
        <f t="shared" si="0"/>
        <v>11.175000000000001</v>
      </c>
      <c r="I13" s="299">
        <v>11</v>
      </c>
      <c r="J13" s="370">
        <f t="shared" si="1"/>
        <v>188.82499999999999</v>
      </c>
      <c r="K13" s="301" t="s">
        <v>419</v>
      </c>
      <c r="L13" s="92">
        <v>541.49</v>
      </c>
      <c r="M13" s="92">
        <v>150</v>
      </c>
      <c r="N13" s="92">
        <f t="shared" si="2"/>
        <v>11.175000000000001</v>
      </c>
      <c r="O13" s="92">
        <v>11</v>
      </c>
      <c r="P13" s="92">
        <f t="shared" si="3"/>
        <v>0</v>
      </c>
      <c r="Q13" s="91">
        <f t="shared" si="4"/>
        <v>138.82499999999999</v>
      </c>
      <c r="R13" s="365"/>
      <c r="S13" s="365"/>
      <c r="T13" s="343"/>
      <c r="U13" s="367"/>
      <c r="V13" s="367"/>
      <c r="X13" s="363"/>
      <c r="Y13" s="363"/>
      <c r="Z13" s="363"/>
      <c r="AA13" s="363"/>
      <c r="AB13" s="363"/>
      <c r="AC13" s="365"/>
      <c r="AD13" s="365"/>
    </row>
    <row r="14" spans="1:30" ht="13.5" thickBot="1">
      <c r="A14" s="362" t="s">
        <v>427</v>
      </c>
      <c r="B14" s="87" t="s">
        <v>351</v>
      </c>
      <c r="C14" s="163"/>
      <c r="D14" s="85"/>
      <c r="E14" s="85"/>
      <c r="F14" s="85"/>
      <c r="G14" s="93">
        <v>0.5</v>
      </c>
      <c r="H14" s="93">
        <f t="shared" si="0"/>
        <v>0</v>
      </c>
      <c r="I14" s="93"/>
      <c r="J14" s="371"/>
      <c r="K14" s="100"/>
      <c r="L14" s="83"/>
      <c r="M14" s="83"/>
      <c r="N14" s="182"/>
      <c r="O14" s="182"/>
      <c r="P14" s="182"/>
      <c r="Q14" s="181"/>
      <c r="R14" s="365"/>
      <c r="S14" s="365"/>
      <c r="T14" s="343"/>
      <c r="U14" s="343"/>
      <c r="V14" s="365"/>
      <c r="X14" s="365"/>
      <c r="Y14" s="365"/>
      <c r="Z14" s="18"/>
      <c r="AA14" s="365"/>
      <c r="AB14" s="365"/>
      <c r="AC14" s="365"/>
      <c r="AD14" s="365"/>
    </row>
    <row r="15" spans="1:30" ht="14.25" customHeight="1">
      <c r="A15" s="497" t="s">
        <v>49</v>
      </c>
      <c r="B15" s="87" t="s">
        <v>426</v>
      </c>
      <c r="C15" s="86" t="s">
        <v>47</v>
      </c>
      <c r="D15" s="85">
        <v>341.36500000000001</v>
      </c>
      <c r="E15" s="85">
        <v>400</v>
      </c>
      <c r="F15" s="85">
        <v>414.50749999999999</v>
      </c>
      <c r="G15" s="84">
        <v>0.5</v>
      </c>
      <c r="H15" s="84">
        <f t="shared" si="0"/>
        <v>207.25375</v>
      </c>
      <c r="I15" s="84">
        <v>207</v>
      </c>
      <c r="J15" s="369">
        <f>E15-H15</f>
        <v>192.74625</v>
      </c>
      <c r="K15" s="100" t="s">
        <v>425</v>
      </c>
      <c r="L15" s="83">
        <v>527.53499999999997</v>
      </c>
      <c r="M15" s="83">
        <v>600</v>
      </c>
      <c r="N15" s="92">
        <f>H15</f>
        <v>207.25375</v>
      </c>
      <c r="O15" s="92">
        <f t="shared" si="5"/>
        <v>207</v>
      </c>
      <c r="P15" s="92">
        <f t="shared" si="3"/>
        <v>0</v>
      </c>
      <c r="Q15" s="91">
        <f>M15-H15</f>
        <v>392.74625000000003</v>
      </c>
      <c r="R15" s="365"/>
      <c r="S15" s="365"/>
      <c r="T15" s="343"/>
      <c r="U15" s="367"/>
      <c r="V15" s="367"/>
      <c r="X15" s="365"/>
      <c r="Y15" s="365"/>
      <c r="Z15" s="18"/>
      <c r="AA15" s="365"/>
      <c r="AB15" s="365"/>
      <c r="AC15" s="365"/>
      <c r="AD15" s="365"/>
    </row>
    <row r="16" spans="1:30" ht="14.25" customHeight="1">
      <c r="A16" s="499"/>
      <c r="B16" s="96" t="s">
        <v>9</v>
      </c>
      <c r="C16" s="95" t="s">
        <v>424</v>
      </c>
      <c r="D16" s="108">
        <v>72.555000000000007</v>
      </c>
      <c r="E16" s="108">
        <v>300</v>
      </c>
      <c r="F16" s="108">
        <v>249.06020000000001</v>
      </c>
      <c r="G16" s="93">
        <v>0.5</v>
      </c>
      <c r="H16" s="93">
        <f t="shared" si="0"/>
        <v>124.5301</v>
      </c>
      <c r="I16" s="93">
        <v>125</v>
      </c>
      <c r="J16" s="371">
        <f t="shared" ref="J16:J24" si="6">E16-H16</f>
        <v>175.4699</v>
      </c>
      <c r="K16" s="302" t="s">
        <v>423</v>
      </c>
      <c r="L16" s="106">
        <v>258.625</v>
      </c>
      <c r="M16" s="106">
        <v>250</v>
      </c>
      <c r="N16" s="92">
        <f t="shared" ref="N16:N24" si="7">H16</f>
        <v>124.5301</v>
      </c>
      <c r="O16" s="92">
        <v>125</v>
      </c>
      <c r="P16" s="92">
        <f t="shared" si="3"/>
        <v>0</v>
      </c>
      <c r="Q16" s="91">
        <f t="shared" ref="Q16:Q24" si="8">M16-H16</f>
        <v>125.4699</v>
      </c>
      <c r="R16" s="365"/>
      <c r="S16" s="365"/>
      <c r="T16" s="343"/>
      <c r="U16" s="367"/>
      <c r="V16" s="367"/>
      <c r="X16" s="18"/>
      <c r="Y16" s="365"/>
      <c r="Z16" s="18"/>
      <c r="AA16" s="365"/>
      <c r="AB16" s="365"/>
      <c r="AC16" s="333"/>
      <c r="AD16" s="365"/>
    </row>
    <row r="17" spans="1:30" ht="14.25" customHeight="1">
      <c r="A17" s="499"/>
      <c r="B17" s="96" t="s">
        <v>10</v>
      </c>
      <c r="C17" s="95" t="s">
        <v>386</v>
      </c>
      <c r="D17" s="108">
        <v>894.93</v>
      </c>
      <c r="E17" s="108">
        <v>150</v>
      </c>
      <c r="F17" s="108">
        <v>185.4342</v>
      </c>
      <c r="G17" s="93">
        <v>0.5</v>
      </c>
      <c r="H17" s="93">
        <f t="shared" si="0"/>
        <v>92.717100000000002</v>
      </c>
      <c r="I17" s="93">
        <v>93</v>
      </c>
      <c r="J17" s="371">
        <f t="shared" si="6"/>
        <v>57.282899999999998</v>
      </c>
      <c r="K17" s="302" t="s">
        <v>385</v>
      </c>
      <c r="L17" s="106">
        <v>975.03499999999997</v>
      </c>
      <c r="M17" s="106">
        <v>150</v>
      </c>
      <c r="N17" s="92">
        <f t="shared" si="7"/>
        <v>92.717100000000002</v>
      </c>
      <c r="O17" s="92">
        <f t="shared" si="5"/>
        <v>93</v>
      </c>
      <c r="P17" s="92">
        <f t="shared" si="3"/>
        <v>0</v>
      </c>
      <c r="Q17" s="91">
        <f t="shared" si="8"/>
        <v>57.282899999999998</v>
      </c>
      <c r="R17" s="365"/>
      <c r="S17" s="365"/>
      <c r="T17" s="343"/>
      <c r="U17" s="367"/>
      <c r="V17" s="367"/>
      <c r="X17" s="18"/>
      <c r="Y17" s="365"/>
      <c r="Z17" s="18"/>
      <c r="AA17" s="365"/>
      <c r="AB17" s="365"/>
      <c r="AC17" s="365"/>
      <c r="AD17" s="365"/>
    </row>
    <row r="18" spans="1:30" ht="14.25" customHeight="1">
      <c r="A18" s="499"/>
      <c r="B18" s="96" t="s">
        <v>11</v>
      </c>
      <c r="C18" s="95" t="s">
        <v>378</v>
      </c>
      <c r="D18" s="108">
        <v>839.23</v>
      </c>
      <c r="E18" s="108">
        <v>150</v>
      </c>
      <c r="F18" s="108">
        <v>213.84829999999999</v>
      </c>
      <c r="G18" s="93">
        <v>0.5</v>
      </c>
      <c r="H18" s="93">
        <f t="shared" si="0"/>
        <v>106.92415</v>
      </c>
      <c r="I18" s="93">
        <v>107</v>
      </c>
      <c r="J18" s="371">
        <f t="shared" si="6"/>
        <v>43.075850000000003</v>
      </c>
      <c r="K18" s="302" t="s">
        <v>422</v>
      </c>
      <c r="L18" s="106">
        <v>1025.3</v>
      </c>
      <c r="M18" s="106">
        <v>150</v>
      </c>
      <c r="N18" s="92">
        <f t="shared" si="7"/>
        <v>106.92415</v>
      </c>
      <c r="O18" s="92">
        <f t="shared" si="5"/>
        <v>107</v>
      </c>
      <c r="P18" s="92">
        <f t="shared" si="3"/>
        <v>0</v>
      </c>
      <c r="Q18" s="91">
        <f t="shared" si="8"/>
        <v>43.075850000000003</v>
      </c>
      <c r="R18" s="365"/>
      <c r="S18" s="365"/>
      <c r="T18" s="343"/>
      <c r="U18" s="367"/>
      <c r="V18" s="367"/>
      <c r="X18" s="18"/>
      <c r="Y18" s="365"/>
      <c r="Z18" s="365"/>
      <c r="AA18" s="365"/>
      <c r="AB18" s="365"/>
      <c r="AC18" s="365"/>
      <c r="AD18" s="365"/>
    </row>
    <row r="19" spans="1:30" ht="14.25" customHeight="1">
      <c r="A19" s="499"/>
      <c r="B19" s="96" t="s">
        <v>12</v>
      </c>
      <c r="C19" s="95" t="s">
        <v>52</v>
      </c>
      <c r="D19" s="108">
        <v>428.91</v>
      </c>
      <c r="E19" s="108">
        <v>200</v>
      </c>
      <c r="F19" s="108">
        <v>320.7817</v>
      </c>
      <c r="G19" s="93">
        <v>0.5</v>
      </c>
      <c r="H19" s="93">
        <f t="shared" si="0"/>
        <v>160.39085</v>
      </c>
      <c r="I19" s="93">
        <v>11</v>
      </c>
      <c r="J19" s="371">
        <f t="shared" si="6"/>
        <v>39.60915</v>
      </c>
      <c r="K19" s="302" t="s">
        <v>421</v>
      </c>
      <c r="L19" s="106">
        <v>440.09</v>
      </c>
      <c r="M19" s="106">
        <v>200</v>
      </c>
      <c r="N19" s="92">
        <f t="shared" si="7"/>
        <v>160.39085</v>
      </c>
      <c r="O19" s="92">
        <f t="shared" si="5"/>
        <v>11</v>
      </c>
      <c r="P19" s="92">
        <f t="shared" si="3"/>
        <v>0</v>
      </c>
      <c r="Q19" s="91">
        <f t="shared" si="8"/>
        <v>39.60915</v>
      </c>
      <c r="R19" s="365"/>
      <c r="S19" s="365"/>
      <c r="T19" s="343"/>
      <c r="U19" s="367"/>
      <c r="V19" s="367"/>
      <c r="X19" s="18"/>
      <c r="Y19" s="365"/>
      <c r="Z19" s="365"/>
      <c r="AA19" s="365"/>
      <c r="AB19" s="365"/>
      <c r="AC19" s="365"/>
      <c r="AD19" s="365"/>
    </row>
    <row r="20" spans="1:30" ht="14.25" customHeight="1" thickBot="1">
      <c r="A20" s="499"/>
      <c r="B20" s="96" t="s">
        <v>420</v>
      </c>
      <c r="C20" s="95" t="s">
        <v>412</v>
      </c>
      <c r="D20" s="94">
        <v>530.30999999999995</v>
      </c>
      <c r="E20" s="94">
        <v>200</v>
      </c>
      <c r="F20" s="94">
        <v>22.35</v>
      </c>
      <c r="G20" s="299">
        <v>0.5</v>
      </c>
      <c r="H20" s="299">
        <f t="shared" si="0"/>
        <v>11.175000000000001</v>
      </c>
      <c r="I20" s="299"/>
      <c r="J20" s="370">
        <f t="shared" si="6"/>
        <v>188.82499999999999</v>
      </c>
      <c r="K20" s="301" t="s">
        <v>419</v>
      </c>
      <c r="L20" s="92">
        <v>541.49</v>
      </c>
      <c r="M20" s="92">
        <v>150</v>
      </c>
      <c r="N20" s="92">
        <f t="shared" si="7"/>
        <v>11.175000000000001</v>
      </c>
      <c r="O20" s="92">
        <v>11</v>
      </c>
      <c r="P20" s="92"/>
      <c r="Q20" s="91">
        <f t="shared" si="8"/>
        <v>138.82499999999999</v>
      </c>
      <c r="R20" s="365"/>
      <c r="S20" s="365"/>
      <c r="T20" s="343"/>
      <c r="U20" s="367"/>
      <c r="V20" s="367"/>
      <c r="X20" s="365"/>
      <c r="Y20" s="365"/>
      <c r="Z20" s="365"/>
      <c r="AA20" s="365"/>
      <c r="AB20" s="365"/>
      <c r="AC20" s="365"/>
      <c r="AD20" s="365"/>
    </row>
    <row r="21" spans="1:30" ht="14.25" customHeight="1">
      <c r="A21" s="497" t="s">
        <v>414</v>
      </c>
      <c r="B21" s="87" t="s">
        <v>7</v>
      </c>
      <c r="C21" s="86" t="s">
        <v>48</v>
      </c>
      <c r="D21" s="85">
        <v>457.755</v>
      </c>
      <c r="E21" s="85">
        <v>200</v>
      </c>
      <c r="F21" s="85">
        <v>200.1122</v>
      </c>
      <c r="G21" s="93">
        <v>0.5</v>
      </c>
      <c r="H21" s="93">
        <f t="shared" si="0"/>
        <v>100.0561</v>
      </c>
      <c r="I21" s="93">
        <v>100</v>
      </c>
      <c r="J21" s="371">
        <f t="shared" si="6"/>
        <v>99.943899999999999</v>
      </c>
      <c r="K21" s="100" t="s">
        <v>417</v>
      </c>
      <c r="L21" s="83">
        <v>733.18499999999995</v>
      </c>
      <c r="M21" s="83">
        <v>200</v>
      </c>
      <c r="N21" s="83">
        <f t="shared" si="7"/>
        <v>100.0561</v>
      </c>
      <c r="O21" s="83">
        <f t="shared" si="5"/>
        <v>100</v>
      </c>
      <c r="P21" s="83">
        <f t="shared" si="3"/>
        <v>0</v>
      </c>
      <c r="Q21" s="82">
        <f t="shared" si="8"/>
        <v>99.943899999999999</v>
      </c>
      <c r="R21" s="367"/>
      <c r="S21" s="367"/>
      <c r="T21" s="343"/>
      <c r="U21" s="367"/>
      <c r="V21" s="367"/>
      <c r="X21" s="365"/>
      <c r="Y21" s="365"/>
      <c r="Z21" s="365"/>
      <c r="AA21" s="365"/>
      <c r="AB21" s="365"/>
      <c r="AC21" s="365"/>
      <c r="AD21" s="365"/>
    </row>
    <row r="22" spans="1:30" ht="14.25" customHeight="1">
      <c r="A22" s="499"/>
      <c r="B22" s="96" t="s">
        <v>416</v>
      </c>
      <c r="C22" s="95" t="s">
        <v>74</v>
      </c>
      <c r="D22" s="108">
        <v>632.29</v>
      </c>
      <c r="E22" s="108">
        <v>300</v>
      </c>
      <c r="F22" s="108">
        <v>416.14780000000002</v>
      </c>
      <c r="G22" s="93">
        <v>0.5</v>
      </c>
      <c r="H22" s="93">
        <f t="shared" si="0"/>
        <v>208.07390000000001</v>
      </c>
      <c r="I22" s="93">
        <v>208</v>
      </c>
      <c r="J22" s="371">
        <f t="shared" si="6"/>
        <v>91.926099999999991</v>
      </c>
      <c r="K22" s="302" t="s">
        <v>361</v>
      </c>
      <c r="L22" s="106">
        <v>692.19500000000005</v>
      </c>
      <c r="M22" s="106">
        <v>300</v>
      </c>
      <c r="N22" s="92">
        <f t="shared" si="7"/>
        <v>208.07390000000001</v>
      </c>
      <c r="O22" s="92">
        <f t="shared" si="5"/>
        <v>208</v>
      </c>
      <c r="P22" s="92">
        <f t="shared" si="3"/>
        <v>0</v>
      </c>
      <c r="Q22" s="91">
        <f t="shared" si="8"/>
        <v>91.926099999999991</v>
      </c>
      <c r="R22" s="367"/>
      <c r="S22" s="367"/>
      <c r="T22" s="343"/>
      <c r="U22" s="367"/>
      <c r="V22" s="367"/>
      <c r="X22" s="534"/>
      <c r="Y22" s="534"/>
      <c r="Z22" s="534"/>
      <c r="AA22" s="365"/>
      <c r="AB22" s="365"/>
      <c r="AC22" s="365"/>
      <c r="AD22" s="365"/>
    </row>
    <row r="23" spans="1:30" ht="14.25" customHeight="1">
      <c r="A23" s="499"/>
      <c r="B23" s="96" t="s">
        <v>415</v>
      </c>
      <c r="C23" s="95" t="s">
        <v>414</v>
      </c>
      <c r="D23" s="108">
        <v>370.31</v>
      </c>
      <c r="E23" s="108">
        <v>200</v>
      </c>
      <c r="F23" s="108">
        <v>24.103000000000002</v>
      </c>
      <c r="G23" s="93">
        <v>0.5</v>
      </c>
      <c r="H23" s="93">
        <f t="shared" si="0"/>
        <v>12.051500000000001</v>
      </c>
      <c r="I23" s="93">
        <v>12</v>
      </c>
      <c r="J23" s="371">
        <f t="shared" si="6"/>
        <v>187.9485</v>
      </c>
      <c r="K23" s="302" t="s">
        <v>413</v>
      </c>
      <c r="L23" s="106">
        <v>820.63</v>
      </c>
      <c r="M23" s="106">
        <v>150</v>
      </c>
      <c r="N23" s="92">
        <f t="shared" si="7"/>
        <v>12.051500000000001</v>
      </c>
      <c r="O23" s="92">
        <v>12</v>
      </c>
      <c r="P23" s="92">
        <f t="shared" si="3"/>
        <v>0</v>
      </c>
      <c r="Q23" s="91">
        <f t="shared" si="8"/>
        <v>137.9485</v>
      </c>
      <c r="R23" s="367"/>
      <c r="S23" s="367"/>
      <c r="T23" s="343"/>
      <c r="U23" s="367"/>
      <c r="V23" s="367"/>
      <c r="X23" s="365"/>
      <c r="Y23" s="365"/>
      <c r="Z23" s="365"/>
      <c r="AA23" s="534"/>
      <c r="AB23" s="534"/>
      <c r="AC23" s="365"/>
      <c r="AD23" s="365"/>
    </row>
    <row r="24" spans="1:30" ht="14.25" customHeight="1" thickBot="1">
      <c r="A24" s="499"/>
      <c r="B24" s="96" t="s">
        <v>397</v>
      </c>
      <c r="C24" s="95" t="s">
        <v>412</v>
      </c>
      <c r="D24" s="94">
        <v>530.30999999999995</v>
      </c>
      <c r="E24" s="94">
        <v>200</v>
      </c>
      <c r="F24" s="94">
        <v>22.35</v>
      </c>
      <c r="G24" s="93">
        <v>0.5</v>
      </c>
      <c r="H24" s="93">
        <f t="shared" si="0"/>
        <v>11.175000000000001</v>
      </c>
      <c r="I24" s="93">
        <v>11</v>
      </c>
      <c r="J24" s="371">
        <f t="shared" si="6"/>
        <v>188.82499999999999</v>
      </c>
      <c r="K24" s="301" t="s">
        <v>411</v>
      </c>
      <c r="L24" s="92">
        <v>660.63</v>
      </c>
      <c r="M24" s="92">
        <v>150</v>
      </c>
      <c r="N24" s="72">
        <f t="shared" si="7"/>
        <v>11.175000000000001</v>
      </c>
      <c r="O24" s="72">
        <v>11</v>
      </c>
      <c r="P24" s="72">
        <f t="shared" si="3"/>
        <v>0</v>
      </c>
      <c r="Q24" s="119">
        <f t="shared" si="8"/>
        <v>138.82499999999999</v>
      </c>
      <c r="R24" s="367"/>
      <c r="S24" s="367"/>
      <c r="T24" s="343"/>
      <c r="U24" s="367"/>
      <c r="V24" s="367"/>
      <c r="X24" s="363"/>
      <c r="Y24" s="363"/>
      <c r="Z24" s="363"/>
      <c r="AA24" s="363"/>
      <c r="AB24" s="363"/>
      <c r="AC24" s="365"/>
      <c r="AD24" s="365"/>
    </row>
    <row r="25" spans="1:30" ht="15" customHeight="1" thickBot="1">
      <c r="A25" s="164" t="s">
        <v>410</v>
      </c>
      <c r="B25" s="87" t="s">
        <v>409</v>
      </c>
      <c r="C25" s="163"/>
      <c r="D25" s="85"/>
      <c r="E25" s="85"/>
      <c r="F25" s="85"/>
      <c r="G25" s="183">
        <v>0.5</v>
      </c>
      <c r="H25" s="183">
        <f t="shared" si="0"/>
        <v>0</v>
      </c>
      <c r="I25" s="183"/>
      <c r="J25" s="372"/>
      <c r="K25" s="100"/>
      <c r="L25" s="83"/>
      <c r="M25" s="83"/>
      <c r="N25" s="92"/>
      <c r="O25" s="92"/>
      <c r="P25" s="92"/>
      <c r="Q25" s="91"/>
      <c r="R25" s="365"/>
      <c r="S25" s="365"/>
      <c r="T25" s="343"/>
      <c r="U25" s="368"/>
      <c r="V25" s="368"/>
      <c r="X25" s="365"/>
      <c r="Y25" s="365"/>
      <c r="Z25" s="18"/>
      <c r="AA25" s="365"/>
      <c r="AB25" s="365"/>
      <c r="AC25" s="365"/>
      <c r="AD25" s="365"/>
    </row>
    <row r="26" spans="1:30">
      <c r="A26" s="519" t="s">
        <v>408</v>
      </c>
      <c r="B26" s="160" t="s">
        <v>14</v>
      </c>
      <c r="C26" s="86" t="s">
        <v>407</v>
      </c>
      <c r="D26" s="85">
        <v>391.72</v>
      </c>
      <c r="E26" s="84">
        <v>400</v>
      </c>
      <c r="F26" s="85">
        <v>664.51419999999996</v>
      </c>
      <c r="G26" s="93">
        <v>0.5</v>
      </c>
      <c r="H26" s="93">
        <f t="shared" si="0"/>
        <v>332.25709999999998</v>
      </c>
      <c r="I26" s="93">
        <v>332</v>
      </c>
      <c r="J26" s="371">
        <f>E26-H26</f>
        <v>67.74290000000002</v>
      </c>
      <c r="K26" s="100" t="s">
        <v>406</v>
      </c>
      <c r="L26" s="83">
        <v>799.22</v>
      </c>
      <c r="M26" s="83">
        <v>300</v>
      </c>
      <c r="N26" s="83">
        <f>H26</f>
        <v>332.25709999999998</v>
      </c>
      <c r="O26" s="83">
        <v>292</v>
      </c>
      <c r="P26" s="83">
        <f t="shared" si="3"/>
        <v>12.048192771084338</v>
      </c>
      <c r="Q26" s="203">
        <f>M26-H26</f>
        <v>-32.25709999999998</v>
      </c>
      <c r="R26" s="365"/>
      <c r="S26" s="365"/>
      <c r="T26" s="343"/>
      <c r="U26" s="18"/>
      <c r="V26" s="18"/>
      <c r="X26" s="365"/>
      <c r="Y26" s="365"/>
      <c r="Z26" s="18"/>
      <c r="AA26" s="365"/>
      <c r="AB26" s="365"/>
      <c r="AC26" s="365"/>
      <c r="AD26" s="365"/>
    </row>
    <row r="27" spans="1:30" ht="14.25" customHeight="1" thickBot="1">
      <c r="A27" s="520"/>
      <c r="B27" s="75" t="s">
        <v>360</v>
      </c>
      <c r="C27" s="74" t="s">
        <v>55</v>
      </c>
      <c r="D27" s="157">
        <v>566.26</v>
      </c>
      <c r="E27" s="157">
        <v>300</v>
      </c>
      <c r="F27" s="157">
        <v>424.66829999999999</v>
      </c>
      <c r="G27" s="93">
        <v>0.5</v>
      </c>
      <c r="H27" s="93">
        <f t="shared" si="0"/>
        <v>212.33414999999999</v>
      </c>
      <c r="I27" s="93">
        <v>212</v>
      </c>
      <c r="J27" s="371">
        <f t="shared" ref="J27:J56" si="9">E27-H27</f>
        <v>87.665850000000006</v>
      </c>
      <c r="K27" s="300" t="s">
        <v>405</v>
      </c>
      <c r="L27" s="156">
        <v>973.76</v>
      </c>
      <c r="M27" s="156">
        <v>300</v>
      </c>
      <c r="N27" s="72">
        <f t="shared" ref="N27:N56" si="10">H27</f>
        <v>212.33414999999999</v>
      </c>
      <c r="O27" s="72">
        <f t="shared" si="5"/>
        <v>212</v>
      </c>
      <c r="P27" s="72">
        <f t="shared" si="3"/>
        <v>0</v>
      </c>
      <c r="Q27" s="374">
        <f t="shared" ref="Q27:Q56" si="11">M27-H27</f>
        <v>87.665850000000006</v>
      </c>
      <c r="R27" s="365"/>
      <c r="S27" s="365"/>
      <c r="T27" s="343"/>
      <c r="U27" s="410"/>
      <c r="V27" s="365"/>
      <c r="X27" s="18"/>
      <c r="Y27" s="365"/>
      <c r="Z27" s="18"/>
      <c r="AA27" s="365"/>
      <c r="AB27" s="365"/>
      <c r="AC27" s="333"/>
      <c r="AD27" s="365"/>
    </row>
    <row r="28" spans="1:30">
      <c r="A28" s="499" t="s">
        <v>404</v>
      </c>
      <c r="B28" s="63" t="s">
        <v>6</v>
      </c>
      <c r="C28" s="114" t="s">
        <v>47</v>
      </c>
      <c r="D28" s="94">
        <v>341.46499999999997</v>
      </c>
      <c r="E28" s="93">
        <v>400</v>
      </c>
      <c r="F28" s="94">
        <v>414.50749999999999</v>
      </c>
      <c r="G28" s="84">
        <v>0.5</v>
      </c>
      <c r="H28" s="84">
        <f t="shared" si="0"/>
        <v>207.25375</v>
      </c>
      <c r="I28" s="84">
        <v>207</v>
      </c>
      <c r="J28" s="369">
        <f t="shared" si="9"/>
        <v>192.74625</v>
      </c>
      <c r="K28" s="301" t="s">
        <v>403</v>
      </c>
      <c r="L28" s="92">
        <v>849.47500000000002</v>
      </c>
      <c r="M28" s="92">
        <v>400</v>
      </c>
      <c r="N28" s="92">
        <f t="shared" si="10"/>
        <v>207.25375</v>
      </c>
      <c r="O28" s="92">
        <f t="shared" si="5"/>
        <v>207</v>
      </c>
      <c r="P28" s="92">
        <f t="shared" si="3"/>
        <v>0</v>
      </c>
      <c r="Q28" s="375">
        <f t="shared" si="11"/>
        <v>192.74625</v>
      </c>
      <c r="R28" s="365"/>
      <c r="S28" s="365"/>
      <c r="T28" s="343"/>
      <c r="U28" s="406"/>
      <c r="V28" s="365"/>
      <c r="X28" s="18"/>
      <c r="Y28" s="365"/>
      <c r="Z28" s="18"/>
      <c r="AA28" s="365"/>
      <c r="AB28" s="365"/>
      <c r="AC28" s="365"/>
      <c r="AD28" s="365"/>
    </row>
    <row r="29" spans="1:30" ht="14.25" customHeight="1">
      <c r="A29" s="499"/>
      <c r="B29" s="63" t="s">
        <v>402</v>
      </c>
      <c r="C29" s="114" t="s">
        <v>386</v>
      </c>
      <c r="D29" s="94">
        <v>894.93</v>
      </c>
      <c r="E29" s="93">
        <v>150</v>
      </c>
      <c r="F29" s="94">
        <v>185.4342</v>
      </c>
      <c r="G29" s="93">
        <v>0.5</v>
      </c>
      <c r="H29" s="93">
        <f t="shared" si="0"/>
        <v>92.717100000000002</v>
      </c>
      <c r="I29" s="93">
        <v>93</v>
      </c>
      <c r="J29" s="371">
        <f t="shared" si="9"/>
        <v>57.282899999999998</v>
      </c>
      <c r="K29" s="301" t="s">
        <v>385</v>
      </c>
      <c r="L29" s="92">
        <v>975.03499999999997</v>
      </c>
      <c r="M29" s="92">
        <v>150</v>
      </c>
      <c r="N29" s="92">
        <f t="shared" si="10"/>
        <v>92.717100000000002</v>
      </c>
      <c r="O29" s="92">
        <f t="shared" si="5"/>
        <v>93</v>
      </c>
      <c r="P29" s="92">
        <f t="shared" si="3"/>
        <v>0</v>
      </c>
      <c r="Q29" s="375">
        <f t="shared" si="11"/>
        <v>57.282899999999998</v>
      </c>
      <c r="R29" s="365"/>
      <c r="S29" s="365"/>
      <c r="T29" s="343"/>
      <c r="U29" s="410"/>
      <c r="V29" s="365"/>
      <c r="X29" s="18"/>
      <c r="Y29" s="365"/>
      <c r="Z29" s="365"/>
      <c r="AA29" s="365"/>
      <c r="AB29" s="365"/>
      <c r="AC29" s="365"/>
      <c r="AD29" s="365"/>
    </row>
    <row r="30" spans="1:30" ht="14.25" customHeight="1">
      <c r="A30" s="499"/>
      <c r="B30" s="96" t="s">
        <v>401</v>
      </c>
      <c r="C30" s="95" t="s">
        <v>378</v>
      </c>
      <c r="D30" s="108">
        <v>839.23</v>
      </c>
      <c r="E30" s="108">
        <v>150</v>
      </c>
      <c r="F30" s="108">
        <v>213.84829999999999</v>
      </c>
      <c r="G30" s="93">
        <v>0.5</v>
      </c>
      <c r="H30" s="93">
        <f t="shared" si="0"/>
        <v>106.92415</v>
      </c>
      <c r="I30" s="93">
        <v>107</v>
      </c>
      <c r="J30" s="371">
        <f t="shared" si="9"/>
        <v>43.075850000000003</v>
      </c>
      <c r="K30" s="302" t="s">
        <v>400</v>
      </c>
      <c r="L30" s="106">
        <v>1347.24</v>
      </c>
      <c r="M30" s="106">
        <v>100</v>
      </c>
      <c r="N30" s="92">
        <f t="shared" si="10"/>
        <v>106.92415</v>
      </c>
      <c r="O30" s="92">
        <v>98</v>
      </c>
      <c r="P30" s="92">
        <f t="shared" si="3"/>
        <v>8.4112149532710276</v>
      </c>
      <c r="Q30" s="375">
        <f t="shared" si="11"/>
        <v>-6.9241499999999974</v>
      </c>
      <c r="R30" s="365"/>
      <c r="S30" s="365"/>
      <c r="T30" s="343"/>
      <c r="U30" s="18"/>
      <c r="V30" s="18"/>
      <c r="X30" s="18"/>
      <c r="Y30" s="365"/>
      <c r="Z30" s="365"/>
      <c r="AA30" s="365"/>
      <c r="AB30" s="365"/>
      <c r="AC30" s="365"/>
      <c r="AD30" s="365"/>
    </row>
    <row r="31" spans="1:30" ht="14.25" customHeight="1">
      <c r="A31" s="499"/>
      <c r="B31" s="96" t="s">
        <v>399</v>
      </c>
      <c r="C31" s="95" t="s">
        <v>52</v>
      </c>
      <c r="D31" s="94">
        <v>428.91</v>
      </c>
      <c r="E31" s="93">
        <v>200</v>
      </c>
      <c r="F31" s="94">
        <v>320.7817</v>
      </c>
      <c r="G31" s="93">
        <v>0.5</v>
      </c>
      <c r="H31" s="93">
        <f t="shared" si="0"/>
        <v>160.39085</v>
      </c>
      <c r="I31" s="93">
        <v>160</v>
      </c>
      <c r="J31" s="371">
        <f t="shared" si="9"/>
        <v>39.60915</v>
      </c>
      <c r="K31" s="301" t="s">
        <v>398</v>
      </c>
      <c r="L31" s="92">
        <v>762.03</v>
      </c>
      <c r="M31" s="92">
        <v>150</v>
      </c>
      <c r="N31" s="92">
        <f t="shared" si="10"/>
        <v>160.39085</v>
      </c>
      <c r="O31" s="92">
        <v>146</v>
      </c>
      <c r="P31" s="92">
        <f t="shared" si="3"/>
        <v>8.75</v>
      </c>
      <c r="Q31" s="375">
        <f t="shared" si="11"/>
        <v>-10.39085</v>
      </c>
      <c r="R31" s="365"/>
      <c r="S31" s="365"/>
      <c r="T31" s="343"/>
      <c r="U31" s="410"/>
      <c r="V31" s="365"/>
    </row>
    <row r="32" spans="1:30" ht="14.25" customHeight="1" thickBot="1">
      <c r="A32" s="499"/>
      <c r="B32" s="96" t="s">
        <v>396</v>
      </c>
      <c r="C32" s="95" t="s">
        <v>56</v>
      </c>
      <c r="D32" s="94">
        <v>268.91000000000003</v>
      </c>
      <c r="E32" s="94">
        <v>250</v>
      </c>
      <c r="F32" s="94">
        <v>277.57420000000002</v>
      </c>
      <c r="G32" s="299">
        <v>0.5</v>
      </c>
      <c r="H32" s="299">
        <f t="shared" si="0"/>
        <v>138.78710000000001</v>
      </c>
      <c r="I32" s="299">
        <v>139</v>
      </c>
      <c r="J32" s="370">
        <f t="shared" si="9"/>
        <v>111.21289999999999</v>
      </c>
      <c r="K32" s="301" t="s">
        <v>395</v>
      </c>
      <c r="L32" s="92">
        <v>922.03</v>
      </c>
      <c r="M32" s="92">
        <v>250</v>
      </c>
      <c r="N32" s="92">
        <f t="shared" si="10"/>
        <v>138.78710000000001</v>
      </c>
      <c r="O32" s="92">
        <f t="shared" si="5"/>
        <v>139</v>
      </c>
      <c r="P32" s="92">
        <f t="shared" si="3"/>
        <v>0</v>
      </c>
      <c r="Q32" s="375">
        <f t="shared" si="11"/>
        <v>111.21289999999999</v>
      </c>
      <c r="R32" s="365"/>
      <c r="S32" s="365"/>
      <c r="T32" s="343"/>
      <c r="U32" s="410"/>
      <c r="V32" s="365"/>
    </row>
    <row r="33" spans="1:42">
      <c r="A33" s="497" t="s">
        <v>382</v>
      </c>
      <c r="B33" s="87" t="s">
        <v>393</v>
      </c>
      <c r="C33" s="86" t="s">
        <v>392</v>
      </c>
      <c r="D33" s="85">
        <v>774.56</v>
      </c>
      <c r="E33" s="85">
        <v>450</v>
      </c>
      <c r="F33" s="85">
        <v>593.39</v>
      </c>
      <c r="G33" s="93">
        <v>0.5</v>
      </c>
      <c r="H33" s="93">
        <f t="shared" si="0"/>
        <v>296.69499999999999</v>
      </c>
      <c r="I33" s="93">
        <v>297</v>
      </c>
      <c r="J33" s="371">
        <f t="shared" si="9"/>
        <v>153.30500000000001</v>
      </c>
      <c r="K33" s="100" t="s">
        <v>391</v>
      </c>
      <c r="L33" s="83">
        <v>778.62</v>
      </c>
      <c r="M33" s="83">
        <v>450</v>
      </c>
      <c r="N33" s="83">
        <f t="shared" si="10"/>
        <v>296.69499999999999</v>
      </c>
      <c r="O33" s="83">
        <f t="shared" si="5"/>
        <v>297</v>
      </c>
      <c r="P33" s="83">
        <f t="shared" si="3"/>
        <v>0</v>
      </c>
      <c r="Q33" s="203">
        <f t="shared" si="11"/>
        <v>153.30500000000001</v>
      </c>
      <c r="R33" s="367"/>
      <c r="S33" s="367"/>
      <c r="T33" s="343"/>
      <c r="U33" s="410"/>
      <c r="V33" s="365"/>
    </row>
    <row r="34" spans="1:42" ht="14.25" customHeight="1">
      <c r="A34" s="499"/>
      <c r="B34" s="96" t="s">
        <v>387</v>
      </c>
      <c r="C34" s="95" t="s">
        <v>386</v>
      </c>
      <c r="D34" s="108">
        <v>894.93</v>
      </c>
      <c r="E34" s="107">
        <v>150</v>
      </c>
      <c r="F34" s="108">
        <v>185.4342</v>
      </c>
      <c r="G34" s="93">
        <v>0.5</v>
      </c>
      <c r="H34" s="93">
        <f t="shared" si="0"/>
        <v>92.717100000000002</v>
      </c>
      <c r="I34" s="93">
        <v>93</v>
      </c>
      <c r="J34" s="371">
        <f t="shared" si="9"/>
        <v>57.282899999999998</v>
      </c>
      <c r="K34" s="302" t="s">
        <v>385</v>
      </c>
      <c r="L34" s="106">
        <v>975.03499999999997</v>
      </c>
      <c r="M34" s="106">
        <v>150</v>
      </c>
      <c r="N34" s="92">
        <f t="shared" si="10"/>
        <v>92.717100000000002</v>
      </c>
      <c r="O34" s="92">
        <f t="shared" si="5"/>
        <v>93</v>
      </c>
      <c r="P34" s="92">
        <f t="shared" si="3"/>
        <v>0</v>
      </c>
      <c r="Q34" s="375">
        <f t="shared" si="11"/>
        <v>57.282899999999998</v>
      </c>
      <c r="R34" s="367"/>
      <c r="S34" s="367"/>
      <c r="T34" s="343"/>
      <c r="U34" s="410"/>
      <c r="V34" s="365"/>
    </row>
    <row r="35" spans="1:42" ht="14.25" customHeight="1" thickBot="1">
      <c r="A35" s="499"/>
      <c r="B35" s="96" t="s">
        <v>383</v>
      </c>
      <c r="C35" s="95" t="s">
        <v>382</v>
      </c>
      <c r="D35" s="94">
        <v>553.46500000000003</v>
      </c>
      <c r="E35" s="93">
        <v>300</v>
      </c>
      <c r="F35" s="94">
        <v>491.47570000000002</v>
      </c>
      <c r="G35" s="93">
        <v>0.5</v>
      </c>
      <c r="H35" s="93">
        <f t="shared" si="0"/>
        <v>245.73785000000001</v>
      </c>
      <c r="I35" s="93">
        <v>246</v>
      </c>
      <c r="J35" s="371">
        <f t="shared" si="9"/>
        <v>54.262149999999991</v>
      </c>
      <c r="K35" s="301" t="s">
        <v>381</v>
      </c>
      <c r="L35" s="92">
        <v>660.12</v>
      </c>
      <c r="M35" s="92">
        <v>300</v>
      </c>
      <c r="N35" s="72">
        <f t="shared" si="10"/>
        <v>245.73785000000001</v>
      </c>
      <c r="O35" s="72">
        <f t="shared" si="5"/>
        <v>246</v>
      </c>
      <c r="P35" s="72">
        <f t="shared" si="3"/>
        <v>0</v>
      </c>
      <c r="Q35" s="374">
        <f t="shared" si="11"/>
        <v>54.262149999999991</v>
      </c>
      <c r="R35" s="367"/>
      <c r="S35" s="367"/>
      <c r="T35" s="343"/>
      <c r="U35" s="410"/>
      <c r="V35" s="365"/>
    </row>
    <row r="36" spans="1:42">
      <c r="A36" s="497" t="s">
        <v>375</v>
      </c>
      <c r="B36" s="87" t="s">
        <v>379</v>
      </c>
      <c r="C36" s="86" t="s">
        <v>378</v>
      </c>
      <c r="D36" s="85">
        <v>839.23</v>
      </c>
      <c r="E36" s="84">
        <v>150</v>
      </c>
      <c r="F36" s="85">
        <v>213.84829999999999</v>
      </c>
      <c r="G36" s="84">
        <v>0.5</v>
      </c>
      <c r="H36" s="84">
        <f t="shared" si="0"/>
        <v>106.92415</v>
      </c>
      <c r="I36" s="84">
        <v>107</v>
      </c>
      <c r="J36" s="369">
        <f t="shared" si="9"/>
        <v>43.075850000000003</v>
      </c>
      <c r="K36" s="100" t="s">
        <v>377</v>
      </c>
      <c r="L36" s="83">
        <v>844.89</v>
      </c>
      <c r="M36" s="83">
        <v>150</v>
      </c>
      <c r="N36" s="92">
        <f t="shared" si="10"/>
        <v>106.92415</v>
      </c>
      <c r="O36" s="92">
        <f t="shared" si="5"/>
        <v>107</v>
      </c>
      <c r="P36" s="92">
        <f t="shared" si="3"/>
        <v>0</v>
      </c>
      <c r="Q36" s="375">
        <f t="shared" si="11"/>
        <v>43.075850000000003</v>
      </c>
      <c r="R36" s="367"/>
      <c r="S36" s="367"/>
      <c r="T36" s="343"/>
      <c r="U36" s="410"/>
      <c r="V36" s="365"/>
    </row>
    <row r="37" spans="1:42" ht="14.25" customHeight="1" thickBot="1">
      <c r="A37" s="499"/>
      <c r="B37" s="96" t="s">
        <v>376</v>
      </c>
      <c r="C37" s="95" t="s">
        <v>375</v>
      </c>
      <c r="D37" s="94">
        <v>497.76499999999999</v>
      </c>
      <c r="E37" s="94">
        <v>800</v>
      </c>
      <c r="F37" s="94">
        <v>1151.328</v>
      </c>
      <c r="G37" s="299">
        <v>0.5</v>
      </c>
      <c r="H37" s="299">
        <f t="shared" si="0"/>
        <v>575.66399999999999</v>
      </c>
      <c r="I37" s="299">
        <v>575</v>
      </c>
      <c r="J37" s="370">
        <f t="shared" si="9"/>
        <v>224.33600000000001</v>
      </c>
      <c r="K37" s="301" t="s">
        <v>374</v>
      </c>
      <c r="L37" s="92">
        <v>503.42500000000001</v>
      </c>
      <c r="M37" s="92">
        <v>800</v>
      </c>
      <c r="N37" s="92">
        <f t="shared" si="10"/>
        <v>575.66399999999999</v>
      </c>
      <c r="O37" s="92">
        <f t="shared" si="5"/>
        <v>575</v>
      </c>
      <c r="P37" s="92">
        <f t="shared" si="3"/>
        <v>0</v>
      </c>
      <c r="Q37" s="375">
        <f t="shared" si="11"/>
        <v>224.33600000000001</v>
      </c>
      <c r="R37" s="367"/>
      <c r="S37" s="367"/>
      <c r="T37" s="343"/>
      <c r="U37" s="410"/>
      <c r="V37" s="365"/>
    </row>
    <row r="38" spans="1:42" ht="13.5" thickBot="1">
      <c r="A38" s="362" t="s">
        <v>372</v>
      </c>
      <c r="B38" s="87" t="s">
        <v>373</v>
      </c>
      <c r="C38" s="86" t="s">
        <v>372</v>
      </c>
      <c r="D38" s="85">
        <v>285.27999999999997</v>
      </c>
      <c r="E38" s="85">
        <v>500</v>
      </c>
      <c r="F38" s="85">
        <v>779.52329999999995</v>
      </c>
      <c r="G38" s="93">
        <v>0.5</v>
      </c>
      <c r="H38" s="93">
        <f t="shared" si="0"/>
        <v>389.76164999999997</v>
      </c>
      <c r="I38" s="93">
        <v>390</v>
      </c>
      <c r="J38" s="371">
        <f t="shared" si="9"/>
        <v>110.23835000000003</v>
      </c>
      <c r="K38" s="100" t="s">
        <v>371</v>
      </c>
      <c r="L38" s="83">
        <v>539.80499999999995</v>
      </c>
      <c r="M38" s="83">
        <v>300</v>
      </c>
      <c r="N38" s="182">
        <f t="shared" si="10"/>
        <v>389.76164999999997</v>
      </c>
      <c r="O38" s="182">
        <v>292</v>
      </c>
      <c r="P38" s="182">
        <f t="shared" si="3"/>
        <v>25.128205128205128</v>
      </c>
      <c r="Q38" s="260">
        <f t="shared" si="11"/>
        <v>-89.761649999999975</v>
      </c>
      <c r="R38" s="365"/>
      <c r="S38" s="365"/>
      <c r="T38" s="343"/>
      <c r="U38" s="18"/>
      <c r="V38" s="18"/>
    </row>
    <row r="39" spans="1:42">
      <c r="A39" s="497" t="s">
        <v>60</v>
      </c>
      <c r="B39" s="87" t="s">
        <v>368</v>
      </c>
      <c r="C39" s="86" t="s">
        <v>367</v>
      </c>
      <c r="D39" s="85">
        <v>239.47</v>
      </c>
      <c r="E39" s="84">
        <v>750</v>
      </c>
      <c r="F39" s="85">
        <v>886.15449999999998</v>
      </c>
      <c r="G39" s="84">
        <v>0.5</v>
      </c>
      <c r="H39" s="84">
        <f t="shared" si="0"/>
        <v>443.07724999999999</v>
      </c>
      <c r="I39" s="84">
        <v>443</v>
      </c>
      <c r="J39" s="369">
        <f t="shared" si="9"/>
        <v>306.92275000000001</v>
      </c>
      <c r="K39" s="100" t="s">
        <v>366</v>
      </c>
      <c r="L39" s="83">
        <v>585.61500000000001</v>
      </c>
      <c r="M39" s="83">
        <v>450</v>
      </c>
      <c r="N39" s="92">
        <f t="shared" si="10"/>
        <v>443.07724999999999</v>
      </c>
      <c r="O39" s="92">
        <v>439</v>
      </c>
      <c r="P39" s="92">
        <f t="shared" si="3"/>
        <v>0.90293453724604955</v>
      </c>
      <c r="Q39" s="375">
        <f t="shared" si="11"/>
        <v>6.9227500000000077</v>
      </c>
      <c r="R39" s="365"/>
      <c r="S39" s="365"/>
      <c r="T39" s="343"/>
      <c r="U39" s="18"/>
      <c r="V39" s="18"/>
    </row>
    <row r="40" spans="1:42" ht="14.25" customHeight="1" thickBot="1">
      <c r="A40" s="498"/>
      <c r="B40" s="75" t="s">
        <v>364</v>
      </c>
      <c r="C40" s="74" t="s">
        <v>61</v>
      </c>
      <c r="D40" s="73">
        <v>381.34</v>
      </c>
      <c r="E40" s="73">
        <v>200</v>
      </c>
      <c r="F40" s="73">
        <v>233.80699999999999</v>
      </c>
      <c r="G40" s="299">
        <v>0.5</v>
      </c>
      <c r="H40" s="299">
        <f t="shared" si="0"/>
        <v>116.90349999999999</v>
      </c>
      <c r="I40" s="299">
        <v>117</v>
      </c>
      <c r="J40" s="370">
        <f t="shared" si="9"/>
        <v>83.096500000000006</v>
      </c>
      <c r="K40" s="303" t="s">
        <v>328</v>
      </c>
      <c r="L40" s="72">
        <v>673.16499999999996</v>
      </c>
      <c r="M40" s="72">
        <v>150</v>
      </c>
      <c r="N40" s="92">
        <f t="shared" si="10"/>
        <v>116.90349999999999</v>
      </c>
      <c r="O40" s="92">
        <v>117</v>
      </c>
      <c r="P40" s="92">
        <f t="shared" si="3"/>
        <v>0</v>
      </c>
      <c r="Q40" s="375">
        <f t="shared" si="11"/>
        <v>33.096500000000006</v>
      </c>
      <c r="R40" s="365"/>
      <c r="S40" s="365"/>
      <c r="T40" s="343"/>
      <c r="U40" s="410"/>
      <c r="V40" s="365"/>
    </row>
    <row r="41" spans="1:42">
      <c r="A41" s="499" t="s">
        <v>363</v>
      </c>
      <c r="B41" s="63" t="s">
        <v>362</v>
      </c>
      <c r="C41" s="114" t="s">
        <v>74</v>
      </c>
      <c r="D41" s="94">
        <v>632.29499999999996</v>
      </c>
      <c r="E41" s="94">
        <v>300</v>
      </c>
      <c r="F41" s="94">
        <v>416.14780000000002</v>
      </c>
      <c r="G41" s="93">
        <v>0.5</v>
      </c>
      <c r="H41" s="93">
        <f t="shared" si="0"/>
        <v>208.07390000000001</v>
      </c>
      <c r="I41" s="93">
        <v>208</v>
      </c>
      <c r="J41" s="371">
        <f t="shared" si="9"/>
        <v>91.926099999999991</v>
      </c>
      <c r="K41" s="301" t="s">
        <v>361</v>
      </c>
      <c r="L41" s="92">
        <v>692.19500000000005</v>
      </c>
      <c r="M41" s="92">
        <v>300</v>
      </c>
      <c r="N41" s="83">
        <f t="shared" si="10"/>
        <v>208.07390000000001</v>
      </c>
      <c r="O41" s="83">
        <f t="shared" si="5"/>
        <v>208</v>
      </c>
      <c r="P41" s="83">
        <f t="shared" si="3"/>
        <v>0</v>
      </c>
      <c r="Q41" s="203">
        <f t="shared" si="11"/>
        <v>91.926099999999991</v>
      </c>
      <c r="R41" s="367"/>
      <c r="S41" s="367"/>
      <c r="T41" s="343"/>
      <c r="U41" s="410"/>
      <c r="V41" s="365"/>
    </row>
    <row r="42" spans="1:42" ht="14.25" customHeight="1">
      <c r="A42" s="499"/>
      <c r="B42" s="96" t="s">
        <v>360</v>
      </c>
      <c r="C42" s="95" t="s">
        <v>55</v>
      </c>
      <c r="D42" s="108">
        <v>566.26</v>
      </c>
      <c r="E42" s="108">
        <v>300</v>
      </c>
      <c r="F42" s="108">
        <v>424.66829999999999</v>
      </c>
      <c r="G42" s="93">
        <v>0.5</v>
      </c>
      <c r="H42" s="93">
        <f t="shared" si="0"/>
        <v>212.33414999999999</v>
      </c>
      <c r="I42" s="93">
        <v>212</v>
      </c>
      <c r="J42" s="371">
        <f t="shared" si="9"/>
        <v>87.665850000000006</v>
      </c>
      <c r="K42" s="302" t="s">
        <v>359</v>
      </c>
      <c r="L42" s="106">
        <v>1033.6600000000001</v>
      </c>
      <c r="M42" s="106">
        <v>300</v>
      </c>
      <c r="N42" s="92">
        <f t="shared" si="10"/>
        <v>212.33414999999999</v>
      </c>
      <c r="O42" s="92">
        <f t="shared" si="5"/>
        <v>212</v>
      </c>
      <c r="P42" s="92">
        <f t="shared" si="3"/>
        <v>0</v>
      </c>
      <c r="Q42" s="375">
        <f t="shared" si="11"/>
        <v>87.665850000000006</v>
      </c>
      <c r="R42" s="367"/>
      <c r="S42" s="367"/>
      <c r="T42" s="343"/>
      <c r="U42" s="410"/>
      <c r="V42" s="365"/>
    </row>
    <row r="43" spans="1:42" ht="14.25" customHeight="1" thickBot="1">
      <c r="A43" s="499"/>
      <c r="B43" s="96" t="s">
        <v>358</v>
      </c>
      <c r="C43" s="95" t="s">
        <v>62</v>
      </c>
      <c r="D43" s="94">
        <v>174.54</v>
      </c>
      <c r="E43" s="94">
        <v>250</v>
      </c>
      <c r="F43" s="94">
        <v>80.336669999999998</v>
      </c>
      <c r="G43" s="93">
        <v>0.5</v>
      </c>
      <c r="H43" s="93">
        <f t="shared" si="0"/>
        <v>40.168334999999999</v>
      </c>
      <c r="I43" s="93">
        <v>40</v>
      </c>
      <c r="J43" s="371">
        <f t="shared" si="9"/>
        <v>209.83166499999999</v>
      </c>
      <c r="K43" s="301" t="s">
        <v>357</v>
      </c>
      <c r="L43" s="92">
        <v>811.21</v>
      </c>
      <c r="M43" s="92">
        <v>150</v>
      </c>
      <c r="N43" s="72">
        <f t="shared" si="10"/>
        <v>40.168334999999999</v>
      </c>
      <c r="O43" s="72">
        <v>40</v>
      </c>
      <c r="P43" s="72">
        <f t="shared" si="3"/>
        <v>0</v>
      </c>
      <c r="Q43" s="374">
        <f t="shared" si="11"/>
        <v>109.831665</v>
      </c>
      <c r="R43" s="367"/>
      <c r="S43" s="367"/>
      <c r="T43" s="343"/>
      <c r="U43" s="410"/>
      <c r="V43" s="365"/>
    </row>
    <row r="44" spans="1:42" ht="13.5" thickBot="1">
      <c r="A44" s="362" t="s">
        <v>355</v>
      </c>
      <c r="B44" s="87" t="s">
        <v>356</v>
      </c>
      <c r="C44" s="86" t="s">
        <v>355</v>
      </c>
      <c r="D44" s="85">
        <v>517.28</v>
      </c>
      <c r="E44" s="85">
        <v>200</v>
      </c>
      <c r="F44" s="85">
        <v>67.241829999999993</v>
      </c>
      <c r="G44" s="183">
        <v>0.5</v>
      </c>
      <c r="H44" s="183">
        <f t="shared" si="0"/>
        <v>33.620914999999997</v>
      </c>
      <c r="I44" s="183">
        <v>34</v>
      </c>
      <c r="J44" s="372">
        <f t="shared" si="9"/>
        <v>166.379085</v>
      </c>
      <c r="K44" s="100" t="s">
        <v>354</v>
      </c>
      <c r="L44" s="83">
        <v>607.995</v>
      </c>
      <c r="M44" s="83">
        <v>150</v>
      </c>
      <c r="N44" s="92">
        <f t="shared" si="10"/>
        <v>33.620914999999997</v>
      </c>
      <c r="O44" s="92">
        <v>34</v>
      </c>
      <c r="P44" s="92">
        <f t="shared" si="3"/>
        <v>0</v>
      </c>
      <c r="Q44" s="375">
        <f t="shared" si="11"/>
        <v>116.379085</v>
      </c>
      <c r="R44" s="367"/>
      <c r="S44" s="367"/>
      <c r="T44" s="343"/>
      <c r="U44" s="410"/>
      <c r="V44" s="365"/>
    </row>
    <row r="45" spans="1:42">
      <c r="A45" s="497" t="s">
        <v>349</v>
      </c>
      <c r="B45" s="87" t="s">
        <v>353</v>
      </c>
      <c r="C45" s="86" t="s">
        <v>342</v>
      </c>
      <c r="D45" s="85">
        <v>592.98500000000001</v>
      </c>
      <c r="E45" s="85">
        <v>150</v>
      </c>
      <c r="F45" s="85">
        <v>175.91919999999999</v>
      </c>
      <c r="G45" s="93">
        <v>0.5</v>
      </c>
      <c r="H45" s="93">
        <f t="shared" si="0"/>
        <v>87.959599999999995</v>
      </c>
      <c r="I45" s="93">
        <v>88</v>
      </c>
      <c r="J45" s="371">
        <f t="shared" si="9"/>
        <v>62.040400000000005</v>
      </c>
      <c r="K45" s="100" t="s">
        <v>352</v>
      </c>
      <c r="L45" s="83">
        <v>1051.23</v>
      </c>
      <c r="M45" s="83">
        <v>150</v>
      </c>
      <c r="N45" s="83">
        <f t="shared" si="10"/>
        <v>87.959599999999995</v>
      </c>
      <c r="O45" s="83">
        <f t="shared" si="5"/>
        <v>88</v>
      </c>
      <c r="P45" s="83">
        <f t="shared" si="3"/>
        <v>0</v>
      </c>
      <c r="Q45" s="203">
        <f t="shared" si="11"/>
        <v>62.040400000000005</v>
      </c>
      <c r="R45" s="367"/>
      <c r="S45" s="367"/>
      <c r="T45" s="343"/>
      <c r="U45" s="410"/>
      <c r="V45" s="365"/>
      <c r="AK45" s="365"/>
      <c r="AL45" s="365"/>
      <c r="AM45" s="365"/>
      <c r="AN45" s="365"/>
      <c r="AO45" s="365"/>
      <c r="AP45" s="365"/>
    </row>
    <row r="46" spans="1:42" ht="14.25" customHeight="1">
      <c r="A46" s="499"/>
      <c r="B46" s="96" t="s">
        <v>350</v>
      </c>
      <c r="C46" s="95" t="s">
        <v>349</v>
      </c>
      <c r="D46" s="108">
        <v>374.84</v>
      </c>
      <c r="E46" s="108">
        <v>200</v>
      </c>
      <c r="F46" s="108">
        <v>115.1143</v>
      </c>
      <c r="G46" s="93">
        <v>0.5</v>
      </c>
      <c r="H46" s="93">
        <f t="shared" si="0"/>
        <v>57.55715</v>
      </c>
      <c r="I46" s="93">
        <v>57</v>
      </c>
      <c r="J46" s="371">
        <f t="shared" si="9"/>
        <v>142.44284999999999</v>
      </c>
      <c r="K46" s="302" t="s">
        <v>348</v>
      </c>
      <c r="L46" s="106">
        <v>838.745</v>
      </c>
      <c r="M46" s="106">
        <v>150</v>
      </c>
      <c r="N46" s="92">
        <f t="shared" si="10"/>
        <v>57.55715</v>
      </c>
      <c r="O46" s="92">
        <v>57</v>
      </c>
      <c r="P46" s="92">
        <f t="shared" si="3"/>
        <v>0</v>
      </c>
      <c r="Q46" s="375">
        <f t="shared" si="11"/>
        <v>92.442849999999993</v>
      </c>
      <c r="R46" s="367"/>
      <c r="S46" s="367"/>
      <c r="T46" s="343"/>
      <c r="U46" s="410"/>
      <c r="V46" s="365"/>
      <c r="AD46" s="534"/>
      <c r="AE46" s="534"/>
      <c r="AF46" s="534"/>
      <c r="AG46" s="365"/>
      <c r="AH46" s="365"/>
      <c r="AI46" s="365"/>
      <c r="AJ46" s="365"/>
      <c r="AK46" s="363"/>
      <c r="AL46" s="363"/>
      <c r="AM46" s="365"/>
      <c r="AN46" s="363"/>
      <c r="AO46" s="363"/>
      <c r="AP46" s="365"/>
    </row>
    <row r="47" spans="1:42" ht="14.25" customHeight="1">
      <c r="A47" s="499"/>
      <c r="B47" s="96" t="s">
        <v>347</v>
      </c>
      <c r="C47" s="95" t="s">
        <v>335</v>
      </c>
      <c r="D47" s="108">
        <v>675.17499999999995</v>
      </c>
      <c r="E47" s="108">
        <v>150</v>
      </c>
      <c r="F47" s="108">
        <v>87.5685</v>
      </c>
      <c r="G47" s="93">
        <v>0.5</v>
      </c>
      <c r="H47" s="93">
        <f t="shared" si="0"/>
        <v>43.78425</v>
      </c>
      <c r="I47" s="93">
        <v>44</v>
      </c>
      <c r="J47" s="371">
        <f t="shared" si="9"/>
        <v>106.21575</v>
      </c>
      <c r="K47" s="302" t="s">
        <v>346</v>
      </c>
      <c r="L47" s="106">
        <v>792.93499999999995</v>
      </c>
      <c r="M47" s="106">
        <v>150</v>
      </c>
      <c r="N47" s="92">
        <f t="shared" si="10"/>
        <v>43.78425</v>
      </c>
      <c r="O47" s="92">
        <f t="shared" si="5"/>
        <v>44</v>
      </c>
      <c r="P47" s="92">
        <f t="shared" si="3"/>
        <v>0</v>
      </c>
      <c r="Q47" s="375">
        <f t="shared" si="11"/>
        <v>106.21575</v>
      </c>
      <c r="R47" s="367"/>
      <c r="S47" s="367"/>
      <c r="T47" s="343"/>
      <c r="U47" s="410"/>
      <c r="V47" s="365"/>
      <c r="X47" s="534"/>
      <c r="Y47" s="534"/>
      <c r="Z47" s="534"/>
      <c r="AA47" s="365"/>
      <c r="AB47" s="365"/>
      <c r="AC47" s="365"/>
      <c r="AD47" s="365"/>
      <c r="AE47" s="365"/>
      <c r="AF47" s="365"/>
      <c r="AG47" s="534"/>
      <c r="AH47" s="534"/>
      <c r="AI47" s="365"/>
      <c r="AJ47" s="365"/>
      <c r="AK47" s="365"/>
      <c r="AL47" s="365"/>
      <c r="AM47" s="365"/>
      <c r="AN47" s="365"/>
      <c r="AO47" s="365"/>
      <c r="AP47" s="365"/>
    </row>
    <row r="48" spans="1:42" ht="14.25" customHeight="1" thickBot="1">
      <c r="A48" s="499"/>
      <c r="B48" s="96" t="s">
        <v>339</v>
      </c>
      <c r="C48" s="95" t="s">
        <v>338</v>
      </c>
      <c r="D48" s="94">
        <v>768.38499999999999</v>
      </c>
      <c r="E48" s="94">
        <v>150</v>
      </c>
      <c r="F48" s="94">
        <v>46.164000000000001</v>
      </c>
      <c r="G48" s="93">
        <v>0.5</v>
      </c>
      <c r="H48" s="93">
        <f t="shared" si="0"/>
        <v>23.082000000000001</v>
      </c>
      <c r="I48" s="93">
        <v>23</v>
      </c>
      <c r="J48" s="371">
        <f t="shared" si="9"/>
        <v>126.91800000000001</v>
      </c>
      <c r="K48" s="301" t="s">
        <v>345</v>
      </c>
      <c r="L48" s="92">
        <v>934.80499999999995</v>
      </c>
      <c r="M48" s="92">
        <v>150</v>
      </c>
      <c r="N48" s="72">
        <f t="shared" si="10"/>
        <v>23.082000000000001</v>
      </c>
      <c r="O48" s="72">
        <f t="shared" si="5"/>
        <v>23</v>
      </c>
      <c r="P48" s="72">
        <f t="shared" si="3"/>
        <v>0</v>
      </c>
      <c r="Q48" s="374">
        <f t="shared" si="11"/>
        <v>126.91800000000001</v>
      </c>
      <c r="R48" s="367"/>
      <c r="S48" s="367"/>
      <c r="T48" s="343"/>
      <c r="U48" s="410"/>
      <c r="V48" s="365"/>
      <c r="X48" s="365"/>
      <c r="Y48" s="365"/>
      <c r="Z48" s="365"/>
      <c r="AA48" s="365"/>
      <c r="AB48" s="365"/>
      <c r="AC48" s="534"/>
      <c r="AD48" s="534"/>
      <c r="AE48" s="534"/>
      <c r="AF48" s="534"/>
      <c r="AG48" s="534"/>
      <c r="AH48" s="534"/>
      <c r="AI48" s="365"/>
      <c r="AJ48" s="365"/>
      <c r="AK48" s="365"/>
      <c r="AL48" s="365"/>
      <c r="AM48" s="365"/>
      <c r="AN48" s="334"/>
      <c r="AO48" s="334"/>
      <c r="AP48" s="365"/>
    </row>
    <row r="49" spans="1:42">
      <c r="A49" s="497" t="s">
        <v>344</v>
      </c>
      <c r="B49" s="87" t="s">
        <v>343</v>
      </c>
      <c r="C49" s="86" t="s">
        <v>342</v>
      </c>
      <c r="D49" s="85">
        <v>592.98500000000001</v>
      </c>
      <c r="E49" s="85">
        <v>150</v>
      </c>
      <c r="F49" s="85">
        <v>175.91919999999999</v>
      </c>
      <c r="G49" s="84">
        <v>0.5</v>
      </c>
      <c r="H49" s="84">
        <f t="shared" si="0"/>
        <v>87.959599999999995</v>
      </c>
      <c r="I49" s="84">
        <v>88</v>
      </c>
      <c r="J49" s="369">
        <f t="shared" si="9"/>
        <v>62.040400000000005</v>
      </c>
      <c r="K49" s="100" t="s">
        <v>341</v>
      </c>
      <c r="L49" s="83">
        <v>992.44500000000005</v>
      </c>
      <c r="M49" s="83">
        <v>150</v>
      </c>
      <c r="N49" s="92">
        <f t="shared" si="10"/>
        <v>87.959599999999995</v>
      </c>
      <c r="O49" s="92">
        <f t="shared" si="5"/>
        <v>88</v>
      </c>
      <c r="P49" s="92">
        <f t="shared" si="3"/>
        <v>0</v>
      </c>
      <c r="Q49" s="375">
        <f t="shared" si="11"/>
        <v>62.040400000000005</v>
      </c>
      <c r="R49" s="365"/>
      <c r="S49" s="365"/>
      <c r="T49" s="343"/>
      <c r="U49" s="410"/>
      <c r="V49" s="365"/>
      <c r="X49" s="363"/>
      <c r="Y49" s="363"/>
      <c r="Z49" s="363"/>
      <c r="AA49" s="365"/>
      <c r="AB49" s="365"/>
      <c r="AC49" s="359"/>
      <c r="AD49" s="360"/>
      <c r="AE49" s="360"/>
      <c r="AF49" s="360"/>
      <c r="AG49" s="363"/>
      <c r="AH49" s="363"/>
      <c r="AI49" s="363"/>
      <c r="AJ49" s="365"/>
      <c r="AK49" s="365"/>
      <c r="AL49" s="365"/>
      <c r="AM49" s="365"/>
      <c r="AN49" s="365"/>
      <c r="AO49" s="365"/>
      <c r="AP49" s="365"/>
    </row>
    <row r="50" spans="1:42" ht="14.25" customHeight="1" thickBot="1">
      <c r="A50" s="499"/>
      <c r="B50" s="96" t="s">
        <v>339</v>
      </c>
      <c r="C50" s="95" t="s">
        <v>338</v>
      </c>
      <c r="D50" s="94">
        <v>768.38499999999999</v>
      </c>
      <c r="E50" s="94">
        <v>150</v>
      </c>
      <c r="F50" s="94">
        <v>46.164000000000001</v>
      </c>
      <c r="G50" s="299">
        <v>0.5</v>
      </c>
      <c r="H50" s="299">
        <f t="shared" si="0"/>
        <v>23.082000000000001</v>
      </c>
      <c r="I50" s="299">
        <v>23</v>
      </c>
      <c r="J50" s="370">
        <f t="shared" si="9"/>
        <v>126.91800000000001</v>
      </c>
      <c r="K50" s="301" t="s">
        <v>337</v>
      </c>
      <c r="L50" s="92">
        <v>817.04499999999996</v>
      </c>
      <c r="M50" s="92">
        <v>150</v>
      </c>
      <c r="N50" s="92">
        <f t="shared" si="10"/>
        <v>23.082000000000001</v>
      </c>
      <c r="O50" s="92">
        <f t="shared" si="5"/>
        <v>23</v>
      </c>
      <c r="P50" s="92">
        <f t="shared" si="3"/>
        <v>0</v>
      </c>
      <c r="Q50" s="375">
        <f t="shared" si="11"/>
        <v>126.91800000000001</v>
      </c>
      <c r="R50" s="365"/>
      <c r="S50" s="365"/>
      <c r="T50" s="343"/>
      <c r="U50" s="410"/>
      <c r="V50" s="365"/>
      <c r="X50" s="365"/>
      <c r="Y50" s="365"/>
      <c r="Z50" s="365"/>
      <c r="AA50" s="365"/>
      <c r="AB50" s="365"/>
      <c r="AC50" s="365"/>
      <c r="AD50" s="341"/>
      <c r="AE50" s="341"/>
      <c r="AF50" s="341"/>
      <c r="AG50" s="341"/>
      <c r="AH50" s="343"/>
      <c r="AI50" s="365"/>
      <c r="AJ50" s="365"/>
      <c r="AK50" s="365"/>
      <c r="AL50" s="365"/>
      <c r="AM50" s="365"/>
      <c r="AN50" s="365"/>
      <c r="AO50" s="365"/>
      <c r="AP50" s="365"/>
    </row>
    <row r="51" spans="1:42">
      <c r="A51" s="497" t="s">
        <v>340</v>
      </c>
      <c r="B51" s="87" t="s">
        <v>339</v>
      </c>
      <c r="C51" s="86" t="s">
        <v>338</v>
      </c>
      <c r="D51" s="85">
        <v>768.38499999999999</v>
      </c>
      <c r="E51" s="85">
        <v>150</v>
      </c>
      <c r="F51" s="85">
        <v>46.164000000000001</v>
      </c>
      <c r="G51" s="93">
        <v>0.5</v>
      </c>
      <c r="H51" s="93">
        <f t="shared" si="0"/>
        <v>23.082000000000001</v>
      </c>
      <c r="I51" s="93">
        <v>23</v>
      </c>
      <c r="J51" s="371">
        <f t="shared" si="9"/>
        <v>126.91800000000001</v>
      </c>
      <c r="K51" s="100" t="s">
        <v>337</v>
      </c>
      <c r="L51" s="83">
        <v>817.04499999999996</v>
      </c>
      <c r="M51" s="83">
        <v>150</v>
      </c>
      <c r="N51" s="83">
        <f t="shared" si="10"/>
        <v>23.082000000000001</v>
      </c>
      <c r="O51" s="83">
        <f t="shared" si="5"/>
        <v>23</v>
      </c>
      <c r="P51" s="83">
        <f t="shared" si="3"/>
        <v>0</v>
      </c>
      <c r="Q51" s="203">
        <f t="shared" si="11"/>
        <v>126.91800000000001</v>
      </c>
      <c r="R51" s="365"/>
      <c r="S51" s="365"/>
      <c r="T51" s="343"/>
      <c r="U51" s="410"/>
      <c r="V51" s="365"/>
      <c r="X51" s="365"/>
      <c r="Y51" s="365"/>
      <c r="Z51" s="365"/>
      <c r="AA51" s="365"/>
      <c r="AB51" s="365"/>
      <c r="AC51" s="365"/>
      <c r="AD51" s="341"/>
      <c r="AE51" s="341"/>
      <c r="AF51" s="341"/>
      <c r="AG51" s="341"/>
      <c r="AH51" s="343"/>
      <c r="AI51" s="365"/>
      <c r="AJ51" s="365"/>
      <c r="AK51" s="365"/>
      <c r="AL51" s="365"/>
      <c r="AM51" s="365"/>
      <c r="AN51" s="365"/>
      <c r="AO51" s="365"/>
      <c r="AP51" s="365"/>
    </row>
    <row r="52" spans="1:42" ht="14.25" customHeight="1" thickBot="1">
      <c r="A52" s="499"/>
      <c r="B52" s="96" t="s">
        <v>30</v>
      </c>
      <c r="C52" s="95" t="s">
        <v>326</v>
      </c>
      <c r="D52" s="94">
        <v>317.27</v>
      </c>
      <c r="E52" s="94">
        <v>200</v>
      </c>
      <c r="F52" s="94">
        <v>136.87530000000001</v>
      </c>
      <c r="G52" s="93">
        <v>0.5</v>
      </c>
      <c r="H52" s="93">
        <f t="shared" si="0"/>
        <v>68.437650000000005</v>
      </c>
      <c r="I52" s="93">
        <v>69</v>
      </c>
      <c r="J52" s="371">
        <f t="shared" si="9"/>
        <v>131.56234999999998</v>
      </c>
      <c r="K52" s="301" t="s">
        <v>325</v>
      </c>
      <c r="L52" s="92">
        <v>518.48</v>
      </c>
      <c r="M52" s="92">
        <v>200</v>
      </c>
      <c r="N52" s="72">
        <f t="shared" si="10"/>
        <v>68.437650000000005</v>
      </c>
      <c r="O52" s="72">
        <f t="shared" si="5"/>
        <v>69</v>
      </c>
      <c r="P52" s="72">
        <f t="shared" si="3"/>
        <v>0</v>
      </c>
      <c r="Q52" s="374">
        <f t="shared" si="11"/>
        <v>131.56234999999998</v>
      </c>
      <c r="R52" s="365"/>
      <c r="S52" s="365"/>
      <c r="T52" s="343"/>
      <c r="U52" s="410"/>
      <c r="V52" s="365"/>
      <c r="X52" s="365"/>
      <c r="Y52" s="365"/>
      <c r="Z52" s="365"/>
      <c r="AA52" s="365"/>
      <c r="AB52" s="365"/>
      <c r="AC52" s="365"/>
      <c r="AD52" s="341"/>
      <c r="AE52" s="341"/>
      <c r="AF52" s="341"/>
      <c r="AG52" s="341"/>
      <c r="AH52" s="343"/>
      <c r="AI52" s="365"/>
      <c r="AJ52" s="365"/>
      <c r="AK52" s="363"/>
      <c r="AL52" s="363"/>
      <c r="AM52" s="363"/>
      <c r="AN52" s="365"/>
      <c r="AO52" s="365"/>
      <c r="AP52" s="365"/>
    </row>
    <row r="53" spans="1:42">
      <c r="A53" s="497" t="s">
        <v>336</v>
      </c>
      <c r="B53" s="87" t="s">
        <v>28</v>
      </c>
      <c r="C53" s="86" t="s">
        <v>335</v>
      </c>
      <c r="D53" s="85">
        <v>675.17499999999995</v>
      </c>
      <c r="E53" s="85">
        <v>150</v>
      </c>
      <c r="F53" s="85">
        <v>87.5685</v>
      </c>
      <c r="G53" s="84">
        <v>0.5</v>
      </c>
      <c r="H53" s="84">
        <f t="shared" si="0"/>
        <v>43.78425</v>
      </c>
      <c r="I53" s="84">
        <v>44</v>
      </c>
      <c r="J53" s="369">
        <f t="shared" si="9"/>
        <v>106.21575</v>
      </c>
      <c r="K53" s="100" t="s">
        <v>334</v>
      </c>
      <c r="L53" s="83">
        <v>792.93499999999995</v>
      </c>
      <c r="M53" s="83">
        <v>150</v>
      </c>
      <c r="N53" s="92">
        <f t="shared" si="10"/>
        <v>43.78425</v>
      </c>
      <c r="O53" s="92">
        <f t="shared" si="5"/>
        <v>44</v>
      </c>
      <c r="P53" s="92">
        <f t="shared" si="3"/>
        <v>0</v>
      </c>
      <c r="Q53" s="375">
        <f t="shared" si="11"/>
        <v>106.21575</v>
      </c>
      <c r="R53" s="365"/>
      <c r="S53" s="365"/>
      <c r="T53" s="343"/>
      <c r="U53" s="410"/>
      <c r="V53" s="365"/>
      <c r="X53" s="365"/>
      <c r="Y53" s="365"/>
      <c r="Z53" s="365"/>
      <c r="AA53" s="365"/>
      <c r="AB53" s="365"/>
      <c r="AC53" s="365"/>
      <c r="AD53" s="341"/>
      <c r="AE53" s="341"/>
      <c r="AF53" s="341"/>
      <c r="AG53" s="341"/>
      <c r="AH53" s="343"/>
      <c r="AI53" s="365"/>
      <c r="AJ53" s="365"/>
      <c r="AK53" s="343"/>
      <c r="AL53" s="343"/>
      <c r="AM53" s="365"/>
      <c r="AN53" s="365"/>
      <c r="AO53" s="365"/>
      <c r="AP53" s="365"/>
    </row>
    <row r="54" spans="1:42" ht="13.5" thickBot="1">
      <c r="A54" s="499"/>
      <c r="B54" s="96" t="s">
        <v>333</v>
      </c>
      <c r="C54" s="95" t="s">
        <v>332</v>
      </c>
      <c r="D54" s="94">
        <v>300.33499999999998</v>
      </c>
      <c r="E54" s="94">
        <v>200</v>
      </c>
      <c r="F54" s="94">
        <v>33.29833</v>
      </c>
      <c r="G54" s="299">
        <v>0.5</v>
      </c>
      <c r="H54" s="299">
        <f t="shared" si="0"/>
        <v>16.649165</v>
      </c>
      <c r="I54" s="299">
        <v>17</v>
      </c>
      <c r="J54" s="370">
        <f t="shared" si="9"/>
        <v>183.35083499999999</v>
      </c>
      <c r="K54" s="301" t="s">
        <v>331</v>
      </c>
      <c r="L54" s="92">
        <v>524.75</v>
      </c>
      <c r="M54" s="92">
        <v>200</v>
      </c>
      <c r="N54" s="92">
        <f t="shared" si="10"/>
        <v>16.649165</v>
      </c>
      <c r="O54" s="92">
        <f t="shared" si="5"/>
        <v>17</v>
      </c>
      <c r="P54" s="92">
        <f t="shared" si="3"/>
        <v>0</v>
      </c>
      <c r="Q54" s="375">
        <f t="shared" si="11"/>
        <v>183.35083499999999</v>
      </c>
      <c r="R54" s="365"/>
      <c r="S54" s="365"/>
      <c r="T54" s="343"/>
      <c r="U54" s="410"/>
      <c r="V54" s="365"/>
      <c r="X54" s="18"/>
      <c r="Y54" s="18"/>
      <c r="Z54" s="365"/>
      <c r="AA54" s="365"/>
      <c r="AB54" s="365"/>
      <c r="AC54" s="365"/>
      <c r="AD54" s="341"/>
      <c r="AE54" s="341"/>
      <c r="AF54" s="341"/>
      <c r="AG54" s="341"/>
      <c r="AH54" s="343"/>
      <c r="AI54" s="365"/>
      <c r="AJ54" s="365"/>
      <c r="AK54" s="343"/>
      <c r="AL54" s="343"/>
      <c r="AM54" s="365"/>
      <c r="AN54" s="365"/>
      <c r="AO54" s="365"/>
      <c r="AP54" s="365"/>
    </row>
    <row r="55" spans="1:42">
      <c r="A55" s="497" t="s">
        <v>330</v>
      </c>
      <c r="B55" s="87" t="s">
        <v>329</v>
      </c>
      <c r="C55" s="86" t="s">
        <v>61</v>
      </c>
      <c r="D55" s="85">
        <v>381.34</v>
      </c>
      <c r="E55" s="85">
        <v>200</v>
      </c>
      <c r="F55" s="85">
        <v>233.80699999999999</v>
      </c>
      <c r="G55" s="84">
        <v>0.5</v>
      </c>
      <c r="H55" s="84">
        <f t="shared" si="0"/>
        <v>116.90349999999999</v>
      </c>
      <c r="I55" s="84">
        <v>117</v>
      </c>
      <c r="J55" s="369">
        <f t="shared" si="9"/>
        <v>83.096500000000006</v>
      </c>
      <c r="K55" s="100" t="s">
        <v>328</v>
      </c>
      <c r="L55" s="83">
        <v>673.16499999999996</v>
      </c>
      <c r="M55" s="83">
        <v>200</v>
      </c>
      <c r="N55" s="83">
        <f t="shared" si="10"/>
        <v>116.90349999999999</v>
      </c>
      <c r="O55" s="83">
        <f t="shared" si="5"/>
        <v>117</v>
      </c>
      <c r="P55" s="83">
        <f t="shared" si="3"/>
        <v>0</v>
      </c>
      <c r="Q55" s="203">
        <f t="shared" si="11"/>
        <v>83.096500000000006</v>
      </c>
      <c r="R55" s="365"/>
      <c r="S55" s="365"/>
      <c r="T55" s="343"/>
      <c r="U55" s="410"/>
      <c r="V55" s="365"/>
      <c r="X55" s="18"/>
      <c r="Y55" s="18"/>
      <c r="Z55" s="365"/>
      <c r="AA55" s="365"/>
      <c r="AB55" s="365"/>
      <c r="AC55" s="365"/>
      <c r="AD55" s="341"/>
      <c r="AE55" s="341"/>
      <c r="AF55" s="341"/>
      <c r="AG55" s="341"/>
      <c r="AH55" s="343"/>
      <c r="AI55" s="365"/>
      <c r="AJ55" s="363"/>
      <c r="AK55" s="343"/>
      <c r="AL55" s="343"/>
      <c r="AM55" s="365"/>
      <c r="AN55" s="365"/>
      <c r="AO55" s="365"/>
      <c r="AP55" s="365"/>
    </row>
    <row r="56" spans="1:42" ht="14.25" customHeight="1" thickBot="1">
      <c r="A56" s="498"/>
      <c r="B56" s="75" t="s">
        <v>30</v>
      </c>
      <c r="C56" s="74" t="s">
        <v>326</v>
      </c>
      <c r="D56" s="73">
        <v>317.27</v>
      </c>
      <c r="E56" s="73">
        <v>200</v>
      </c>
      <c r="F56" s="73">
        <v>136.87530000000001</v>
      </c>
      <c r="G56" s="299">
        <v>0.5</v>
      </c>
      <c r="H56" s="299">
        <f t="shared" si="0"/>
        <v>68.437650000000005</v>
      </c>
      <c r="I56" s="299">
        <v>68</v>
      </c>
      <c r="J56" s="370">
        <f t="shared" si="9"/>
        <v>131.56234999999998</v>
      </c>
      <c r="K56" s="303" t="s">
        <v>325</v>
      </c>
      <c r="L56" s="72">
        <v>518.48</v>
      </c>
      <c r="M56" s="72">
        <v>200</v>
      </c>
      <c r="N56" s="72">
        <f t="shared" si="10"/>
        <v>68.437650000000005</v>
      </c>
      <c r="O56" s="72">
        <f t="shared" si="5"/>
        <v>68</v>
      </c>
      <c r="P56" s="72">
        <f t="shared" si="3"/>
        <v>0</v>
      </c>
      <c r="Q56" s="374">
        <f t="shared" si="11"/>
        <v>131.56234999999998</v>
      </c>
      <c r="R56" s="365"/>
      <c r="S56" s="365"/>
      <c r="T56" s="343"/>
      <c r="U56" s="410"/>
      <c r="V56" s="365"/>
      <c r="X56" s="365"/>
      <c r="Y56" s="365"/>
      <c r="Z56" s="365"/>
      <c r="AA56" s="365"/>
      <c r="AB56" s="365"/>
      <c r="AC56" s="365"/>
      <c r="AD56" s="341"/>
      <c r="AE56" s="341"/>
      <c r="AF56" s="341"/>
      <c r="AG56" s="341"/>
      <c r="AH56" s="343"/>
      <c r="AI56" s="365"/>
      <c r="AJ56" s="363"/>
      <c r="AK56" s="343"/>
      <c r="AL56" s="343"/>
      <c r="AM56" s="365"/>
      <c r="AN56" s="365"/>
      <c r="AO56" s="365"/>
      <c r="AP56" s="365"/>
    </row>
    <row r="57" spans="1:42">
      <c r="A57" s="366"/>
      <c r="B57" s="64"/>
      <c r="C57" s="366"/>
      <c r="D57" s="366"/>
      <c r="E57" s="366"/>
      <c r="F57" s="64"/>
      <c r="G57" s="64"/>
      <c r="H57" s="64"/>
      <c r="I57" s="64"/>
      <c r="J57" s="366"/>
      <c r="K57" s="366"/>
      <c r="L57" s="366"/>
      <c r="M57" s="366"/>
      <c r="N57" s="366"/>
      <c r="O57" s="366"/>
      <c r="P57" s="366"/>
      <c r="Q57" s="366"/>
      <c r="R57" s="366"/>
      <c r="S57" s="366"/>
      <c r="V57" s="366"/>
      <c r="X57" s="365"/>
      <c r="Y57" s="365"/>
      <c r="Z57" s="365"/>
      <c r="AA57" s="365"/>
      <c r="AB57" s="365"/>
      <c r="AC57" s="365"/>
      <c r="AD57" s="341"/>
      <c r="AE57" s="341"/>
      <c r="AF57" s="343"/>
      <c r="AG57" s="343"/>
      <c r="AH57" s="343"/>
      <c r="AI57" s="365"/>
      <c r="AJ57" s="365"/>
      <c r="AK57" s="343"/>
      <c r="AL57" s="343"/>
      <c r="AM57" s="365"/>
      <c r="AN57" s="365"/>
      <c r="AO57" s="365"/>
      <c r="AP57" s="365"/>
    </row>
    <row r="58" spans="1:42">
      <c r="A58" s="366"/>
      <c r="B58" s="64"/>
      <c r="C58" s="366"/>
      <c r="D58" s="366"/>
      <c r="E58" s="366"/>
      <c r="F58" s="64"/>
      <c r="G58" s="64"/>
      <c r="H58" s="64"/>
      <c r="I58" s="64"/>
      <c r="J58" s="366"/>
      <c r="K58" s="366"/>
      <c r="L58" s="366"/>
      <c r="M58" s="366"/>
      <c r="N58" s="366"/>
      <c r="O58" s="366"/>
      <c r="P58" s="366"/>
      <c r="Q58" s="366"/>
      <c r="R58" s="366"/>
      <c r="S58" s="366"/>
      <c r="V58" s="366"/>
      <c r="X58" s="365"/>
      <c r="Y58" s="365"/>
      <c r="Z58" s="365"/>
      <c r="AA58" s="365"/>
      <c r="AB58" s="365"/>
      <c r="AC58" s="365"/>
      <c r="AD58" s="343"/>
      <c r="AE58" s="343"/>
      <c r="AF58" s="343"/>
      <c r="AG58" s="343"/>
      <c r="AH58" s="343"/>
      <c r="AI58" s="365"/>
      <c r="AJ58" s="365"/>
      <c r="AK58" s="365"/>
      <c r="AL58" s="365"/>
      <c r="AM58" s="365"/>
      <c r="AN58" s="365"/>
      <c r="AO58" s="365"/>
      <c r="AP58" s="365"/>
    </row>
    <row r="59" spans="1:42">
      <c r="A59" s="366"/>
      <c r="B59" s="64"/>
      <c r="C59" s="366"/>
      <c r="D59" s="366"/>
      <c r="E59" s="366"/>
      <c r="F59" s="64"/>
      <c r="G59" s="64"/>
      <c r="H59" s="64"/>
      <c r="I59" s="64"/>
      <c r="J59" s="366"/>
      <c r="K59" s="366"/>
      <c r="L59" s="366"/>
      <c r="M59" s="366"/>
      <c r="N59" s="366"/>
      <c r="O59" s="366"/>
      <c r="P59" s="366"/>
      <c r="Q59" s="366"/>
      <c r="R59" s="366"/>
      <c r="S59" s="366"/>
      <c r="V59" s="366"/>
      <c r="X59" s="565"/>
      <c r="Y59" s="565"/>
      <c r="Z59" s="565"/>
      <c r="AA59" s="365"/>
      <c r="AB59" s="365"/>
      <c r="AC59" s="365"/>
      <c r="AD59" s="343"/>
      <c r="AE59" s="341"/>
      <c r="AF59" s="343"/>
      <c r="AG59" s="343"/>
      <c r="AH59" s="343"/>
      <c r="AI59" s="365"/>
      <c r="AJ59" s="365"/>
      <c r="AK59" s="365"/>
      <c r="AL59" s="365"/>
      <c r="AM59" s="365"/>
      <c r="AN59" s="365"/>
      <c r="AO59" s="365"/>
      <c r="AP59" s="365"/>
    </row>
    <row r="60" spans="1:42">
      <c r="A60" s="366"/>
      <c r="B60" s="64"/>
      <c r="C60" s="366"/>
      <c r="D60" s="366"/>
      <c r="E60" s="366"/>
      <c r="F60" s="64"/>
      <c r="G60" s="64"/>
      <c r="H60" s="64"/>
      <c r="I60" s="64"/>
      <c r="J60" s="366"/>
      <c r="K60" s="366"/>
      <c r="L60" s="366"/>
      <c r="M60" s="366"/>
      <c r="N60" s="366"/>
      <c r="O60" s="366"/>
      <c r="P60" s="366"/>
      <c r="Q60" s="366"/>
      <c r="R60" s="366"/>
      <c r="S60" s="366"/>
      <c r="V60" s="366"/>
      <c r="X60" s="365"/>
      <c r="Y60" s="365"/>
      <c r="Z60" s="365"/>
      <c r="AA60" s="365"/>
      <c r="AB60" s="365"/>
      <c r="AC60" s="365"/>
      <c r="AD60" s="343"/>
      <c r="AE60" s="341"/>
      <c r="AF60" s="343"/>
      <c r="AG60" s="343"/>
      <c r="AH60" s="343"/>
      <c r="AI60" s="365"/>
      <c r="AJ60" s="18"/>
      <c r="AK60" s="18"/>
      <c r="AL60" s="365"/>
      <c r="AM60" s="365"/>
      <c r="AN60" s="365"/>
      <c r="AO60" s="365"/>
      <c r="AP60" s="365"/>
    </row>
    <row r="61" spans="1:42">
      <c r="A61" s="366"/>
      <c r="B61" s="64"/>
      <c r="C61" s="366"/>
      <c r="D61" s="366"/>
      <c r="E61" s="366"/>
      <c r="F61" s="64"/>
      <c r="G61" s="64"/>
      <c r="H61" s="64"/>
      <c r="I61" s="64"/>
      <c r="J61" s="366"/>
      <c r="K61" s="366"/>
      <c r="L61" s="366"/>
      <c r="M61" s="366"/>
      <c r="N61" s="366"/>
      <c r="O61" s="366"/>
      <c r="P61" s="366"/>
      <c r="Q61" s="366"/>
      <c r="R61" s="366"/>
      <c r="S61" s="366"/>
      <c r="V61" s="366"/>
      <c r="X61" s="365"/>
      <c r="Y61" s="365"/>
      <c r="Z61" s="365"/>
      <c r="AA61" s="365"/>
      <c r="AB61" s="365"/>
      <c r="AC61" s="365"/>
      <c r="AD61" s="343"/>
      <c r="AE61" s="343"/>
      <c r="AF61" s="343"/>
      <c r="AG61" s="343"/>
      <c r="AH61" s="343"/>
      <c r="AI61" s="365"/>
      <c r="AJ61" s="365"/>
      <c r="AK61" s="365"/>
      <c r="AL61" s="365"/>
      <c r="AM61" s="365"/>
      <c r="AN61" s="365"/>
      <c r="AO61" s="365"/>
      <c r="AP61" s="365"/>
    </row>
    <row r="62" spans="1:42">
      <c r="A62" s="366"/>
      <c r="B62" s="65"/>
      <c r="C62" s="366"/>
      <c r="D62" s="366"/>
      <c r="E62" s="366"/>
      <c r="F62" s="64"/>
      <c r="G62" s="64"/>
      <c r="H62" s="64"/>
      <c r="I62" s="64"/>
      <c r="J62" s="366"/>
      <c r="K62" s="366"/>
      <c r="L62" s="366"/>
      <c r="M62" s="366"/>
      <c r="N62" s="366"/>
      <c r="O62" s="366"/>
      <c r="P62" s="366"/>
      <c r="Q62" s="366"/>
      <c r="R62" s="366"/>
      <c r="S62" s="366"/>
      <c r="V62" s="366"/>
      <c r="X62" s="365"/>
      <c r="Y62" s="365"/>
      <c r="Z62" s="365"/>
      <c r="AA62" s="365"/>
      <c r="AB62" s="365"/>
      <c r="AC62" s="363"/>
      <c r="AD62" s="343"/>
      <c r="AE62" s="343"/>
      <c r="AF62" s="343"/>
      <c r="AG62" s="343"/>
      <c r="AH62" s="343"/>
      <c r="AI62" s="361"/>
      <c r="AJ62" s="365"/>
      <c r="AK62" s="365"/>
      <c r="AL62" s="365"/>
      <c r="AM62" s="365"/>
      <c r="AN62" s="365"/>
      <c r="AO62" s="365"/>
      <c r="AP62" s="365"/>
    </row>
    <row r="63" spans="1:42">
      <c r="A63" s="366"/>
      <c r="B63" s="65"/>
      <c r="C63" s="366"/>
      <c r="D63" s="366"/>
      <c r="E63" s="366"/>
      <c r="F63" s="64"/>
      <c r="G63" s="64"/>
      <c r="H63" s="64"/>
      <c r="I63" s="64"/>
      <c r="J63" s="366"/>
      <c r="K63" s="366"/>
      <c r="L63" s="366"/>
      <c r="M63" s="366"/>
      <c r="N63" s="366"/>
      <c r="O63" s="366"/>
      <c r="P63" s="366"/>
      <c r="Q63" s="366"/>
      <c r="R63" s="366"/>
      <c r="S63" s="366"/>
      <c r="V63" s="366"/>
      <c r="X63" s="365"/>
      <c r="Y63" s="365"/>
      <c r="Z63" s="365"/>
      <c r="AA63" s="365"/>
      <c r="AB63" s="365"/>
      <c r="AC63" s="363"/>
      <c r="AD63" s="365"/>
      <c r="AE63" s="365"/>
      <c r="AF63" s="365"/>
      <c r="AG63" s="365"/>
      <c r="AH63" s="365"/>
      <c r="AI63" s="363"/>
      <c r="AJ63" s="365"/>
      <c r="AK63" s="365"/>
      <c r="AL63" s="365"/>
      <c r="AM63" s="365"/>
      <c r="AN63" s="363"/>
      <c r="AO63" s="363"/>
      <c r="AP63" s="365"/>
    </row>
    <row r="64" spans="1:42">
      <c r="A64" s="366"/>
      <c r="B64" s="65"/>
      <c r="C64" s="366"/>
      <c r="D64" s="366"/>
      <c r="E64" s="366"/>
      <c r="F64" s="64"/>
      <c r="G64" s="64"/>
      <c r="H64" s="64"/>
      <c r="I64" s="64"/>
      <c r="J64" s="366"/>
      <c r="K64" s="366"/>
      <c r="L64" s="366"/>
      <c r="M64" s="366"/>
      <c r="N64" s="366"/>
      <c r="O64" s="366"/>
      <c r="P64" s="366"/>
      <c r="Q64" s="366"/>
      <c r="R64" s="366"/>
      <c r="S64" s="366"/>
      <c r="V64" s="366"/>
      <c r="X64" s="365"/>
      <c r="Y64" s="365"/>
      <c r="Z64" s="365"/>
      <c r="AA64" s="365"/>
      <c r="AB64" s="365"/>
      <c r="AC64" s="363"/>
      <c r="AD64" s="365"/>
      <c r="AE64" s="365"/>
      <c r="AF64" s="365"/>
      <c r="AG64" s="365"/>
      <c r="AH64" s="365"/>
      <c r="AI64" s="363"/>
      <c r="AJ64" s="365"/>
      <c r="AK64" s="365"/>
      <c r="AL64" s="365"/>
      <c r="AM64" s="365"/>
      <c r="AN64" s="365"/>
      <c r="AO64" s="365"/>
      <c r="AP64" s="365"/>
    </row>
    <row r="65" spans="1:42">
      <c r="A65" s="366"/>
      <c r="B65" s="64"/>
      <c r="C65" s="366"/>
      <c r="D65" s="366"/>
      <c r="E65" s="366"/>
      <c r="F65" s="64"/>
      <c r="G65" s="64"/>
      <c r="H65" s="64"/>
      <c r="I65" s="64"/>
      <c r="J65" s="366"/>
      <c r="K65" s="366"/>
      <c r="L65" s="366"/>
      <c r="M65" s="366"/>
      <c r="N65" s="366"/>
      <c r="O65" s="366"/>
      <c r="P65" s="366"/>
      <c r="R65" s="366"/>
      <c r="S65" s="366"/>
      <c r="V65" s="366"/>
      <c r="X65" s="365"/>
      <c r="Y65" s="365"/>
      <c r="Z65" s="365"/>
      <c r="AA65" s="365"/>
      <c r="AB65" s="365"/>
      <c r="AC65" s="365"/>
      <c r="AD65" s="18"/>
      <c r="AE65" s="365"/>
      <c r="AF65" s="365"/>
      <c r="AG65" s="365"/>
      <c r="AH65" s="365"/>
      <c r="AI65" s="365"/>
      <c r="AJ65" s="365"/>
      <c r="AK65" s="334"/>
      <c r="AL65" s="334"/>
      <c r="AM65" s="365"/>
      <c r="AN65" s="334"/>
      <c r="AO65" s="334"/>
      <c r="AP65" s="365"/>
    </row>
    <row r="66" spans="1:42">
      <c r="A66" s="366"/>
      <c r="B66" s="64"/>
      <c r="C66" s="366"/>
      <c r="D66" s="366"/>
      <c r="E66" s="366"/>
      <c r="F66" s="64"/>
      <c r="G66" s="64"/>
      <c r="H66" s="64"/>
      <c r="I66" s="64"/>
      <c r="J66" s="366"/>
      <c r="K66" s="366"/>
      <c r="L66" s="366"/>
      <c r="M66" s="366"/>
      <c r="N66" s="366"/>
      <c r="O66" s="366"/>
      <c r="P66" s="366"/>
      <c r="R66" s="366"/>
      <c r="S66" s="366"/>
      <c r="V66" s="366"/>
      <c r="X66" s="365"/>
      <c r="Y66" s="365"/>
      <c r="Z66" s="365"/>
      <c r="AA66" s="365"/>
      <c r="AB66" s="365"/>
      <c r="AC66" s="534"/>
      <c r="AD66" s="534"/>
      <c r="AE66" s="534"/>
      <c r="AF66" s="534"/>
      <c r="AG66" s="534"/>
      <c r="AH66" s="534"/>
      <c r="AI66" s="365"/>
      <c r="AJ66" s="365"/>
      <c r="AK66" s="365"/>
      <c r="AL66" s="365"/>
      <c r="AM66" s="365"/>
      <c r="AN66" s="365"/>
      <c r="AO66" s="365"/>
      <c r="AP66" s="365"/>
    </row>
    <row r="67" spans="1:42">
      <c r="A67" s="366"/>
      <c r="B67" s="64"/>
      <c r="C67" s="366"/>
      <c r="D67" s="366"/>
      <c r="E67" s="366"/>
      <c r="F67" s="64"/>
      <c r="G67" s="64"/>
      <c r="H67" s="64"/>
      <c r="I67" s="64"/>
      <c r="J67" s="366"/>
      <c r="K67" s="366"/>
      <c r="L67" s="366"/>
      <c r="M67" s="366"/>
      <c r="N67" s="366"/>
      <c r="O67" s="366"/>
      <c r="P67" s="366"/>
      <c r="R67" s="366"/>
      <c r="S67" s="366"/>
      <c r="V67" s="366"/>
      <c r="X67" s="365"/>
      <c r="Y67" s="365"/>
      <c r="Z67" s="365"/>
      <c r="AA67" s="365"/>
      <c r="AB67" s="365"/>
      <c r="AC67" s="359"/>
      <c r="AD67" s="360"/>
      <c r="AE67" s="360"/>
      <c r="AF67" s="360"/>
      <c r="AG67" s="363"/>
      <c r="AH67" s="363"/>
      <c r="AI67" s="363"/>
      <c r="AJ67" s="365"/>
      <c r="AK67" s="365"/>
      <c r="AL67" s="365"/>
      <c r="AM67" s="365"/>
      <c r="AN67" s="365"/>
      <c r="AO67" s="365"/>
      <c r="AP67" s="365"/>
    </row>
    <row r="68" spans="1:42">
      <c r="A68" s="366"/>
      <c r="B68" s="64"/>
      <c r="C68" s="366"/>
      <c r="D68" s="366"/>
      <c r="E68" s="366"/>
      <c r="F68" s="64"/>
      <c r="G68" s="64"/>
      <c r="H68" s="64"/>
      <c r="I68" s="64"/>
      <c r="J68" s="366"/>
      <c r="K68" s="366"/>
      <c r="L68" s="366"/>
      <c r="M68" s="366"/>
      <c r="N68" s="366"/>
      <c r="O68" s="366"/>
      <c r="P68" s="366"/>
      <c r="Q68" s="366"/>
      <c r="R68" s="366"/>
      <c r="S68" s="366"/>
      <c r="V68" s="366"/>
      <c r="X68" s="365"/>
      <c r="Y68" s="365"/>
      <c r="Z68" s="365"/>
      <c r="AA68" s="365"/>
      <c r="AB68" s="365"/>
      <c r="AC68" s="365"/>
      <c r="AD68" s="341"/>
      <c r="AE68" s="341"/>
      <c r="AF68" s="341"/>
      <c r="AG68" s="341"/>
      <c r="AH68" s="343"/>
      <c r="AI68" s="365"/>
      <c r="AJ68" s="365"/>
      <c r="AK68" s="365"/>
      <c r="AL68" s="365"/>
      <c r="AM68" s="365"/>
      <c r="AN68" s="365"/>
      <c r="AO68" s="365"/>
      <c r="AP68" s="365"/>
    </row>
    <row r="69" spans="1:42">
      <c r="B69" s="64"/>
      <c r="C69" s="366"/>
      <c r="D69" s="366"/>
      <c r="E69" s="366"/>
      <c r="F69" s="64"/>
      <c r="G69" s="64"/>
      <c r="H69" s="64"/>
      <c r="I69" s="64"/>
      <c r="J69" s="366"/>
      <c r="K69" s="366"/>
      <c r="L69" s="366"/>
      <c r="M69" s="366"/>
      <c r="N69" s="366"/>
      <c r="O69" s="366"/>
      <c r="P69" s="366"/>
      <c r="Q69" s="366"/>
      <c r="R69" s="366"/>
      <c r="S69" s="366"/>
      <c r="V69" s="366"/>
      <c r="X69" s="365"/>
      <c r="Y69" s="365"/>
      <c r="Z69" s="365"/>
      <c r="AA69" s="365"/>
      <c r="AB69" s="365"/>
      <c r="AC69" s="365"/>
      <c r="AD69" s="341"/>
      <c r="AE69" s="341"/>
      <c r="AF69" s="341"/>
      <c r="AG69" s="341"/>
      <c r="AH69" s="343"/>
      <c r="AI69" s="365"/>
      <c r="AJ69" s="365"/>
      <c r="AK69" s="365"/>
      <c r="AL69" s="365"/>
      <c r="AM69" s="365"/>
      <c r="AN69" s="365"/>
      <c r="AO69" s="365"/>
      <c r="AP69" s="365"/>
    </row>
    <row r="70" spans="1:42">
      <c r="B70" s="64"/>
      <c r="C70" s="366"/>
      <c r="D70" s="366"/>
      <c r="E70" s="366"/>
      <c r="F70" s="64"/>
      <c r="G70" s="64"/>
      <c r="H70" s="64"/>
      <c r="I70" s="64"/>
      <c r="J70" s="366"/>
      <c r="K70" s="366"/>
      <c r="L70" s="366"/>
      <c r="M70" s="366"/>
      <c r="N70" s="366"/>
      <c r="O70" s="366"/>
      <c r="P70" s="366"/>
      <c r="Q70" s="366"/>
      <c r="R70" s="366"/>
      <c r="S70" s="366"/>
      <c r="V70" s="366"/>
      <c r="X70" s="365"/>
      <c r="Y70" s="365"/>
      <c r="Z70" s="365"/>
      <c r="AA70" s="365"/>
      <c r="AB70" s="365"/>
      <c r="AC70" s="365"/>
      <c r="AD70" s="341"/>
      <c r="AE70" s="341"/>
      <c r="AF70" s="341"/>
      <c r="AG70" s="341"/>
      <c r="AH70" s="343"/>
      <c r="AI70" s="365"/>
      <c r="AJ70" s="365"/>
      <c r="AK70" s="365"/>
      <c r="AL70" s="365"/>
      <c r="AM70" s="365"/>
      <c r="AN70" s="365"/>
      <c r="AO70" s="365"/>
      <c r="AP70" s="365"/>
    </row>
    <row r="71" spans="1:42">
      <c r="B71" s="64"/>
      <c r="C71" s="366"/>
      <c r="D71" s="366"/>
      <c r="E71" s="366"/>
      <c r="F71" s="64"/>
      <c r="G71" s="64"/>
      <c r="H71" s="64"/>
      <c r="I71" s="64"/>
      <c r="J71" s="366"/>
      <c r="K71" s="366"/>
      <c r="L71" s="366"/>
      <c r="M71" s="366"/>
      <c r="N71" s="366"/>
      <c r="O71" s="366"/>
      <c r="P71" s="366"/>
      <c r="Q71" s="366"/>
      <c r="R71" s="366"/>
      <c r="S71" s="366"/>
      <c r="V71" s="366"/>
      <c r="X71" s="365"/>
      <c r="Y71" s="365"/>
      <c r="Z71" s="365"/>
      <c r="AA71" s="365"/>
      <c r="AB71" s="365"/>
      <c r="AC71" s="365"/>
      <c r="AD71" s="341"/>
      <c r="AE71" s="341"/>
      <c r="AF71" s="341"/>
      <c r="AG71" s="341"/>
      <c r="AH71" s="343"/>
      <c r="AI71" s="365"/>
      <c r="AJ71" s="365"/>
      <c r="AK71" s="365"/>
      <c r="AL71" s="365"/>
      <c r="AM71" s="365"/>
      <c r="AN71" s="365"/>
      <c r="AO71" s="365"/>
      <c r="AP71" s="365"/>
    </row>
    <row r="72" spans="1:42">
      <c r="B72" s="64"/>
      <c r="C72" s="366"/>
      <c r="D72" s="366"/>
      <c r="E72" s="366"/>
      <c r="F72" s="64"/>
      <c r="G72" s="64"/>
      <c r="H72" s="64"/>
      <c r="I72" s="64"/>
      <c r="J72" s="366"/>
      <c r="K72" s="366"/>
      <c r="L72" s="366"/>
      <c r="M72" s="366"/>
      <c r="N72" s="366"/>
      <c r="O72" s="366"/>
      <c r="P72" s="366"/>
      <c r="Q72" s="366"/>
      <c r="R72" s="366"/>
      <c r="S72" s="366"/>
      <c r="V72" s="366"/>
      <c r="X72" s="365"/>
      <c r="Y72" s="365"/>
      <c r="Z72" s="365"/>
      <c r="AA72" s="365"/>
      <c r="AB72" s="365"/>
      <c r="AC72" s="365"/>
      <c r="AD72" s="341"/>
      <c r="AE72" s="341"/>
      <c r="AF72" s="341"/>
      <c r="AG72" s="341"/>
      <c r="AH72" s="343"/>
      <c r="AI72" s="365"/>
      <c r="AJ72" s="365"/>
      <c r="AK72" s="365"/>
      <c r="AL72" s="365"/>
      <c r="AM72" s="365"/>
      <c r="AN72" s="365"/>
      <c r="AO72" s="365"/>
      <c r="AP72" s="365"/>
    </row>
    <row r="73" spans="1:42">
      <c r="B73" s="64"/>
      <c r="C73" s="366"/>
      <c r="D73" s="366"/>
      <c r="E73" s="366"/>
      <c r="F73" s="64"/>
      <c r="G73" s="64"/>
      <c r="H73" s="64"/>
      <c r="I73" s="64"/>
      <c r="J73" s="366"/>
      <c r="K73" s="366"/>
      <c r="L73" s="366"/>
      <c r="M73" s="366"/>
      <c r="N73" s="366"/>
      <c r="O73" s="366"/>
      <c r="P73" s="366"/>
      <c r="Q73" s="366"/>
      <c r="R73" s="366"/>
      <c r="S73" s="366"/>
      <c r="V73" s="366"/>
      <c r="X73" s="363"/>
      <c r="Y73" s="365"/>
      <c r="Z73" s="365"/>
      <c r="AA73" s="365"/>
      <c r="AB73" s="365"/>
      <c r="AC73" s="365"/>
      <c r="AD73" s="341"/>
      <c r="AE73" s="341"/>
      <c r="AF73" s="341"/>
      <c r="AG73" s="341"/>
      <c r="AH73" s="343"/>
      <c r="AI73" s="365"/>
      <c r="AJ73" s="365"/>
      <c r="AK73" s="365"/>
      <c r="AL73" s="365"/>
      <c r="AM73" s="365"/>
      <c r="AN73" s="365"/>
      <c r="AO73" s="365"/>
      <c r="AP73" s="365"/>
    </row>
    <row r="74" spans="1:42">
      <c r="B74" s="64"/>
      <c r="C74" s="366"/>
      <c r="D74" s="366"/>
      <c r="E74" s="366"/>
      <c r="F74" s="64"/>
      <c r="G74" s="64"/>
      <c r="H74" s="64"/>
      <c r="I74" s="64"/>
      <c r="J74" s="366"/>
      <c r="K74" s="366"/>
      <c r="L74" s="366"/>
      <c r="M74" s="366"/>
      <c r="N74" s="366"/>
      <c r="O74" s="366"/>
      <c r="P74" s="366"/>
      <c r="Q74" s="366"/>
      <c r="R74" s="366"/>
      <c r="S74" s="366"/>
      <c r="V74" s="366"/>
      <c r="X74" s="368"/>
      <c r="Y74" s="365"/>
      <c r="Z74" s="365"/>
      <c r="AA74" s="365"/>
      <c r="AB74" s="365"/>
      <c r="AC74" s="365"/>
      <c r="AD74" s="341"/>
      <c r="AE74" s="341"/>
      <c r="AF74" s="341"/>
      <c r="AG74" s="341"/>
      <c r="AH74" s="343"/>
      <c r="AI74" s="365"/>
      <c r="AJ74" s="365"/>
      <c r="AK74" s="365"/>
      <c r="AL74" s="365"/>
      <c r="AM74" s="365"/>
      <c r="AN74" s="365"/>
      <c r="AO74" s="365"/>
      <c r="AP74" s="365"/>
    </row>
    <row r="75" spans="1:42">
      <c r="B75" s="64"/>
      <c r="C75" s="366"/>
      <c r="D75" s="366"/>
      <c r="E75" s="366"/>
      <c r="F75" s="64"/>
      <c r="G75" s="64"/>
      <c r="H75" s="64"/>
      <c r="I75" s="64"/>
      <c r="J75" s="366"/>
      <c r="K75" s="366"/>
      <c r="L75" s="366"/>
      <c r="M75" s="366"/>
      <c r="N75" s="366"/>
      <c r="O75" s="366"/>
      <c r="P75" s="366"/>
      <c r="Q75" s="366"/>
      <c r="R75" s="366"/>
      <c r="S75" s="366"/>
      <c r="V75" s="366"/>
      <c r="X75" s="565"/>
      <c r="Y75" s="565"/>
      <c r="Z75" s="565"/>
      <c r="AA75" s="365"/>
      <c r="AB75" s="365"/>
      <c r="AC75" s="365"/>
      <c r="AD75" s="341"/>
      <c r="AE75" s="341"/>
      <c r="AF75" s="343"/>
      <c r="AG75" s="343"/>
      <c r="AH75" s="343"/>
      <c r="AI75" s="365"/>
      <c r="AJ75" s="365"/>
      <c r="AK75" s="365"/>
      <c r="AL75" s="365"/>
      <c r="AM75" s="365"/>
      <c r="AN75" s="365"/>
      <c r="AO75" s="365"/>
      <c r="AP75" s="365"/>
    </row>
    <row r="76" spans="1:42">
      <c r="B76" s="64"/>
      <c r="C76" s="366"/>
      <c r="D76" s="366"/>
      <c r="E76" s="366"/>
      <c r="F76" s="64"/>
      <c r="G76" s="64"/>
      <c r="H76" s="64"/>
      <c r="I76" s="64"/>
      <c r="J76" s="366"/>
      <c r="K76" s="366"/>
      <c r="L76" s="366"/>
      <c r="M76" s="366"/>
      <c r="N76" s="366"/>
      <c r="O76" s="366"/>
      <c r="P76" s="366"/>
      <c r="Q76" s="366"/>
      <c r="R76" s="366"/>
      <c r="S76" s="366"/>
      <c r="V76" s="366"/>
      <c r="X76" s="365"/>
      <c r="Y76" s="365"/>
      <c r="Z76" s="365"/>
      <c r="AA76" s="365"/>
      <c r="AB76" s="365"/>
      <c r="AC76" s="365"/>
      <c r="AD76" s="343"/>
      <c r="AE76" s="343"/>
      <c r="AF76" s="343"/>
      <c r="AG76" s="343"/>
      <c r="AH76" s="343"/>
      <c r="AI76" s="365"/>
      <c r="AJ76" s="365"/>
      <c r="AK76" s="365"/>
      <c r="AL76" s="365"/>
      <c r="AM76" s="365"/>
      <c r="AN76" s="365"/>
      <c r="AO76" s="365"/>
      <c r="AP76" s="365"/>
    </row>
    <row r="77" spans="1:42">
      <c r="B77" s="64"/>
      <c r="C77" s="366"/>
      <c r="D77" s="366"/>
      <c r="E77" s="366"/>
      <c r="F77" s="64"/>
      <c r="G77" s="64"/>
      <c r="H77" s="64"/>
      <c r="I77" s="64"/>
      <c r="J77" s="366"/>
      <c r="K77" s="366"/>
      <c r="L77" s="366"/>
      <c r="M77" s="366"/>
      <c r="N77" s="366"/>
      <c r="O77" s="366"/>
      <c r="P77" s="366"/>
      <c r="Q77" s="366"/>
      <c r="R77" s="366"/>
      <c r="S77" s="366"/>
      <c r="V77" s="366"/>
      <c r="X77" s="365"/>
      <c r="Y77" s="365"/>
      <c r="Z77" s="365"/>
      <c r="AA77" s="365"/>
      <c r="AB77" s="365"/>
      <c r="AC77" s="365"/>
      <c r="AD77" s="343"/>
      <c r="AE77" s="341"/>
      <c r="AF77" s="343"/>
      <c r="AG77" s="343"/>
      <c r="AH77" s="343"/>
      <c r="AI77" s="365"/>
      <c r="AJ77" s="365"/>
      <c r="AK77" s="365"/>
      <c r="AL77" s="365"/>
      <c r="AM77" s="365"/>
      <c r="AN77" s="365"/>
    </row>
    <row r="78" spans="1:42">
      <c r="B78" s="64"/>
      <c r="C78" s="366"/>
      <c r="D78" s="366"/>
      <c r="E78" s="366"/>
      <c r="F78" s="64"/>
      <c r="G78" s="64"/>
      <c r="H78" s="64"/>
      <c r="I78" s="64"/>
      <c r="J78" s="366"/>
      <c r="K78" s="366"/>
      <c r="L78" s="366"/>
      <c r="M78" s="366"/>
      <c r="N78" s="366"/>
      <c r="O78" s="366"/>
      <c r="P78" s="366"/>
      <c r="Q78" s="366"/>
      <c r="R78" s="366"/>
      <c r="S78" s="366"/>
      <c r="V78" s="366"/>
      <c r="X78" s="365"/>
      <c r="Y78" s="365"/>
      <c r="Z78" s="365"/>
      <c r="AA78" s="365"/>
      <c r="AB78" s="365"/>
      <c r="AC78" s="365"/>
      <c r="AD78" s="343"/>
      <c r="AE78" s="341"/>
      <c r="AF78" s="343"/>
      <c r="AG78" s="343"/>
      <c r="AH78" s="343"/>
      <c r="AI78" s="365"/>
      <c r="AJ78" s="365"/>
      <c r="AK78" s="365"/>
      <c r="AL78" s="365"/>
      <c r="AM78" s="365"/>
      <c r="AN78" s="365"/>
    </row>
    <row r="79" spans="1:42">
      <c r="B79" s="64"/>
      <c r="C79" s="366"/>
      <c r="D79" s="366"/>
      <c r="E79" s="366"/>
      <c r="F79" s="64"/>
      <c r="G79" s="64"/>
      <c r="H79" s="64"/>
      <c r="I79" s="64"/>
      <c r="J79" s="366"/>
      <c r="K79" s="366"/>
      <c r="L79" s="366"/>
      <c r="M79" s="366"/>
      <c r="N79" s="366"/>
      <c r="O79" s="366"/>
      <c r="P79" s="366"/>
      <c r="Q79" s="366"/>
      <c r="R79" s="366"/>
      <c r="S79" s="366"/>
      <c r="V79" s="366"/>
      <c r="X79" s="365"/>
      <c r="Y79" s="365"/>
      <c r="Z79" s="365"/>
      <c r="AA79" s="365"/>
      <c r="AB79" s="365"/>
      <c r="AC79" s="365"/>
      <c r="AD79" s="343"/>
      <c r="AE79" s="343"/>
      <c r="AF79" s="343"/>
      <c r="AG79" s="343"/>
      <c r="AH79" s="343"/>
      <c r="AI79" s="365"/>
      <c r="AJ79" s="365"/>
      <c r="AK79" s="365"/>
      <c r="AL79" s="365"/>
      <c r="AM79" s="365"/>
      <c r="AN79" s="365"/>
    </row>
    <row r="80" spans="1:42">
      <c r="B80" s="64"/>
      <c r="C80" s="366"/>
      <c r="D80" s="366"/>
      <c r="E80" s="366"/>
      <c r="F80" s="64"/>
      <c r="G80" s="64"/>
      <c r="H80" s="64"/>
      <c r="I80" s="64"/>
      <c r="J80" s="366"/>
      <c r="K80" s="366"/>
      <c r="L80" s="366"/>
      <c r="M80" s="366"/>
      <c r="N80" s="366"/>
      <c r="O80" s="366"/>
      <c r="P80" s="366"/>
      <c r="Q80" s="366"/>
      <c r="R80" s="366"/>
      <c r="S80" s="366"/>
      <c r="V80" s="366"/>
      <c r="X80" s="365"/>
      <c r="Y80" s="365"/>
      <c r="Z80" s="365"/>
      <c r="AA80" s="365"/>
      <c r="AB80" s="365"/>
      <c r="AC80" s="363"/>
      <c r="AD80" s="343"/>
      <c r="AE80" s="343"/>
      <c r="AF80" s="343"/>
      <c r="AG80" s="343"/>
      <c r="AH80" s="343"/>
      <c r="AI80" s="361"/>
      <c r="AJ80" s="365"/>
      <c r="AK80" s="365"/>
      <c r="AL80" s="365"/>
      <c r="AM80" s="365"/>
      <c r="AN80" s="365"/>
    </row>
    <row r="81" spans="2:40">
      <c r="B81" s="64"/>
      <c r="C81" s="366"/>
      <c r="D81" s="366"/>
      <c r="E81" s="366"/>
      <c r="F81" s="64"/>
      <c r="G81" s="64"/>
      <c r="H81" s="64"/>
      <c r="I81" s="64"/>
      <c r="J81" s="366"/>
      <c r="K81" s="366"/>
      <c r="L81" s="366"/>
      <c r="M81" s="366"/>
      <c r="N81" s="366"/>
      <c r="O81" s="366"/>
      <c r="P81" s="366"/>
      <c r="Q81" s="366"/>
      <c r="R81" s="366"/>
      <c r="S81" s="366"/>
      <c r="V81" s="366"/>
      <c r="X81" s="365"/>
      <c r="Y81" s="365"/>
      <c r="Z81" s="365"/>
      <c r="AA81" s="365"/>
      <c r="AB81" s="365"/>
      <c r="AC81" s="363"/>
      <c r="AD81" s="365"/>
      <c r="AE81" s="365"/>
      <c r="AF81" s="365"/>
      <c r="AG81" s="365"/>
      <c r="AH81" s="365"/>
      <c r="AI81" s="363"/>
      <c r="AJ81" s="365"/>
      <c r="AK81" s="365"/>
      <c r="AL81" s="365"/>
      <c r="AM81" s="365"/>
      <c r="AN81" s="365"/>
    </row>
    <row r="82" spans="2:40">
      <c r="B82" s="64"/>
      <c r="C82" s="366"/>
      <c r="D82" s="366"/>
      <c r="E82" s="366"/>
      <c r="F82" s="64"/>
      <c r="G82" s="64"/>
      <c r="H82" s="64"/>
      <c r="I82" s="64"/>
      <c r="J82" s="366"/>
      <c r="K82" s="366"/>
      <c r="L82" s="366"/>
      <c r="M82" s="366"/>
      <c r="N82" s="366"/>
      <c r="O82" s="366"/>
      <c r="P82" s="366"/>
      <c r="Q82" s="366"/>
      <c r="R82" s="366"/>
      <c r="S82" s="366"/>
      <c r="V82" s="366"/>
      <c r="X82" s="365"/>
      <c r="Y82" s="365"/>
      <c r="Z82" s="365"/>
      <c r="AA82" s="365"/>
      <c r="AB82" s="365"/>
      <c r="AC82" s="363"/>
      <c r="AD82" s="365"/>
      <c r="AE82" s="365"/>
      <c r="AF82" s="365"/>
      <c r="AG82" s="365"/>
      <c r="AH82" s="365"/>
      <c r="AI82" s="363"/>
      <c r="AJ82" s="365"/>
      <c r="AK82" s="365"/>
      <c r="AL82" s="365"/>
      <c r="AM82" s="365"/>
      <c r="AN82" s="365"/>
    </row>
    <row r="83" spans="2:40">
      <c r="B83" s="64"/>
      <c r="C83" s="366"/>
      <c r="D83" s="366"/>
      <c r="E83" s="366"/>
      <c r="F83" s="64"/>
      <c r="G83" s="64"/>
      <c r="H83" s="64"/>
      <c r="I83" s="64"/>
      <c r="J83" s="366"/>
      <c r="K83" s="366"/>
      <c r="L83" s="366"/>
      <c r="M83" s="366"/>
      <c r="N83" s="366"/>
      <c r="O83" s="366"/>
      <c r="P83" s="366"/>
      <c r="Q83" s="366"/>
      <c r="R83" s="366"/>
      <c r="S83" s="366"/>
      <c r="V83" s="366"/>
      <c r="X83" s="365"/>
      <c r="Y83" s="365"/>
      <c r="Z83" s="365"/>
      <c r="AA83" s="365"/>
      <c r="AB83" s="365"/>
      <c r="AC83" s="365"/>
      <c r="AD83" s="365"/>
      <c r="AE83" s="365"/>
      <c r="AF83" s="365"/>
      <c r="AG83" s="365"/>
      <c r="AH83" s="365"/>
      <c r="AI83" s="365"/>
      <c r="AJ83" s="365"/>
      <c r="AK83" s="365"/>
      <c r="AL83" s="365"/>
      <c r="AM83" s="365"/>
      <c r="AN83" s="365"/>
    </row>
    <row r="84" spans="2:40">
      <c r="B84" s="64"/>
      <c r="C84" s="366"/>
      <c r="D84" s="366"/>
      <c r="E84" s="366"/>
      <c r="F84" s="64"/>
      <c r="G84" s="64"/>
      <c r="H84" s="64"/>
      <c r="I84" s="64"/>
      <c r="J84" s="366"/>
      <c r="K84" s="366"/>
      <c r="L84" s="366"/>
      <c r="M84" s="366"/>
      <c r="N84" s="366"/>
      <c r="O84" s="366"/>
      <c r="P84" s="366"/>
      <c r="Q84" s="366"/>
      <c r="R84" s="366"/>
      <c r="S84" s="366"/>
      <c r="V84" s="366"/>
      <c r="X84" s="365"/>
      <c r="Y84" s="365"/>
      <c r="Z84" s="365"/>
      <c r="AA84" s="365"/>
      <c r="AB84" s="365"/>
      <c r="AC84" s="365"/>
      <c r="AD84" s="365"/>
      <c r="AE84" s="365"/>
      <c r="AF84" s="365"/>
      <c r="AG84" s="365"/>
      <c r="AH84" s="365"/>
      <c r="AI84" s="365"/>
      <c r="AJ84" s="365"/>
      <c r="AK84" s="365"/>
      <c r="AL84" s="365"/>
      <c r="AM84" s="365"/>
      <c r="AN84" s="365"/>
    </row>
    <row r="85" spans="2:40">
      <c r="B85" s="64"/>
      <c r="C85" s="366"/>
      <c r="D85" s="366"/>
      <c r="E85" s="366"/>
      <c r="F85" s="64"/>
      <c r="G85" s="64"/>
      <c r="H85" s="64"/>
      <c r="I85" s="64"/>
      <c r="J85" s="366"/>
      <c r="K85" s="366"/>
      <c r="L85" s="366"/>
      <c r="M85" s="366"/>
      <c r="N85" s="366"/>
      <c r="O85" s="366"/>
      <c r="P85" s="366"/>
      <c r="Q85" s="366"/>
      <c r="R85" s="366"/>
      <c r="S85" s="366"/>
      <c r="V85" s="366"/>
      <c r="X85" s="366"/>
      <c r="Y85" s="366"/>
      <c r="Z85" s="366"/>
    </row>
    <row r="86" spans="2:40">
      <c r="B86" s="64"/>
      <c r="C86" s="366"/>
      <c r="D86" s="366"/>
      <c r="E86" s="366"/>
      <c r="F86" s="64"/>
      <c r="G86" s="64"/>
      <c r="H86" s="64"/>
      <c r="I86" s="64"/>
      <c r="J86" s="366"/>
      <c r="K86" s="366"/>
      <c r="L86" s="366"/>
      <c r="M86" s="366"/>
      <c r="N86" s="366"/>
      <c r="O86" s="366"/>
      <c r="P86" s="366"/>
      <c r="Q86" s="366"/>
      <c r="R86" s="366"/>
      <c r="S86" s="366"/>
      <c r="V86" s="366"/>
      <c r="X86" s="366"/>
      <c r="Y86" s="366"/>
      <c r="Z86" s="366"/>
    </row>
    <row r="87" spans="2:40">
      <c r="B87" s="64"/>
      <c r="C87" s="366"/>
      <c r="D87" s="366"/>
      <c r="E87" s="366"/>
      <c r="F87" s="64"/>
      <c r="G87" s="64"/>
      <c r="H87" s="64"/>
      <c r="I87" s="64"/>
      <c r="J87" s="366"/>
      <c r="K87" s="366"/>
      <c r="L87" s="366"/>
      <c r="M87" s="366"/>
      <c r="N87" s="366"/>
      <c r="O87" s="366"/>
      <c r="P87" s="366"/>
      <c r="Q87" s="366"/>
      <c r="R87" s="366"/>
      <c r="S87" s="366"/>
      <c r="V87" s="366"/>
      <c r="X87" s="366"/>
      <c r="Y87" s="366"/>
      <c r="Z87" s="366"/>
    </row>
    <row r="88" spans="2:40">
      <c r="B88" s="64"/>
      <c r="C88" s="366"/>
      <c r="D88" s="366"/>
      <c r="E88" s="366"/>
      <c r="F88" s="64"/>
      <c r="G88" s="64"/>
      <c r="H88" s="64"/>
      <c r="I88" s="64"/>
      <c r="J88" s="366"/>
      <c r="K88" s="366"/>
      <c r="L88" s="366"/>
      <c r="M88" s="366"/>
      <c r="N88" s="366"/>
      <c r="O88" s="366"/>
      <c r="P88" s="366"/>
      <c r="Q88" s="366"/>
      <c r="R88" s="366"/>
      <c r="S88" s="366"/>
      <c r="V88" s="366"/>
      <c r="X88" s="366"/>
      <c r="Y88" s="366"/>
      <c r="Z88" s="366"/>
    </row>
    <row r="89" spans="2:40">
      <c r="B89" s="64"/>
      <c r="C89" s="366"/>
      <c r="D89" s="366"/>
      <c r="E89" s="366"/>
      <c r="F89" s="64"/>
      <c r="G89" s="64"/>
      <c r="H89" s="64"/>
      <c r="I89" s="64"/>
      <c r="J89" s="366"/>
      <c r="K89" s="366"/>
      <c r="L89" s="366"/>
      <c r="M89" s="366"/>
      <c r="N89" s="366"/>
      <c r="O89" s="366"/>
      <c r="P89" s="366"/>
      <c r="Q89" s="366"/>
      <c r="R89" s="366"/>
      <c r="S89" s="366"/>
      <c r="V89" s="366"/>
      <c r="X89" s="364"/>
      <c r="Y89" s="366"/>
      <c r="Z89" s="366"/>
    </row>
    <row r="90" spans="2:40">
      <c r="B90" s="64"/>
      <c r="C90" s="366"/>
      <c r="D90" s="366"/>
      <c r="E90" s="366"/>
      <c r="F90" s="64"/>
      <c r="G90" s="64"/>
      <c r="H90" s="64"/>
      <c r="I90" s="64"/>
      <c r="J90" s="366"/>
      <c r="K90" s="366"/>
      <c r="L90" s="366"/>
      <c r="M90" s="366"/>
      <c r="N90" s="366"/>
      <c r="O90" s="366"/>
      <c r="P90" s="366"/>
      <c r="Q90" s="366"/>
      <c r="R90" s="366"/>
      <c r="S90" s="366"/>
      <c r="V90" s="366"/>
    </row>
    <row r="91" spans="2:40">
      <c r="B91" s="64"/>
      <c r="C91" s="366"/>
      <c r="D91" s="366"/>
      <c r="E91" s="366"/>
      <c r="F91" s="64"/>
      <c r="G91" s="64"/>
      <c r="H91" s="64"/>
      <c r="I91" s="64"/>
      <c r="J91" s="366"/>
      <c r="K91" s="366"/>
      <c r="L91" s="366"/>
      <c r="M91" s="366"/>
      <c r="N91" s="366"/>
      <c r="O91" s="366"/>
      <c r="P91" s="366"/>
      <c r="Q91" s="366"/>
      <c r="R91" s="366"/>
      <c r="S91" s="366"/>
      <c r="V91" s="366"/>
    </row>
    <row r="92" spans="2:40">
      <c r="B92" s="64"/>
      <c r="C92" s="366"/>
      <c r="D92" s="366"/>
      <c r="E92" s="366"/>
      <c r="F92" s="64"/>
      <c r="G92" s="64"/>
      <c r="H92" s="64"/>
      <c r="I92" s="64"/>
      <c r="J92" s="366"/>
      <c r="K92" s="366"/>
      <c r="L92" s="366"/>
      <c r="M92" s="366"/>
      <c r="N92" s="366"/>
      <c r="O92" s="366"/>
      <c r="P92" s="366"/>
      <c r="Q92" s="366"/>
      <c r="R92" s="366"/>
      <c r="S92" s="366"/>
      <c r="V92" s="366"/>
    </row>
    <row r="93" spans="2:40">
      <c r="B93" s="64"/>
      <c r="C93" s="366"/>
      <c r="D93" s="366"/>
      <c r="E93" s="366"/>
      <c r="F93" s="64"/>
      <c r="G93" s="64"/>
      <c r="H93" s="64"/>
      <c r="I93" s="64"/>
      <c r="J93" s="366"/>
      <c r="K93" s="366"/>
      <c r="L93" s="366"/>
      <c r="M93" s="366"/>
      <c r="N93" s="366"/>
      <c r="O93" s="366"/>
      <c r="P93" s="366"/>
      <c r="Q93" s="366"/>
      <c r="R93" s="366"/>
      <c r="S93" s="366"/>
      <c r="V93" s="366"/>
    </row>
    <row r="94" spans="2:40">
      <c r="B94" s="64"/>
      <c r="C94" s="366"/>
      <c r="D94" s="366"/>
      <c r="E94" s="366"/>
      <c r="F94" s="64"/>
      <c r="G94" s="64"/>
      <c r="H94" s="64"/>
      <c r="I94" s="64"/>
      <c r="J94" s="366"/>
      <c r="K94" s="366"/>
      <c r="L94" s="366"/>
      <c r="M94" s="366"/>
      <c r="N94" s="366"/>
      <c r="O94" s="366"/>
      <c r="P94" s="366"/>
      <c r="Q94" s="366"/>
      <c r="R94" s="366"/>
      <c r="S94" s="366"/>
      <c r="V94" s="366"/>
    </row>
    <row r="95" spans="2:40">
      <c r="B95" s="64"/>
      <c r="C95" s="366"/>
      <c r="D95" s="366"/>
      <c r="E95" s="366"/>
      <c r="F95" s="64"/>
      <c r="G95" s="64"/>
      <c r="H95" s="64"/>
      <c r="I95" s="64"/>
      <c r="J95" s="366"/>
      <c r="K95" s="366"/>
      <c r="L95" s="366"/>
      <c r="M95" s="366"/>
      <c r="N95" s="366"/>
      <c r="O95" s="366"/>
      <c r="P95" s="366"/>
      <c r="Q95" s="366"/>
      <c r="R95" s="366"/>
      <c r="S95" s="366"/>
      <c r="V95" s="366"/>
    </row>
    <row r="96" spans="2:40">
      <c r="B96" s="64"/>
      <c r="C96" s="366"/>
      <c r="D96" s="366"/>
      <c r="E96" s="366"/>
      <c r="F96" s="64"/>
      <c r="G96" s="64"/>
      <c r="H96" s="64"/>
      <c r="I96" s="64"/>
      <c r="J96" s="366"/>
      <c r="K96" s="366"/>
      <c r="L96" s="366"/>
      <c r="M96" s="366"/>
      <c r="N96" s="366"/>
      <c r="O96" s="366"/>
      <c r="P96" s="366"/>
      <c r="Q96" s="366"/>
      <c r="R96" s="366"/>
      <c r="S96" s="366"/>
      <c r="V96" s="366"/>
    </row>
    <row r="97" spans="2:22">
      <c r="B97" s="64"/>
      <c r="C97" s="366"/>
      <c r="D97" s="366"/>
      <c r="E97" s="366"/>
      <c r="F97" s="64"/>
      <c r="G97" s="64"/>
      <c r="H97" s="64"/>
      <c r="I97" s="64"/>
      <c r="J97" s="366"/>
      <c r="K97" s="366"/>
      <c r="L97" s="366"/>
      <c r="M97" s="366"/>
      <c r="N97" s="366"/>
      <c r="O97" s="366"/>
      <c r="P97" s="366"/>
      <c r="Q97" s="366"/>
      <c r="R97" s="366"/>
      <c r="S97" s="366"/>
      <c r="V97" s="366"/>
    </row>
    <row r="98" spans="2:22">
      <c r="B98" s="64"/>
      <c r="C98" s="366"/>
      <c r="D98" s="366"/>
      <c r="E98" s="366"/>
      <c r="F98" s="64"/>
      <c r="G98" s="64"/>
      <c r="H98" s="64"/>
      <c r="I98" s="64"/>
      <c r="J98" s="366"/>
      <c r="K98" s="366"/>
      <c r="L98" s="366"/>
      <c r="M98" s="366"/>
      <c r="N98" s="366"/>
      <c r="O98" s="366"/>
      <c r="P98" s="366"/>
      <c r="Q98" s="366"/>
      <c r="R98" s="366"/>
      <c r="S98" s="366"/>
      <c r="V98" s="366"/>
    </row>
    <row r="99" spans="2:22">
      <c r="B99" s="64"/>
      <c r="C99" s="366"/>
      <c r="D99" s="366"/>
      <c r="E99" s="366"/>
      <c r="F99" s="64"/>
      <c r="G99" s="64"/>
      <c r="H99" s="64"/>
      <c r="I99" s="64"/>
      <c r="J99" s="366"/>
      <c r="K99" s="366"/>
      <c r="L99" s="366"/>
      <c r="M99" s="366"/>
      <c r="N99" s="366"/>
      <c r="O99" s="366"/>
      <c r="P99" s="366"/>
      <c r="Q99" s="366"/>
      <c r="R99" s="366"/>
      <c r="S99" s="366"/>
      <c r="V99" s="366"/>
    </row>
    <row r="100" spans="2:22">
      <c r="B100" s="64"/>
      <c r="C100" s="366"/>
      <c r="D100" s="366"/>
      <c r="E100" s="366"/>
      <c r="F100" s="64"/>
      <c r="G100" s="64"/>
      <c r="H100" s="64"/>
      <c r="I100" s="64"/>
      <c r="J100" s="366"/>
      <c r="K100" s="366"/>
      <c r="L100" s="366"/>
      <c r="M100" s="366"/>
      <c r="N100" s="366"/>
      <c r="O100" s="366"/>
      <c r="P100" s="366"/>
      <c r="Q100" s="366"/>
      <c r="R100" s="366"/>
      <c r="S100" s="366"/>
      <c r="V100" s="366"/>
    </row>
    <row r="101" spans="2:22">
      <c r="B101" s="64"/>
      <c r="C101" s="366"/>
      <c r="D101" s="366"/>
      <c r="E101" s="366"/>
      <c r="F101" s="64"/>
      <c r="G101" s="64"/>
      <c r="H101" s="64"/>
      <c r="I101" s="64"/>
      <c r="J101" s="366"/>
      <c r="K101" s="366"/>
      <c r="L101" s="366"/>
      <c r="M101" s="366"/>
      <c r="N101" s="366"/>
      <c r="O101" s="366"/>
      <c r="P101" s="366"/>
      <c r="Q101" s="366"/>
      <c r="R101" s="366"/>
      <c r="S101" s="366"/>
      <c r="V101" s="366"/>
    </row>
    <row r="102" spans="2:22">
      <c r="B102" s="64"/>
      <c r="C102" s="366"/>
      <c r="D102" s="366"/>
      <c r="E102" s="366"/>
      <c r="F102" s="64"/>
      <c r="G102" s="64"/>
      <c r="H102" s="64"/>
      <c r="I102" s="64"/>
      <c r="J102" s="366"/>
      <c r="K102" s="366"/>
      <c r="L102" s="366"/>
      <c r="M102" s="366"/>
      <c r="N102" s="366"/>
      <c r="O102" s="366"/>
      <c r="P102" s="366"/>
      <c r="Q102" s="366"/>
      <c r="R102" s="366"/>
      <c r="S102" s="366"/>
      <c r="V102" s="366"/>
    </row>
    <row r="103" spans="2:22">
      <c r="B103" s="64"/>
      <c r="C103" s="366"/>
      <c r="D103" s="366"/>
      <c r="E103" s="366"/>
      <c r="F103" s="64"/>
      <c r="G103" s="64"/>
      <c r="H103" s="64"/>
      <c r="I103" s="64"/>
      <c r="J103" s="366"/>
      <c r="K103" s="366"/>
      <c r="L103" s="366"/>
      <c r="M103" s="366"/>
      <c r="N103" s="366"/>
      <c r="O103" s="366"/>
      <c r="P103" s="366"/>
      <c r="Q103" s="366"/>
      <c r="R103" s="366"/>
      <c r="S103" s="366"/>
      <c r="V103" s="366"/>
    </row>
    <row r="104" spans="2:22">
      <c r="B104" s="64"/>
      <c r="C104" s="366"/>
      <c r="D104" s="366"/>
      <c r="E104" s="366"/>
      <c r="F104" s="64"/>
      <c r="G104" s="64"/>
      <c r="H104" s="64"/>
      <c r="I104" s="64"/>
      <c r="J104" s="366"/>
      <c r="K104" s="366"/>
      <c r="L104" s="366"/>
      <c r="M104" s="366"/>
      <c r="N104" s="366"/>
      <c r="O104" s="366"/>
      <c r="P104" s="366"/>
      <c r="Q104" s="366"/>
      <c r="R104" s="366"/>
      <c r="S104" s="366"/>
      <c r="V104" s="366"/>
    </row>
    <row r="105" spans="2:22">
      <c r="B105" s="64"/>
      <c r="C105" s="366"/>
      <c r="D105" s="366"/>
      <c r="E105" s="366"/>
      <c r="F105" s="64"/>
      <c r="G105" s="64"/>
      <c r="H105" s="64"/>
      <c r="I105" s="64"/>
      <c r="J105" s="366"/>
      <c r="K105" s="366"/>
      <c r="L105" s="366"/>
      <c r="M105" s="366"/>
      <c r="N105" s="366"/>
      <c r="O105" s="366"/>
      <c r="P105" s="366"/>
      <c r="Q105" s="366"/>
      <c r="R105" s="366"/>
      <c r="S105" s="366"/>
      <c r="V105" s="366"/>
    </row>
    <row r="106" spans="2:22">
      <c r="B106" s="64"/>
      <c r="C106" s="366"/>
      <c r="D106" s="366"/>
      <c r="E106" s="366"/>
      <c r="F106" s="64"/>
      <c r="G106" s="64"/>
      <c r="H106" s="64"/>
      <c r="I106" s="64"/>
      <c r="J106" s="366"/>
      <c r="K106" s="366"/>
      <c r="L106" s="366"/>
      <c r="M106" s="366"/>
      <c r="N106" s="366"/>
      <c r="O106" s="366"/>
      <c r="P106" s="366"/>
      <c r="Q106" s="366"/>
      <c r="R106" s="366"/>
      <c r="S106" s="366"/>
      <c r="V106" s="366"/>
    </row>
    <row r="107" spans="2:22">
      <c r="B107" s="64"/>
      <c r="C107" s="366"/>
      <c r="D107" s="366"/>
      <c r="E107" s="366"/>
      <c r="F107" s="64"/>
      <c r="G107" s="64"/>
      <c r="H107" s="64"/>
      <c r="I107" s="64"/>
      <c r="J107" s="366"/>
      <c r="K107" s="366"/>
      <c r="L107" s="366"/>
      <c r="M107" s="366"/>
      <c r="N107" s="366"/>
      <c r="O107" s="366"/>
      <c r="P107" s="366"/>
      <c r="Q107" s="366"/>
      <c r="R107" s="366"/>
      <c r="S107" s="366"/>
      <c r="V107" s="366"/>
    </row>
    <row r="108" spans="2:22">
      <c r="B108" s="64"/>
      <c r="C108" s="366"/>
      <c r="D108" s="366"/>
      <c r="E108" s="366"/>
      <c r="F108" s="64"/>
      <c r="G108" s="64"/>
      <c r="H108" s="64"/>
      <c r="I108" s="64"/>
      <c r="J108" s="366"/>
      <c r="K108" s="366"/>
      <c r="L108" s="366"/>
      <c r="M108" s="366"/>
      <c r="N108" s="366"/>
      <c r="O108" s="366"/>
      <c r="P108" s="366"/>
      <c r="Q108" s="366"/>
      <c r="R108" s="366"/>
      <c r="S108" s="366"/>
      <c r="V108" s="366"/>
    </row>
    <row r="109" spans="2:22">
      <c r="B109" s="64"/>
      <c r="C109" s="366"/>
      <c r="D109" s="366"/>
      <c r="E109" s="366"/>
      <c r="F109" s="64"/>
      <c r="G109" s="64"/>
      <c r="H109" s="64"/>
      <c r="I109" s="64"/>
      <c r="J109" s="366"/>
      <c r="K109" s="366"/>
      <c r="L109" s="366"/>
      <c r="M109" s="366"/>
      <c r="N109" s="366"/>
      <c r="O109" s="366"/>
      <c r="P109" s="366"/>
      <c r="Q109" s="366"/>
      <c r="R109" s="366"/>
      <c r="S109" s="366"/>
      <c r="V109" s="366"/>
    </row>
    <row r="110" spans="2:22">
      <c r="B110" s="64"/>
      <c r="C110" s="366"/>
      <c r="D110" s="366"/>
      <c r="E110" s="366"/>
      <c r="F110" s="64"/>
      <c r="G110" s="64"/>
      <c r="H110" s="64"/>
      <c r="I110" s="64"/>
      <c r="J110" s="366"/>
      <c r="K110" s="366"/>
      <c r="L110" s="366"/>
      <c r="M110" s="366"/>
      <c r="N110" s="366"/>
      <c r="O110" s="366"/>
      <c r="P110" s="366"/>
      <c r="Q110" s="366"/>
      <c r="R110" s="366"/>
      <c r="S110" s="366"/>
      <c r="V110" s="366"/>
    </row>
    <row r="111" spans="2:22">
      <c r="B111" s="64"/>
      <c r="C111" s="366"/>
      <c r="D111" s="366"/>
      <c r="E111" s="366"/>
      <c r="F111" s="64"/>
      <c r="G111" s="64"/>
      <c r="H111" s="64"/>
      <c r="I111" s="64"/>
      <c r="J111" s="366"/>
      <c r="K111" s="366"/>
      <c r="L111" s="366"/>
      <c r="M111" s="366"/>
      <c r="N111" s="366"/>
      <c r="O111" s="366"/>
      <c r="P111" s="366"/>
      <c r="Q111" s="366"/>
      <c r="R111" s="366"/>
      <c r="S111" s="366"/>
      <c r="V111" s="366"/>
    </row>
    <row r="112" spans="2:22">
      <c r="B112" s="64"/>
      <c r="C112" s="366"/>
      <c r="D112" s="366"/>
      <c r="E112" s="366"/>
      <c r="F112" s="64"/>
      <c r="G112" s="64"/>
      <c r="H112" s="64"/>
      <c r="I112" s="64"/>
      <c r="J112" s="366"/>
      <c r="K112" s="366"/>
      <c r="L112" s="366"/>
      <c r="M112" s="366"/>
      <c r="N112" s="366"/>
      <c r="O112" s="366"/>
      <c r="P112" s="366"/>
      <c r="Q112" s="366"/>
      <c r="R112" s="366"/>
      <c r="S112" s="366"/>
      <c r="V112" s="366"/>
    </row>
    <row r="113" spans="1:22">
      <c r="B113" s="64"/>
      <c r="C113" s="366"/>
      <c r="D113" s="366"/>
      <c r="E113" s="366"/>
      <c r="F113" s="64"/>
      <c r="G113" s="64"/>
      <c r="H113" s="64"/>
      <c r="I113" s="64"/>
      <c r="J113" s="366"/>
      <c r="K113" s="366"/>
      <c r="L113" s="366"/>
      <c r="M113" s="366"/>
      <c r="N113" s="366"/>
      <c r="O113" s="366"/>
      <c r="P113" s="366"/>
      <c r="Q113" s="366"/>
      <c r="R113" s="366"/>
      <c r="S113" s="366"/>
      <c r="V113" s="366"/>
    </row>
    <row r="114" spans="1:22">
      <c r="B114" s="64"/>
      <c r="C114" s="366"/>
      <c r="D114" s="366"/>
      <c r="E114" s="366"/>
      <c r="F114" s="64"/>
      <c r="G114" s="64"/>
      <c r="H114" s="64"/>
      <c r="I114" s="64"/>
      <c r="J114" s="366"/>
      <c r="K114" s="366"/>
      <c r="L114" s="366"/>
      <c r="M114" s="366"/>
      <c r="N114" s="366"/>
      <c r="O114" s="366"/>
      <c r="P114" s="366"/>
      <c r="Q114" s="366"/>
      <c r="R114" s="366"/>
      <c r="S114" s="366"/>
      <c r="V114" s="366"/>
    </row>
    <row r="115" spans="1:22">
      <c r="B115" s="64"/>
      <c r="C115" s="366"/>
      <c r="D115" s="366"/>
      <c r="E115" s="366"/>
      <c r="F115" s="64"/>
      <c r="G115" s="64"/>
      <c r="H115" s="64"/>
      <c r="I115" s="64"/>
      <c r="J115" s="366"/>
      <c r="K115" s="366"/>
      <c r="L115" s="366"/>
      <c r="M115" s="366"/>
      <c r="N115" s="366"/>
      <c r="O115" s="366"/>
      <c r="P115" s="366"/>
      <c r="Q115" s="366"/>
      <c r="R115" s="366"/>
      <c r="S115" s="366"/>
      <c r="V115" s="366"/>
    </row>
    <row r="116" spans="1:22">
      <c r="B116" s="64"/>
      <c r="C116" s="366"/>
      <c r="D116" s="366"/>
      <c r="E116" s="366"/>
      <c r="F116" s="64"/>
      <c r="G116" s="64"/>
      <c r="H116" s="64"/>
      <c r="I116" s="64"/>
      <c r="J116" s="366"/>
      <c r="K116" s="366"/>
      <c r="L116" s="366"/>
      <c r="M116" s="366"/>
      <c r="N116" s="366"/>
      <c r="O116" s="366"/>
      <c r="P116" s="366"/>
      <c r="Q116" s="366"/>
      <c r="R116" s="366"/>
      <c r="S116" s="366"/>
      <c r="V116" s="366"/>
    </row>
    <row r="117" spans="1:22">
      <c r="B117" s="64"/>
      <c r="C117" s="366"/>
      <c r="D117" s="366"/>
      <c r="E117" s="366"/>
      <c r="F117" s="64"/>
      <c r="G117" s="64"/>
      <c r="H117" s="64"/>
      <c r="I117" s="64"/>
      <c r="J117" s="366"/>
      <c r="K117" s="366"/>
      <c r="L117" s="366"/>
      <c r="M117" s="366"/>
      <c r="N117" s="366"/>
      <c r="O117" s="366"/>
      <c r="P117" s="366"/>
      <c r="Q117" s="366"/>
      <c r="R117" s="366"/>
      <c r="S117" s="366"/>
      <c r="V117" s="366"/>
    </row>
    <row r="118" spans="1:22">
      <c r="B118" s="64"/>
      <c r="C118" s="366"/>
      <c r="D118" s="366"/>
      <c r="E118" s="366"/>
      <c r="F118" s="64"/>
      <c r="G118" s="64"/>
      <c r="H118" s="64"/>
      <c r="I118" s="64"/>
      <c r="J118" s="366"/>
      <c r="K118" s="366"/>
      <c r="L118" s="366"/>
      <c r="M118" s="366"/>
      <c r="N118" s="366"/>
      <c r="O118" s="366"/>
      <c r="P118" s="366"/>
      <c r="Q118" s="366"/>
      <c r="R118" s="366"/>
      <c r="S118" s="366"/>
      <c r="V118" s="366"/>
    </row>
    <row r="119" spans="1:22">
      <c r="B119" s="64"/>
      <c r="C119" s="366"/>
      <c r="D119" s="366"/>
      <c r="E119" s="366"/>
      <c r="F119" s="64"/>
      <c r="G119" s="64"/>
      <c r="H119" s="64"/>
      <c r="I119" s="64"/>
      <c r="J119" s="366"/>
      <c r="K119" s="366"/>
      <c r="L119" s="366"/>
      <c r="M119" s="366"/>
      <c r="N119" s="366"/>
      <c r="O119" s="366"/>
      <c r="P119" s="366"/>
      <c r="Q119" s="366"/>
      <c r="R119" s="366"/>
      <c r="S119" s="366"/>
      <c r="V119" s="366"/>
    </row>
    <row r="120" spans="1:22">
      <c r="B120" s="64"/>
      <c r="C120" s="366"/>
      <c r="D120" s="366"/>
      <c r="E120" s="366"/>
      <c r="F120" s="64"/>
      <c r="G120" s="64"/>
      <c r="H120" s="64"/>
      <c r="I120" s="64"/>
      <c r="J120" s="366"/>
      <c r="K120" s="366"/>
      <c r="L120" s="366"/>
      <c r="M120" s="366"/>
      <c r="N120" s="366"/>
      <c r="O120" s="366"/>
      <c r="P120" s="366"/>
      <c r="Q120" s="366"/>
      <c r="R120" s="366"/>
      <c r="S120" s="366"/>
      <c r="V120" s="366"/>
    </row>
    <row r="121" spans="1:22">
      <c r="B121" s="64"/>
      <c r="C121" s="366"/>
      <c r="D121" s="366"/>
      <c r="E121" s="366"/>
      <c r="F121" s="64"/>
      <c r="G121" s="64"/>
      <c r="H121" s="64"/>
      <c r="I121" s="64"/>
      <c r="J121" s="366"/>
      <c r="K121" s="366"/>
      <c r="L121" s="366"/>
      <c r="M121" s="366"/>
      <c r="N121" s="366"/>
      <c r="O121" s="366"/>
      <c r="P121" s="366"/>
      <c r="Q121" s="366"/>
      <c r="R121" s="366"/>
      <c r="S121" s="366"/>
      <c r="V121" s="366"/>
    </row>
    <row r="122" spans="1:22">
      <c r="B122" s="64"/>
      <c r="C122" s="366"/>
      <c r="D122" s="366"/>
      <c r="E122" s="366"/>
      <c r="F122" s="64"/>
      <c r="G122" s="64"/>
      <c r="H122" s="64"/>
      <c r="I122" s="64"/>
      <c r="J122" s="366"/>
      <c r="K122" s="366"/>
      <c r="L122" s="366"/>
      <c r="M122" s="366"/>
      <c r="N122" s="366"/>
      <c r="O122" s="366"/>
      <c r="P122" s="366"/>
      <c r="Q122" s="366"/>
      <c r="R122" s="366"/>
      <c r="S122" s="366"/>
      <c r="V122" s="366"/>
    </row>
    <row r="123" spans="1:22">
      <c r="B123" s="64"/>
      <c r="C123" s="366"/>
      <c r="D123" s="366"/>
      <c r="E123" s="366"/>
      <c r="F123" s="64"/>
      <c r="G123" s="64"/>
      <c r="H123" s="64"/>
      <c r="I123" s="64"/>
      <c r="J123" s="366"/>
      <c r="K123" s="366"/>
      <c r="L123" s="366"/>
      <c r="M123" s="366"/>
      <c r="N123" s="366"/>
      <c r="O123" s="366"/>
      <c r="P123" s="366"/>
      <c r="Q123" s="366"/>
      <c r="R123" s="366"/>
      <c r="S123" s="366"/>
      <c r="V123" s="366"/>
    </row>
    <row r="124" spans="1:22">
      <c r="A124" s="366"/>
      <c r="B124" s="64"/>
      <c r="C124" s="366"/>
      <c r="D124" s="366"/>
      <c r="E124" s="366"/>
      <c r="F124" s="64"/>
      <c r="G124" s="64"/>
      <c r="H124" s="64"/>
      <c r="I124" s="64"/>
      <c r="J124" s="366"/>
      <c r="K124" s="366"/>
      <c r="L124" s="366"/>
      <c r="M124" s="366"/>
      <c r="N124" s="366"/>
      <c r="O124" s="366"/>
      <c r="P124" s="366"/>
      <c r="Q124" s="366"/>
      <c r="R124" s="366"/>
      <c r="S124" s="366"/>
      <c r="V124" s="366"/>
    </row>
    <row r="125" spans="1:22">
      <c r="A125" s="366"/>
      <c r="B125" s="64"/>
      <c r="C125" s="366"/>
      <c r="D125" s="366"/>
      <c r="E125" s="366"/>
      <c r="F125" s="64"/>
      <c r="G125" s="64"/>
      <c r="H125" s="64"/>
      <c r="I125" s="64"/>
      <c r="J125" s="366"/>
      <c r="K125" s="366"/>
      <c r="L125" s="366"/>
      <c r="M125" s="366"/>
      <c r="N125" s="366"/>
      <c r="O125" s="366"/>
      <c r="P125" s="366"/>
      <c r="Q125" s="366"/>
      <c r="R125" s="366"/>
      <c r="S125" s="366"/>
      <c r="V125" s="366"/>
    </row>
    <row r="126" spans="1:22">
      <c r="A126" s="366"/>
      <c r="B126" s="64"/>
      <c r="C126" s="366"/>
      <c r="D126" s="366"/>
      <c r="E126" s="366"/>
      <c r="F126" s="64"/>
      <c r="G126" s="64"/>
      <c r="H126" s="64"/>
      <c r="I126" s="64"/>
      <c r="J126" s="366"/>
      <c r="K126" s="366"/>
      <c r="L126" s="366"/>
      <c r="M126" s="366"/>
      <c r="N126" s="366"/>
      <c r="O126" s="366"/>
      <c r="P126" s="366"/>
      <c r="Q126" s="366"/>
      <c r="R126" s="366"/>
      <c r="S126" s="366"/>
      <c r="V126" s="366"/>
    </row>
    <row r="127" spans="1:22">
      <c r="A127" s="366"/>
      <c r="B127" s="64"/>
      <c r="C127" s="366"/>
      <c r="D127" s="366"/>
      <c r="E127" s="366"/>
      <c r="F127" s="64"/>
      <c r="G127" s="64"/>
      <c r="H127" s="64"/>
      <c r="I127" s="64"/>
      <c r="J127" s="366"/>
      <c r="K127" s="366"/>
      <c r="L127" s="366"/>
      <c r="M127" s="366"/>
      <c r="N127" s="366"/>
      <c r="O127" s="366"/>
      <c r="P127" s="366"/>
      <c r="Q127" s="366"/>
      <c r="R127" s="366"/>
      <c r="S127" s="366"/>
      <c r="V127" s="366"/>
    </row>
    <row r="128" spans="1:22">
      <c r="A128" s="366"/>
      <c r="B128" s="64"/>
      <c r="C128" s="366"/>
      <c r="D128" s="366"/>
      <c r="E128" s="366"/>
      <c r="F128" s="64"/>
      <c r="G128" s="64"/>
      <c r="H128" s="64"/>
      <c r="I128" s="64"/>
      <c r="J128" s="366"/>
      <c r="K128" s="366"/>
      <c r="L128" s="366"/>
      <c r="M128" s="366"/>
      <c r="N128" s="366"/>
      <c r="O128" s="366"/>
      <c r="P128" s="366"/>
      <c r="Q128" s="366"/>
      <c r="R128" s="366"/>
      <c r="S128" s="366"/>
      <c r="V128" s="366"/>
    </row>
    <row r="129" spans="1:22">
      <c r="A129" s="366"/>
      <c r="B129" s="64"/>
      <c r="C129" s="366"/>
      <c r="D129" s="366"/>
      <c r="E129" s="366"/>
      <c r="F129" s="64"/>
      <c r="G129" s="64"/>
      <c r="H129" s="64"/>
      <c r="I129" s="64"/>
      <c r="J129" s="366"/>
      <c r="K129" s="366"/>
      <c r="L129" s="366"/>
      <c r="M129" s="366"/>
      <c r="N129" s="366"/>
      <c r="O129" s="366"/>
      <c r="P129" s="366"/>
      <c r="Q129" s="366"/>
      <c r="R129" s="366"/>
      <c r="S129" s="366"/>
      <c r="V129" s="366"/>
    </row>
    <row r="130" spans="1:22">
      <c r="A130" s="366"/>
      <c r="B130" s="64"/>
      <c r="C130" s="366"/>
      <c r="D130" s="366"/>
      <c r="E130" s="366"/>
      <c r="F130" s="64"/>
      <c r="G130" s="64"/>
      <c r="H130" s="64"/>
      <c r="I130" s="64"/>
      <c r="J130" s="366"/>
      <c r="K130" s="366"/>
      <c r="L130" s="366"/>
      <c r="M130" s="366"/>
      <c r="N130" s="366"/>
      <c r="O130" s="366"/>
      <c r="P130" s="366"/>
      <c r="Q130" s="366"/>
      <c r="R130" s="366"/>
      <c r="S130" s="366"/>
      <c r="V130" s="366"/>
    </row>
    <row r="131" spans="1:22">
      <c r="A131" s="366"/>
      <c r="B131" s="64"/>
      <c r="C131" s="366"/>
      <c r="D131" s="366"/>
      <c r="E131" s="366"/>
      <c r="F131" s="64"/>
      <c r="G131" s="64"/>
      <c r="H131" s="64"/>
      <c r="I131" s="64"/>
      <c r="J131" s="366"/>
      <c r="K131" s="366"/>
      <c r="L131" s="366"/>
      <c r="M131" s="366"/>
      <c r="N131" s="366"/>
      <c r="O131" s="366"/>
      <c r="P131" s="366"/>
      <c r="Q131" s="366"/>
      <c r="R131" s="366"/>
      <c r="S131" s="366"/>
      <c r="V131" s="366"/>
    </row>
    <row r="132" spans="1:22">
      <c r="A132" s="366"/>
      <c r="B132" s="64"/>
      <c r="C132" s="366"/>
      <c r="D132" s="366"/>
      <c r="E132" s="366"/>
      <c r="F132" s="64"/>
      <c r="G132" s="64"/>
      <c r="H132" s="64"/>
      <c r="I132" s="64"/>
      <c r="J132" s="366"/>
      <c r="K132" s="366"/>
      <c r="L132" s="366"/>
      <c r="M132" s="366"/>
      <c r="N132" s="366"/>
      <c r="O132" s="366"/>
      <c r="P132" s="366"/>
      <c r="Q132" s="366"/>
      <c r="R132" s="366"/>
      <c r="S132" s="366"/>
      <c r="V132" s="366"/>
    </row>
    <row r="133" spans="1:22">
      <c r="A133" s="366"/>
      <c r="B133" s="64"/>
      <c r="C133" s="366"/>
      <c r="D133" s="366"/>
      <c r="E133" s="366"/>
      <c r="F133" s="64"/>
      <c r="G133" s="64"/>
      <c r="H133" s="64"/>
      <c r="I133" s="64"/>
      <c r="J133" s="366"/>
      <c r="K133" s="366"/>
      <c r="L133" s="366"/>
      <c r="M133" s="366"/>
      <c r="N133" s="366"/>
      <c r="O133" s="366"/>
      <c r="P133" s="366"/>
      <c r="Q133" s="366"/>
      <c r="R133" s="366"/>
      <c r="S133" s="366"/>
      <c r="V133" s="366"/>
    </row>
    <row r="134" spans="1:22">
      <c r="A134" s="366"/>
      <c r="B134" s="64"/>
      <c r="C134" s="366"/>
      <c r="D134" s="366"/>
      <c r="E134" s="366"/>
      <c r="F134" s="64"/>
      <c r="G134" s="64"/>
      <c r="H134" s="64"/>
      <c r="I134" s="64"/>
      <c r="J134" s="366"/>
      <c r="K134" s="366"/>
      <c r="L134" s="366"/>
      <c r="M134" s="366"/>
      <c r="N134" s="366"/>
      <c r="O134" s="366"/>
      <c r="P134" s="366"/>
      <c r="Q134" s="366"/>
      <c r="R134" s="366"/>
      <c r="S134" s="366"/>
      <c r="V134" s="366"/>
    </row>
    <row r="135" spans="1:22">
      <c r="A135" s="366"/>
      <c r="B135" s="64"/>
      <c r="C135" s="366"/>
      <c r="D135" s="366"/>
      <c r="E135" s="366"/>
      <c r="F135" s="64"/>
      <c r="G135" s="64"/>
      <c r="H135" s="64"/>
      <c r="I135" s="64"/>
      <c r="J135" s="366"/>
      <c r="K135" s="366"/>
      <c r="L135" s="366"/>
      <c r="M135" s="366"/>
      <c r="N135" s="366"/>
      <c r="O135" s="366"/>
      <c r="P135" s="366"/>
      <c r="Q135" s="366"/>
      <c r="R135" s="366"/>
      <c r="S135" s="366"/>
      <c r="V135" s="366"/>
    </row>
    <row r="136" spans="1:22">
      <c r="A136" s="366"/>
      <c r="B136" s="64"/>
      <c r="C136" s="366"/>
      <c r="D136" s="366"/>
      <c r="E136" s="366"/>
      <c r="F136" s="64"/>
      <c r="G136" s="64"/>
      <c r="H136" s="64"/>
      <c r="I136" s="64"/>
      <c r="J136" s="366"/>
      <c r="K136" s="366"/>
      <c r="L136" s="366"/>
      <c r="M136" s="366"/>
      <c r="N136" s="366"/>
      <c r="O136" s="366"/>
      <c r="P136" s="366"/>
      <c r="Q136" s="366"/>
      <c r="R136" s="366"/>
      <c r="S136" s="366"/>
      <c r="V136" s="366"/>
    </row>
    <row r="137" spans="1:22">
      <c r="A137" s="366"/>
      <c r="B137" s="64"/>
      <c r="C137" s="366"/>
      <c r="D137" s="366"/>
      <c r="E137" s="366"/>
      <c r="F137" s="64"/>
      <c r="G137" s="64"/>
      <c r="H137" s="64"/>
      <c r="I137" s="64"/>
      <c r="J137" s="366"/>
      <c r="K137" s="366"/>
      <c r="L137" s="366"/>
      <c r="M137" s="366"/>
      <c r="N137" s="366"/>
      <c r="O137" s="366"/>
      <c r="P137" s="366"/>
      <c r="Q137" s="366"/>
      <c r="R137" s="366"/>
      <c r="S137" s="366"/>
      <c r="V137" s="366"/>
    </row>
    <row r="138" spans="1:22">
      <c r="A138" s="366"/>
      <c r="B138" s="64"/>
      <c r="C138" s="366"/>
      <c r="D138" s="366"/>
      <c r="E138" s="366"/>
      <c r="F138" s="64"/>
      <c r="G138" s="64"/>
      <c r="H138" s="64"/>
      <c r="I138" s="64"/>
      <c r="J138" s="366"/>
      <c r="K138" s="366"/>
      <c r="L138" s="366"/>
      <c r="M138" s="366"/>
      <c r="N138" s="366"/>
      <c r="O138" s="366"/>
      <c r="P138" s="366"/>
      <c r="Q138" s="366"/>
      <c r="R138" s="366"/>
      <c r="S138" s="366"/>
      <c r="V138" s="366"/>
    </row>
    <row r="139" spans="1:22">
      <c r="A139" s="366"/>
      <c r="B139" s="64"/>
      <c r="C139" s="366"/>
      <c r="D139" s="366"/>
      <c r="E139" s="366"/>
      <c r="F139" s="64"/>
      <c r="G139" s="64"/>
      <c r="H139" s="64"/>
      <c r="I139" s="64"/>
      <c r="J139" s="366"/>
      <c r="K139" s="366"/>
      <c r="L139" s="366"/>
      <c r="M139" s="366"/>
      <c r="N139" s="366"/>
      <c r="O139" s="366"/>
      <c r="P139" s="366"/>
      <c r="Q139" s="366"/>
      <c r="R139" s="366"/>
      <c r="S139" s="366"/>
      <c r="V139" s="366"/>
    </row>
    <row r="140" spans="1:22">
      <c r="A140" s="366"/>
      <c r="B140" s="64"/>
      <c r="C140" s="366"/>
      <c r="D140" s="366"/>
      <c r="E140" s="366"/>
      <c r="F140" s="64"/>
      <c r="G140" s="64"/>
      <c r="H140" s="64"/>
      <c r="I140" s="64"/>
      <c r="J140" s="366"/>
      <c r="K140" s="366"/>
      <c r="L140" s="366"/>
      <c r="M140" s="366"/>
      <c r="N140" s="366"/>
      <c r="O140" s="366"/>
      <c r="P140" s="366"/>
      <c r="Q140" s="366"/>
      <c r="R140" s="366"/>
      <c r="S140" s="366"/>
      <c r="V140" s="366"/>
    </row>
    <row r="141" spans="1:22">
      <c r="A141" s="366"/>
      <c r="B141" s="64"/>
      <c r="C141" s="366"/>
      <c r="D141" s="366"/>
      <c r="E141" s="366"/>
      <c r="F141" s="64"/>
      <c r="G141" s="64"/>
      <c r="H141" s="64"/>
      <c r="I141" s="64"/>
      <c r="J141" s="366"/>
      <c r="K141" s="366"/>
      <c r="L141" s="366"/>
      <c r="M141" s="366"/>
      <c r="N141" s="366"/>
      <c r="O141" s="366"/>
      <c r="P141" s="366"/>
      <c r="Q141" s="366"/>
      <c r="R141" s="366"/>
      <c r="S141" s="366"/>
      <c r="V141" s="366"/>
    </row>
    <row r="142" spans="1:22">
      <c r="A142" s="366"/>
      <c r="B142" s="64"/>
      <c r="C142" s="366"/>
      <c r="D142" s="366"/>
      <c r="E142" s="366"/>
      <c r="F142" s="64"/>
      <c r="G142" s="64"/>
      <c r="H142" s="64"/>
      <c r="I142" s="64"/>
      <c r="J142" s="366"/>
      <c r="K142" s="366"/>
      <c r="L142" s="366"/>
      <c r="M142" s="366"/>
      <c r="N142" s="366"/>
      <c r="O142" s="366"/>
      <c r="P142" s="366"/>
      <c r="Q142" s="366"/>
      <c r="R142" s="366"/>
      <c r="S142" s="366"/>
      <c r="V142" s="366"/>
    </row>
    <row r="143" spans="1:22">
      <c r="A143" s="366"/>
      <c r="B143" s="64"/>
      <c r="C143" s="366"/>
      <c r="D143" s="366"/>
      <c r="E143" s="366"/>
      <c r="F143" s="64"/>
      <c r="G143" s="64"/>
      <c r="H143" s="64"/>
      <c r="I143" s="64"/>
      <c r="J143" s="366"/>
      <c r="K143" s="366"/>
      <c r="L143" s="366"/>
      <c r="M143" s="366"/>
      <c r="N143" s="366"/>
      <c r="O143" s="366"/>
      <c r="P143" s="366"/>
      <c r="Q143" s="366"/>
      <c r="R143" s="366"/>
      <c r="S143" s="366"/>
      <c r="V143" s="366"/>
    </row>
    <row r="144" spans="1:22">
      <c r="A144" s="366"/>
      <c r="B144" s="64"/>
      <c r="C144" s="366"/>
      <c r="D144" s="366"/>
      <c r="E144" s="366"/>
      <c r="F144" s="64"/>
      <c r="G144" s="64"/>
      <c r="H144" s="64"/>
      <c r="I144" s="64"/>
      <c r="J144" s="366"/>
      <c r="K144" s="366"/>
      <c r="L144" s="366"/>
      <c r="M144" s="366"/>
      <c r="N144" s="366"/>
      <c r="O144" s="366"/>
      <c r="P144" s="366"/>
      <c r="Q144" s="366"/>
      <c r="R144" s="366"/>
      <c r="S144" s="366"/>
      <c r="V144" s="366"/>
    </row>
    <row r="145" spans="1:22">
      <c r="A145" s="366"/>
      <c r="B145" s="64"/>
      <c r="C145" s="366"/>
      <c r="D145" s="366"/>
      <c r="E145" s="366"/>
      <c r="F145" s="64"/>
      <c r="G145" s="64"/>
      <c r="H145" s="64"/>
      <c r="I145" s="64"/>
      <c r="J145" s="366"/>
      <c r="K145" s="366"/>
      <c r="L145" s="366"/>
      <c r="M145" s="366"/>
      <c r="N145" s="366"/>
      <c r="O145" s="366"/>
      <c r="P145" s="366"/>
      <c r="Q145" s="366"/>
      <c r="R145" s="366"/>
      <c r="S145" s="366"/>
      <c r="V145" s="366"/>
    </row>
    <row r="146" spans="1:22">
      <c r="A146" s="366"/>
      <c r="B146" s="64"/>
      <c r="C146" s="366"/>
      <c r="D146" s="366"/>
      <c r="E146" s="366"/>
      <c r="F146" s="64"/>
      <c r="G146" s="64"/>
      <c r="H146" s="64"/>
      <c r="I146" s="64"/>
      <c r="J146" s="366"/>
      <c r="K146" s="366"/>
      <c r="L146" s="366"/>
      <c r="M146" s="366"/>
      <c r="N146" s="366"/>
      <c r="O146" s="366"/>
      <c r="P146" s="366"/>
      <c r="Q146" s="366"/>
      <c r="R146" s="366"/>
      <c r="S146" s="366"/>
      <c r="V146" s="366"/>
    </row>
    <row r="147" spans="1:22">
      <c r="A147" s="366"/>
      <c r="B147" s="64"/>
      <c r="C147" s="366"/>
      <c r="D147" s="366"/>
      <c r="E147" s="366"/>
      <c r="F147" s="64"/>
      <c r="G147" s="64"/>
      <c r="H147" s="64"/>
      <c r="I147" s="64"/>
      <c r="J147" s="366"/>
      <c r="K147" s="366"/>
      <c r="L147" s="366"/>
      <c r="M147" s="366"/>
      <c r="N147" s="366"/>
      <c r="O147" s="366"/>
      <c r="P147" s="366"/>
      <c r="Q147" s="366"/>
      <c r="R147" s="366"/>
      <c r="S147" s="366"/>
      <c r="V147" s="366"/>
    </row>
    <row r="148" spans="1:22">
      <c r="A148" s="366"/>
      <c r="B148" s="64"/>
      <c r="C148" s="366"/>
      <c r="D148" s="366"/>
      <c r="E148" s="366"/>
      <c r="F148" s="64"/>
      <c r="G148" s="64"/>
      <c r="H148" s="64"/>
      <c r="I148" s="64"/>
      <c r="J148" s="366"/>
      <c r="K148" s="366"/>
      <c r="L148" s="366"/>
      <c r="M148" s="366"/>
      <c r="N148" s="366"/>
      <c r="O148" s="366"/>
      <c r="P148" s="366"/>
      <c r="Q148" s="366"/>
      <c r="R148" s="366"/>
      <c r="S148" s="366"/>
      <c r="V148" s="366"/>
    </row>
    <row r="149" spans="1:22">
      <c r="A149" s="366"/>
      <c r="B149" s="64"/>
      <c r="C149" s="366"/>
      <c r="D149" s="366"/>
      <c r="E149" s="366"/>
      <c r="F149" s="64"/>
      <c r="G149" s="64"/>
      <c r="H149" s="64"/>
      <c r="I149" s="64"/>
      <c r="J149" s="366"/>
      <c r="K149" s="366"/>
      <c r="L149" s="366"/>
      <c r="M149" s="366"/>
      <c r="N149" s="366"/>
      <c r="O149" s="366"/>
      <c r="P149" s="366"/>
      <c r="Q149" s="366"/>
      <c r="R149" s="366"/>
      <c r="S149" s="366"/>
      <c r="V149" s="366"/>
    </row>
    <row r="150" spans="1:22">
      <c r="A150" s="366"/>
      <c r="B150" s="64"/>
      <c r="C150" s="366"/>
      <c r="D150" s="366"/>
      <c r="E150" s="366"/>
      <c r="F150" s="64"/>
      <c r="G150" s="64"/>
      <c r="H150" s="64"/>
      <c r="I150" s="64"/>
      <c r="J150" s="366"/>
      <c r="K150" s="366"/>
      <c r="L150" s="366"/>
      <c r="M150" s="366"/>
      <c r="N150" s="366"/>
      <c r="O150" s="366"/>
      <c r="P150" s="366"/>
      <c r="Q150" s="366"/>
      <c r="R150" s="366"/>
      <c r="S150" s="366"/>
      <c r="V150" s="366"/>
    </row>
    <row r="151" spans="1:22">
      <c r="A151" s="366"/>
      <c r="B151" s="64"/>
      <c r="C151" s="366"/>
      <c r="D151" s="366"/>
      <c r="E151" s="366"/>
      <c r="F151" s="64"/>
      <c r="G151" s="64"/>
      <c r="H151" s="64"/>
      <c r="I151" s="64"/>
      <c r="J151" s="366"/>
      <c r="K151" s="366"/>
      <c r="L151" s="366"/>
      <c r="M151" s="366"/>
      <c r="N151" s="366"/>
      <c r="O151" s="366"/>
      <c r="P151" s="366"/>
      <c r="Q151" s="366"/>
      <c r="R151" s="366"/>
      <c r="S151" s="366"/>
      <c r="V151" s="366"/>
    </row>
    <row r="152" spans="1:22">
      <c r="A152" s="366"/>
      <c r="B152" s="64"/>
      <c r="C152" s="366"/>
      <c r="D152" s="366"/>
      <c r="E152" s="366"/>
      <c r="F152" s="64"/>
      <c r="G152" s="64"/>
      <c r="H152" s="64"/>
      <c r="I152" s="64"/>
      <c r="J152" s="366"/>
      <c r="K152" s="366"/>
      <c r="L152" s="366"/>
      <c r="M152" s="366"/>
      <c r="N152" s="366"/>
      <c r="O152" s="366"/>
      <c r="P152" s="366"/>
      <c r="Q152" s="366"/>
      <c r="R152" s="366"/>
      <c r="S152" s="366"/>
      <c r="V152" s="366"/>
    </row>
    <row r="153" spans="1:22">
      <c r="A153" s="366"/>
      <c r="B153" s="64"/>
      <c r="C153" s="366"/>
      <c r="D153" s="366"/>
      <c r="E153" s="366"/>
      <c r="F153" s="64"/>
      <c r="G153" s="64"/>
      <c r="H153" s="64"/>
      <c r="I153" s="64"/>
      <c r="J153" s="366"/>
      <c r="K153" s="366"/>
      <c r="L153" s="366"/>
      <c r="M153" s="366"/>
      <c r="N153" s="366"/>
      <c r="O153" s="366"/>
      <c r="P153" s="366"/>
      <c r="Q153" s="366"/>
      <c r="R153" s="366"/>
      <c r="S153" s="366"/>
      <c r="V153" s="366"/>
    </row>
    <row r="154" spans="1:22">
      <c r="A154" s="366"/>
      <c r="B154" s="64"/>
      <c r="C154" s="366"/>
      <c r="D154" s="366"/>
      <c r="E154" s="366"/>
      <c r="F154" s="64"/>
      <c r="G154" s="64"/>
      <c r="H154" s="64"/>
      <c r="I154" s="64"/>
      <c r="J154" s="366"/>
      <c r="K154" s="366"/>
      <c r="L154" s="366"/>
      <c r="M154" s="366"/>
      <c r="N154" s="366"/>
      <c r="O154" s="366"/>
      <c r="P154" s="366"/>
      <c r="Q154" s="366"/>
      <c r="R154" s="366"/>
      <c r="S154" s="366"/>
      <c r="V154" s="366"/>
    </row>
    <row r="155" spans="1:22">
      <c r="A155" s="366"/>
      <c r="B155" s="64"/>
      <c r="C155" s="366"/>
      <c r="D155" s="366"/>
      <c r="E155" s="366"/>
      <c r="F155" s="64"/>
      <c r="G155" s="64"/>
      <c r="H155" s="64"/>
      <c r="I155" s="64"/>
      <c r="J155" s="366"/>
      <c r="K155" s="366"/>
      <c r="L155" s="366"/>
      <c r="M155" s="366"/>
      <c r="N155" s="366"/>
      <c r="O155" s="366"/>
      <c r="P155" s="366"/>
      <c r="Q155" s="366"/>
      <c r="R155" s="366"/>
      <c r="S155" s="366"/>
      <c r="V155" s="366"/>
    </row>
    <row r="156" spans="1:22">
      <c r="A156" s="366"/>
      <c r="B156" s="64"/>
      <c r="C156" s="366"/>
      <c r="D156" s="366"/>
      <c r="E156" s="366"/>
      <c r="F156" s="64"/>
      <c r="G156" s="64"/>
      <c r="H156" s="64"/>
      <c r="I156" s="64"/>
      <c r="J156" s="366"/>
      <c r="K156" s="366"/>
      <c r="L156" s="366"/>
      <c r="M156" s="366"/>
      <c r="N156" s="366"/>
      <c r="O156" s="366"/>
      <c r="P156" s="366"/>
      <c r="Q156" s="366"/>
      <c r="R156" s="366"/>
      <c r="S156" s="366"/>
      <c r="V156" s="366"/>
    </row>
    <row r="157" spans="1:22">
      <c r="A157" s="366"/>
      <c r="B157" s="64"/>
      <c r="C157" s="366"/>
      <c r="D157" s="366"/>
      <c r="E157" s="366"/>
      <c r="F157" s="64"/>
      <c r="G157" s="64"/>
      <c r="H157" s="64"/>
      <c r="I157" s="64"/>
      <c r="J157" s="366"/>
      <c r="K157" s="366"/>
      <c r="L157" s="366"/>
      <c r="M157" s="366"/>
      <c r="N157" s="366"/>
      <c r="O157" s="366"/>
      <c r="P157" s="366"/>
      <c r="Q157" s="366"/>
      <c r="R157" s="366"/>
      <c r="S157" s="366"/>
      <c r="V157" s="366"/>
    </row>
    <row r="158" spans="1:22">
      <c r="A158" s="366"/>
      <c r="B158" s="64"/>
      <c r="C158" s="366"/>
      <c r="D158" s="366"/>
      <c r="E158" s="366"/>
      <c r="F158" s="64"/>
      <c r="G158" s="64"/>
      <c r="H158" s="64"/>
      <c r="I158" s="64"/>
      <c r="J158" s="366"/>
      <c r="K158" s="366"/>
      <c r="L158" s="366"/>
      <c r="M158" s="366"/>
      <c r="N158" s="366"/>
      <c r="O158" s="366"/>
      <c r="P158" s="366"/>
      <c r="Q158" s="366"/>
      <c r="R158" s="366"/>
      <c r="S158" s="366"/>
      <c r="V158" s="366"/>
    </row>
    <row r="159" spans="1:22">
      <c r="A159" s="366"/>
      <c r="B159" s="64"/>
      <c r="C159" s="366"/>
      <c r="D159" s="366"/>
      <c r="E159" s="366"/>
      <c r="F159" s="64"/>
      <c r="G159" s="64"/>
      <c r="H159" s="64"/>
      <c r="I159" s="64"/>
      <c r="J159" s="366"/>
      <c r="K159" s="366"/>
      <c r="L159" s="366"/>
      <c r="M159" s="366"/>
      <c r="N159" s="366"/>
      <c r="O159" s="366"/>
      <c r="P159" s="366"/>
      <c r="Q159" s="366"/>
      <c r="R159" s="366"/>
      <c r="S159" s="366"/>
      <c r="V159" s="366"/>
    </row>
    <row r="160" spans="1:22">
      <c r="A160" s="366"/>
      <c r="B160" s="64"/>
      <c r="C160" s="366"/>
      <c r="D160" s="366"/>
      <c r="E160" s="366"/>
      <c r="F160" s="64"/>
      <c r="G160" s="64"/>
      <c r="H160" s="64"/>
      <c r="I160" s="64"/>
      <c r="J160" s="366"/>
      <c r="K160" s="366"/>
      <c r="L160" s="366"/>
      <c r="M160" s="366"/>
      <c r="N160" s="366"/>
      <c r="O160" s="366"/>
      <c r="P160" s="366"/>
      <c r="Q160" s="366"/>
      <c r="R160" s="366"/>
      <c r="S160" s="366"/>
      <c r="V160" s="366"/>
    </row>
    <row r="161" spans="1:22">
      <c r="A161" s="366"/>
      <c r="B161" s="64"/>
      <c r="C161" s="366"/>
      <c r="D161" s="366"/>
      <c r="E161" s="366"/>
      <c r="F161" s="64"/>
      <c r="G161" s="64"/>
      <c r="H161" s="64"/>
      <c r="I161" s="64"/>
      <c r="J161" s="366"/>
      <c r="K161" s="366"/>
      <c r="L161" s="366"/>
      <c r="M161" s="366"/>
      <c r="N161" s="366"/>
      <c r="O161" s="366"/>
      <c r="P161" s="366"/>
      <c r="Q161" s="366"/>
      <c r="R161" s="366"/>
      <c r="S161" s="366"/>
      <c r="V161" s="366"/>
    </row>
    <row r="162" spans="1:22">
      <c r="A162" s="366"/>
      <c r="B162" s="64"/>
      <c r="C162" s="366"/>
      <c r="D162" s="366"/>
      <c r="E162" s="366"/>
      <c r="F162" s="64"/>
      <c r="G162" s="64"/>
      <c r="H162" s="64"/>
      <c r="I162" s="64"/>
      <c r="J162" s="366"/>
      <c r="K162" s="366"/>
      <c r="L162" s="366"/>
      <c r="M162" s="366"/>
      <c r="N162" s="366"/>
      <c r="O162" s="366"/>
      <c r="P162" s="366"/>
      <c r="Q162" s="366"/>
      <c r="R162" s="366"/>
      <c r="S162" s="366"/>
      <c r="V162" s="366"/>
    </row>
    <row r="163" spans="1:22">
      <c r="A163" s="366"/>
      <c r="B163" s="64"/>
      <c r="C163" s="366"/>
      <c r="D163" s="366"/>
      <c r="E163" s="366"/>
      <c r="F163" s="64"/>
      <c r="G163" s="64"/>
      <c r="H163" s="64"/>
      <c r="I163" s="64"/>
      <c r="J163" s="366"/>
      <c r="K163" s="366"/>
      <c r="L163" s="366"/>
      <c r="M163" s="366"/>
      <c r="N163" s="366"/>
      <c r="O163" s="366"/>
      <c r="P163" s="366"/>
      <c r="Q163" s="366"/>
      <c r="R163" s="366"/>
      <c r="S163" s="366"/>
      <c r="V163" s="366"/>
    </row>
    <row r="164" spans="1:22">
      <c r="A164" s="366"/>
      <c r="B164" s="64"/>
      <c r="C164" s="366"/>
      <c r="D164" s="366"/>
      <c r="E164" s="366"/>
      <c r="F164" s="64"/>
      <c r="G164" s="64"/>
      <c r="H164" s="64"/>
      <c r="I164" s="64"/>
      <c r="J164" s="366"/>
      <c r="K164" s="366"/>
      <c r="L164" s="366"/>
      <c r="M164" s="366"/>
      <c r="N164" s="366"/>
      <c r="O164" s="366"/>
      <c r="P164" s="366"/>
      <c r="Q164" s="366"/>
      <c r="R164" s="366"/>
      <c r="S164" s="366"/>
      <c r="V164" s="366"/>
    </row>
    <row r="165" spans="1:22">
      <c r="A165" s="366"/>
      <c r="B165" s="64"/>
      <c r="C165" s="366"/>
      <c r="D165" s="366"/>
      <c r="E165" s="366"/>
      <c r="F165" s="64"/>
      <c r="G165" s="64"/>
      <c r="H165" s="64"/>
      <c r="I165" s="64"/>
      <c r="J165" s="366"/>
      <c r="K165" s="366"/>
      <c r="L165" s="366"/>
      <c r="M165" s="366"/>
      <c r="N165" s="366"/>
      <c r="O165" s="366"/>
      <c r="P165" s="366"/>
      <c r="Q165" s="366"/>
      <c r="R165" s="366"/>
      <c r="S165" s="366"/>
      <c r="V165" s="366"/>
    </row>
    <row r="166" spans="1:22">
      <c r="A166" s="366"/>
      <c r="B166" s="64"/>
      <c r="C166" s="366"/>
      <c r="D166" s="366"/>
      <c r="E166" s="366"/>
      <c r="F166" s="64"/>
      <c r="G166" s="64"/>
      <c r="H166" s="64"/>
      <c r="I166" s="64"/>
      <c r="J166" s="366"/>
      <c r="K166" s="366"/>
      <c r="L166" s="366"/>
      <c r="M166" s="366"/>
      <c r="N166" s="366"/>
      <c r="O166" s="366"/>
      <c r="P166" s="366"/>
      <c r="Q166" s="366"/>
      <c r="R166" s="366"/>
      <c r="S166" s="366"/>
      <c r="V166" s="366"/>
    </row>
    <row r="167" spans="1:22">
      <c r="A167" s="366"/>
      <c r="B167" s="64"/>
      <c r="C167" s="366"/>
      <c r="D167" s="366"/>
      <c r="E167" s="366"/>
      <c r="F167" s="64"/>
      <c r="G167" s="64"/>
      <c r="H167" s="64"/>
      <c r="I167" s="64"/>
      <c r="J167" s="366"/>
      <c r="K167" s="366"/>
      <c r="L167" s="366"/>
      <c r="M167" s="366"/>
      <c r="N167" s="366"/>
      <c r="O167" s="366"/>
      <c r="P167" s="366"/>
      <c r="Q167" s="366"/>
      <c r="R167" s="366"/>
      <c r="S167" s="366"/>
      <c r="V167" s="366"/>
    </row>
    <row r="168" spans="1:22">
      <c r="A168" s="366"/>
      <c r="B168" s="64"/>
      <c r="C168" s="366"/>
      <c r="D168" s="366"/>
      <c r="E168" s="366"/>
      <c r="F168" s="64"/>
      <c r="G168" s="64"/>
      <c r="H168" s="64"/>
      <c r="I168" s="64"/>
      <c r="J168" s="366"/>
      <c r="K168" s="366"/>
      <c r="L168" s="366"/>
      <c r="M168" s="366"/>
      <c r="N168" s="366"/>
      <c r="O168" s="366"/>
      <c r="P168" s="366"/>
      <c r="Q168" s="366"/>
      <c r="R168" s="366"/>
      <c r="S168" s="366"/>
      <c r="V168" s="366"/>
    </row>
    <row r="169" spans="1:22">
      <c r="A169" s="366"/>
      <c r="B169" s="64"/>
      <c r="C169" s="366"/>
      <c r="D169" s="366"/>
      <c r="E169" s="366"/>
      <c r="F169" s="64"/>
      <c r="G169" s="64"/>
      <c r="H169" s="64"/>
      <c r="I169" s="64"/>
      <c r="J169" s="366"/>
      <c r="K169" s="366"/>
      <c r="L169" s="366"/>
      <c r="M169" s="366"/>
      <c r="N169" s="366"/>
      <c r="O169" s="366"/>
      <c r="P169" s="366"/>
      <c r="Q169" s="366"/>
      <c r="R169" s="366"/>
      <c r="S169" s="366"/>
      <c r="V169" s="366"/>
    </row>
    <row r="170" spans="1:22">
      <c r="A170" s="366"/>
      <c r="B170" s="64"/>
      <c r="C170" s="366"/>
      <c r="D170" s="366"/>
      <c r="E170" s="366"/>
      <c r="F170" s="64"/>
      <c r="G170" s="64"/>
      <c r="H170" s="64"/>
      <c r="I170" s="64"/>
      <c r="J170" s="366"/>
      <c r="K170" s="366"/>
      <c r="L170" s="366"/>
      <c r="M170" s="366"/>
      <c r="N170" s="366"/>
      <c r="O170" s="366"/>
      <c r="P170" s="366"/>
      <c r="Q170" s="366"/>
      <c r="R170" s="366"/>
      <c r="S170" s="366"/>
      <c r="V170" s="366"/>
    </row>
    <row r="171" spans="1:22">
      <c r="A171" s="366"/>
      <c r="B171" s="64"/>
      <c r="C171" s="366"/>
      <c r="D171" s="366"/>
      <c r="E171" s="366"/>
      <c r="F171" s="64"/>
      <c r="G171" s="64"/>
      <c r="H171" s="64"/>
      <c r="I171" s="64"/>
      <c r="J171" s="366"/>
      <c r="K171" s="366"/>
      <c r="L171" s="366"/>
      <c r="M171" s="366"/>
      <c r="N171" s="366"/>
      <c r="O171" s="366"/>
      <c r="P171" s="366"/>
      <c r="Q171" s="366"/>
      <c r="R171" s="366"/>
      <c r="S171" s="366"/>
      <c r="V171" s="366"/>
    </row>
    <row r="172" spans="1:22">
      <c r="A172" s="366"/>
      <c r="B172" s="64"/>
      <c r="C172" s="366"/>
      <c r="D172" s="366"/>
      <c r="E172" s="366"/>
      <c r="F172" s="64"/>
      <c r="G172" s="64"/>
      <c r="H172" s="64"/>
      <c r="I172" s="64"/>
      <c r="J172" s="366"/>
      <c r="K172" s="366"/>
      <c r="L172" s="366"/>
      <c r="M172" s="366"/>
      <c r="N172" s="366"/>
      <c r="O172" s="366"/>
      <c r="P172" s="366"/>
      <c r="Q172" s="366"/>
      <c r="R172" s="366"/>
      <c r="S172" s="366"/>
      <c r="V172" s="366"/>
    </row>
    <row r="173" spans="1:22">
      <c r="A173" s="366"/>
      <c r="B173" s="64"/>
      <c r="C173" s="366"/>
      <c r="D173" s="366"/>
      <c r="E173" s="366"/>
      <c r="F173" s="64"/>
      <c r="G173" s="64"/>
      <c r="H173" s="64"/>
      <c r="I173" s="64"/>
      <c r="J173" s="366"/>
      <c r="K173" s="366"/>
      <c r="L173" s="366"/>
      <c r="M173" s="366"/>
      <c r="N173" s="366"/>
      <c r="O173" s="366"/>
      <c r="P173" s="366"/>
      <c r="Q173" s="366"/>
      <c r="R173" s="366"/>
      <c r="S173" s="366"/>
      <c r="V173" s="366"/>
    </row>
    <row r="174" spans="1:22">
      <c r="A174" s="366"/>
      <c r="B174" s="64"/>
      <c r="C174" s="366"/>
      <c r="D174" s="366"/>
      <c r="E174" s="366"/>
      <c r="F174" s="64"/>
      <c r="G174" s="64"/>
      <c r="H174" s="64"/>
      <c r="I174" s="64"/>
      <c r="J174" s="366"/>
      <c r="K174" s="366"/>
      <c r="L174" s="366"/>
      <c r="M174" s="366"/>
      <c r="N174" s="366"/>
      <c r="O174" s="366"/>
      <c r="P174" s="366"/>
      <c r="Q174" s="366"/>
      <c r="R174" s="366"/>
      <c r="S174" s="366"/>
      <c r="V174" s="366"/>
    </row>
    <row r="175" spans="1:22">
      <c r="A175" s="366"/>
      <c r="B175" s="64"/>
      <c r="C175" s="366"/>
      <c r="D175" s="366"/>
      <c r="E175" s="366"/>
      <c r="F175" s="64"/>
      <c r="G175" s="64"/>
      <c r="H175" s="64"/>
      <c r="I175" s="64"/>
      <c r="J175" s="366"/>
      <c r="K175" s="366"/>
      <c r="L175" s="366"/>
      <c r="M175" s="366"/>
      <c r="N175" s="366"/>
      <c r="O175" s="366"/>
      <c r="P175" s="366"/>
      <c r="Q175" s="366"/>
      <c r="R175" s="366"/>
      <c r="S175" s="366"/>
      <c r="V175" s="366"/>
    </row>
    <row r="176" spans="1:22">
      <c r="A176" s="366"/>
      <c r="B176" s="64"/>
      <c r="C176" s="366"/>
      <c r="D176" s="366"/>
      <c r="E176" s="366"/>
      <c r="F176" s="64"/>
      <c r="G176" s="64"/>
      <c r="H176" s="64"/>
      <c r="I176" s="64"/>
      <c r="J176" s="366"/>
      <c r="K176" s="366"/>
      <c r="L176" s="366"/>
      <c r="M176" s="366"/>
      <c r="N176" s="366"/>
      <c r="O176" s="366"/>
      <c r="P176" s="366"/>
      <c r="Q176" s="366"/>
      <c r="R176" s="366"/>
      <c r="S176" s="366"/>
      <c r="V176" s="366"/>
    </row>
    <row r="177" spans="1:22">
      <c r="A177" s="366"/>
      <c r="B177" s="64"/>
      <c r="C177" s="366"/>
      <c r="D177" s="366"/>
      <c r="E177" s="366"/>
      <c r="F177" s="64"/>
      <c r="G177" s="64"/>
      <c r="H177" s="64"/>
      <c r="I177" s="64"/>
      <c r="J177" s="366"/>
      <c r="K177" s="366"/>
      <c r="L177" s="366"/>
      <c r="M177" s="366"/>
      <c r="N177" s="366"/>
      <c r="O177" s="366"/>
      <c r="P177" s="366"/>
      <c r="Q177" s="366"/>
      <c r="R177" s="366"/>
      <c r="S177" s="366"/>
      <c r="V177" s="366"/>
    </row>
    <row r="178" spans="1:22">
      <c r="A178" s="366"/>
      <c r="B178" s="64"/>
      <c r="C178" s="366"/>
      <c r="D178" s="366"/>
      <c r="E178" s="366"/>
      <c r="F178" s="64"/>
      <c r="G178" s="64"/>
      <c r="H178" s="64"/>
      <c r="I178" s="64"/>
      <c r="J178" s="366"/>
      <c r="K178" s="366"/>
      <c r="L178" s="366"/>
      <c r="M178" s="366"/>
      <c r="N178" s="366"/>
      <c r="O178" s="366"/>
      <c r="P178" s="366"/>
      <c r="Q178" s="366"/>
      <c r="R178" s="366"/>
      <c r="S178" s="366"/>
      <c r="V178" s="366"/>
    </row>
    <row r="179" spans="1:22">
      <c r="A179" s="366"/>
      <c r="B179" s="64"/>
      <c r="C179" s="366"/>
      <c r="D179" s="366"/>
      <c r="E179" s="366"/>
      <c r="F179" s="64"/>
      <c r="G179" s="64"/>
      <c r="H179" s="64"/>
      <c r="I179" s="64"/>
      <c r="J179" s="366"/>
      <c r="K179" s="366"/>
      <c r="L179" s="366"/>
      <c r="M179" s="366"/>
      <c r="N179" s="366"/>
      <c r="O179" s="366"/>
      <c r="P179" s="366"/>
      <c r="Q179" s="366"/>
      <c r="R179" s="366"/>
      <c r="S179" s="366"/>
      <c r="V179" s="366"/>
    </row>
  </sheetData>
  <dataConsolidate/>
  <mergeCells count="29">
    <mergeCell ref="A4:A5"/>
    <mergeCell ref="A6:A8"/>
    <mergeCell ref="C1:J1"/>
    <mergeCell ref="K1:Q1"/>
    <mergeCell ref="X1:Z1"/>
    <mergeCell ref="A26:A27"/>
    <mergeCell ref="A28:A32"/>
    <mergeCell ref="A33:A35"/>
    <mergeCell ref="A9:A13"/>
    <mergeCell ref="AA12:AB12"/>
    <mergeCell ref="A15:A20"/>
    <mergeCell ref="A21:A24"/>
    <mergeCell ref="X22:Z22"/>
    <mergeCell ref="AA23:AB23"/>
    <mergeCell ref="AD46:AF46"/>
    <mergeCell ref="X47:Z47"/>
    <mergeCell ref="A36:A37"/>
    <mergeCell ref="A39:A40"/>
    <mergeCell ref="A41:A43"/>
    <mergeCell ref="A49:A50"/>
    <mergeCell ref="A51:A52"/>
    <mergeCell ref="A53:A54"/>
    <mergeCell ref="A55:A56"/>
    <mergeCell ref="A45:A48"/>
    <mergeCell ref="X59:Z59"/>
    <mergeCell ref="AC66:AH66"/>
    <mergeCell ref="X75:Z75"/>
    <mergeCell ref="AG47:AH47"/>
    <mergeCell ref="AC48:AH48"/>
  </mergeCells>
  <conditionalFormatting sqref="Q3:Q56">
    <cfRule type="cellIs" dxfId="21" priority="6" operator="lessThan">
      <formula>0</formula>
    </cfRule>
  </conditionalFormatting>
  <conditionalFormatting sqref="M3:M56">
    <cfRule type="expression" dxfId="20" priority="5">
      <formula>(M3&lt;E3)</formula>
    </cfRule>
  </conditionalFormatting>
  <conditionalFormatting sqref="AD50:AI61">
    <cfRule type="cellIs" dxfId="19" priority="4" operator="greaterThan">
      <formula>0</formula>
    </cfRule>
  </conditionalFormatting>
  <conditionalFormatting sqref="AD68:AI79">
    <cfRule type="cellIs" dxfId="18" priority="3" operator="greaterThan">
      <formula>0</formula>
    </cfRule>
  </conditionalFormatting>
  <conditionalFormatting sqref="O3:O56">
    <cfRule type="expression" dxfId="17" priority="2">
      <formula>O3&lt;I3</formula>
    </cfRule>
  </conditionalFormatting>
  <conditionalFormatting sqref="P3:P56">
    <cfRule type="cellIs" dxfId="16" priority="1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zoomScale="80" zoomScaleNormal="80" workbookViewId="0">
      <selection activeCell="I50" sqref="I50"/>
    </sheetView>
  </sheetViews>
  <sheetFormatPr defaultRowHeight="15"/>
  <cols>
    <col min="1" max="1" width="16.7109375" customWidth="1"/>
    <col min="2" max="2" width="35.7109375" style="397" customWidth="1"/>
    <col min="3" max="3" width="38.7109375" style="397" customWidth="1"/>
    <col min="4" max="4" width="30.85546875" style="397" customWidth="1"/>
    <col min="7" max="7" width="19.5703125" customWidth="1"/>
    <col min="8" max="8" width="21.42578125" customWidth="1"/>
    <col min="9" max="9" width="19.28515625" customWidth="1"/>
  </cols>
  <sheetData>
    <row r="1" spans="1:18">
      <c r="A1" s="566" t="s">
        <v>566</v>
      </c>
      <c r="B1" s="567"/>
      <c r="C1" s="567"/>
      <c r="D1" s="568"/>
    </row>
    <row r="2" spans="1:18" ht="15" customHeight="1">
      <c r="A2" s="569"/>
      <c r="B2" s="570"/>
      <c r="C2" s="570"/>
      <c r="D2" s="571"/>
    </row>
    <row r="3" spans="1:18" ht="31.5" customHeight="1" thickBot="1">
      <c r="A3" s="423" t="s">
        <v>390</v>
      </c>
      <c r="B3" s="424" t="s">
        <v>523</v>
      </c>
      <c r="C3" s="423" t="s">
        <v>525</v>
      </c>
      <c r="D3" s="425" t="s">
        <v>524</v>
      </c>
    </row>
    <row r="4" spans="1:18" ht="15" customHeight="1">
      <c r="A4" s="426" t="s">
        <v>0</v>
      </c>
      <c r="B4" s="428">
        <v>335.78823749999998</v>
      </c>
      <c r="C4" s="427">
        <f t="shared" ref="C4" si="0">D4-B4</f>
        <v>0</v>
      </c>
      <c r="D4" s="428">
        <v>335.78823749999998</v>
      </c>
      <c r="G4" s="572" t="s">
        <v>566</v>
      </c>
      <c r="H4" s="573"/>
      <c r="I4" s="574"/>
      <c r="L4" s="494" t="s">
        <v>530</v>
      </c>
      <c r="M4" s="495"/>
      <c r="N4" s="495"/>
      <c r="O4" s="495"/>
      <c r="P4" s="495"/>
      <c r="Q4" s="495"/>
      <c r="R4" s="496"/>
    </row>
    <row r="5" spans="1:18" ht="15" customHeight="1" thickBot="1">
      <c r="A5" s="426" t="s">
        <v>2</v>
      </c>
      <c r="B5" s="428">
        <v>68.006750000000025</v>
      </c>
      <c r="C5" s="427">
        <f t="shared" ref="C5:C34" si="1">D5-B5</f>
        <v>0</v>
      </c>
      <c r="D5" s="428">
        <v>68.006750000000025</v>
      </c>
      <c r="G5" s="575"/>
      <c r="H5" s="576"/>
      <c r="I5" s="577"/>
      <c r="L5" s="336" t="s">
        <v>470</v>
      </c>
      <c r="M5" s="338" t="s">
        <v>471</v>
      </c>
      <c r="N5" s="338" t="s">
        <v>472</v>
      </c>
      <c r="O5" s="338" t="s">
        <v>473</v>
      </c>
      <c r="P5" s="338" t="s">
        <v>474</v>
      </c>
      <c r="Q5" s="339" t="s">
        <v>527</v>
      </c>
      <c r="R5" s="340" t="s">
        <v>418</v>
      </c>
    </row>
    <row r="6" spans="1:18">
      <c r="A6" s="426" t="s">
        <v>3</v>
      </c>
      <c r="B6" s="428">
        <v>34.433999999999997</v>
      </c>
      <c r="C6" s="427">
        <f t="shared" si="1"/>
        <v>0</v>
      </c>
      <c r="D6" s="428">
        <v>34.433999999999997</v>
      </c>
      <c r="G6" s="458" t="s">
        <v>390</v>
      </c>
      <c r="H6" s="407" t="s">
        <v>389</v>
      </c>
      <c r="I6" s="459" t="s">
        <v>388</v>
      </c>
      <c r="L6" s="60" t="s">
        <v>84</v>
      </c>
      <c r="M6" s="341">
        <v>0</v>
      </c>
      <c r="N6" s="341">
        <v>0</v>
      </c>
      <c r="O6" s="342">
        <v>0</v>
      </c>
      <c r="P6" s="342">
        <v>0</v>
      </c>
      <c r="Q6" s="343">
        <v>0</v>
      </c>
      <c r="R6" s="344">
        <f>SUM(M6:Q6)</f>
        <v>0</v>
      </c>
    </row>
    <row r="7" spans="1:18">
      <c r="A7" s="426" t="s">
        <v>4</v>
      </c>
      <c r="B7" s="428">
        <v>86.325750000000014</v>
      </c>
      <c r="C7" s="427">
        <f t="shared" si="1"/>
        <v>0</v>
      </c>
      <c r="D7" s="428">
        <v>86.325750000000014</v>
      </c>
      <c r="G7" s="133"/>
      <c r="H7" s="132"/>
      <c r="I7" s="99">
        <f>(H7/200)*100</f>
        <v>0</v>
      </c>
      <c r="L7" s="60" t="s">
        <v>85</v>
      </c>
      <c r="M7" s="341">
        <v>0</v>
      </c>
      <c r="N7" s="341">
        <v>0</v>
      </c>
      <c r="O7" s="341">
        <v>0</v>
      </c>
      <c r="P7" s="341">
        <v>0</v>
      </c>
      <c r="Q7" s="343">
        <v>0</v>
      </c>
      <c r="R7" s="60">
        <f t="shared" ref="R7:R17" si="2">SUM(M7:Q7)</f>
        <v>0</v>
      </c>
    </row>
    <row r="8" spans="1:18">
      <c r="A8" s="426" t="s">
        <v>5</v>
      </c>
      <c r="B8" s="428">
        <v>185.88059999999999</v>
      </c>
      <c r="C8" s="427">
        <f t="shared" si="1"/>
        <v>0</v>
      </c>
      <c r="D8" s="428">
        <v>185.88059999999999</v>
      </c>
      <c r="G8" s="133"/>
      <c r="H8" s="132"/>
      <c r="I8" s="230">
        <f>(H8/150)*100</f>
        <v>0</v>
      </c>
      <c r="L8" s="60" t="s">
        <v>86</v>
      </c>
      <c r="M8" s="341">
        <v>0</v>
      </c>
      <c r="N8" s="341">
        <v>0</v>
      </c>
      <c r="O8" s="341">
        <v>0</v>
      </c>
      <c r="P8" s="341">
        <v>0</v>
      </c>
      <c r="Q8" s="343">
        <v>0</v>
      </c>
      <c r="R8" s="60">
        <f t="shared" si="2"/>
        <v>0</v>
      </c>
    </row>
    <row r="9" spans="1:18" ht="15.75" thickBot="1">
      <c r="A9" s="426" t="s">
        <v>6</v>
      </c>
      <c r="B9" s="428">
        <v>247.916</v>
      </c>
      <c r="C9" s="427">
        <f t="shared" si="1"/>
        <v>0</v>
      </c>
      <c r="D9" s="428">
        <v>247.916</v>
      </c>
      <c r="G9" s="227"/>
      <c r="H9" s="226"/>
      <c r="I9" s="89"/>
      <c r="L9" s="60" t="s">
        <v>87</v>
      </c>
      <c r="M9" s="341">
        <v>0</v>
      </c>
      <c r="N9" s="341">
        <v>0</v>
      </c>
      <c r="O9" s="341">
        <v>0</v>
      </c>
      <c r="P9" s="341">
        <v>0</v>
      </c>
      <c r="Q9" s="343">
        <v>0</v>
      </c>
      <c r="R9" s="60">
        <f t="shared" si="2"/>
        <v>0</v>
      </c>
    </row>
    <row r="10" spans="1:18">
      <c r="A10" s="426" t="s">
        <v>7</v>
      </c>
      <c r="B10" s="428">
        <v>146.041</v>
      </c>
      <c r="C10" s="427">
        <f t="shared" si="1"/>
        <v>0</v>
      </c>
      <c r="D10" s="428">
        <v>146.041</v>
      </c>
      <c r="G10" s="165" t="s">
        <v>369</v>
      </c>
      <c r="H10" s="259">
        <f>SUM(H7:H9)</f>
        <v>0</v>
      </c>
      <c r="I10" s="411"/>
      <c r="L10" s="60" t="s">
        <v>88</v>
      </c>
      <c r="M10" s="341">
        <v>0</v>
      </c>
      <c r="N10" s="341">
        <v>0</v>
      </c>
      <c r="O10" s="341">
        <v>0</v>
      </c>
      <c r="P10" s="341">
        <v>0</v>
      </c>
      <c r="Q10" s="343">
        <v>0</v>
      </c>
      <c r="R10" s="60">
        <f t="shared" si="2"/>
        <v>0</v>
      </c>
    </row>
    <row r="11" spans="1:18">
      <c r="A11" s="426" t="s">
        <v>8</v>
      </c>
      <c r="B11" s="428">
        <v>158.31892857142859</v>
      </c>
      <c r="C11" s="427">
        <f t="shared" si="1"/>
        <v>0</v>
      </c>
      <c r="D11" s="428">
        <v>158.31892857142859</v>
      </c>
      <c r="G11" s="258" t="s">
        <v>365</v>
      </c>
      <c r="H11" s="257">
        <f>H10/9100.11497</f>
        <v>0</v>
      </c>
      <c r="I11" s="411"/>
      <c r="L11" s="60" t="s">
        <v>89</v>
      </c>
      <c r="M11" s="341">
        <v>0</v>
      </c>
      <c r="N11" s="341">
        <v>0</v>
      </c>
      <c r="O11" s="341">
        <v>0</v>
      </c>
      <c r="P11" s="341">
        <v>0</v>
      </c>
      <c r="Q11" s="343">
        <v>0</v>
      </c>
      <c r="R11" s="60">
        <f t="shared" si="2"/>
        <v>0</v>
      </c>
    </row>
    <row r="12" spans="1:18">
      <c r="A12" s="426" t="s">
        <v>9</v>
      </c>
      <c r="B12" s="428">
        <v>135.6959285714286</v>
      </c>
      <c r="C12" s="427">
        <f t="shared" si="1"/>
        <v>0</v>
      </c>
      <c r="D12" s="428">
        <v>135.6959285714286</v>
      </c>
      <c r="L12" s="60" t="s">
        <v>90</v>
      </c>
      <c r="M12" s="341">
        <v>0</v>
      </c>
      <c r="N12" s="341">
        <v>0</v>
      </c>
      <c r="O12" s="341">
        <v>0</v>
      </c>
      <c r="P12" s="341">
        <v>0</v>
      </c>
      <c r="Q12" s="343">
        <v>0</v>
      </c>
      <c r="R12" s="60">
        <f t="shared" si="2"/>
        <v>0</v>
      </c>
    </row>
    <row r="13" spans="1:18">
      <c r="A13" s="426" t="s">
        <v>10</v>
      </c>
      <c r="B13" s="428">
        <v>125.44325000000001</v>
      </c>
      <c r="C13" s="427">
        <f t="shared" si="1"/>
        <v>0</v>
      </c>
      <c r="D13" s="428">
        <v>125.44325000000001</v>
      </c>
      <c r="L13" s="60" t="s">
        <v>91</v>
      </c>
      <c r="M13" s="341">
        <v>0</v>
      </c>
      <c r="N13" s="341">
        <v>0</v>
      </c>
      <c r="O13" s="343">
        <v>0</v>
      </c>
      <c r="P13" s="343">
        <v>0</v>
      </c>
      <c r="Q13" s="343">
        <v>0</v>
      </c>
      <c r="R13" s="60">
        <f t="shared" si="2"/>
        <v>0</v>
      </c>
    </row>
    <row r="14" spans="1:18">
      <c r="A14" s="426" t="s">
        <v>11</v>
      </c>
      <c r="B14" s="428">
        <v>113.01975</v>
      </c>
      <c r="C14" s="427">
        <f t="shared" si="1"/>
        <v>0</v>
      </c>
      <c r="D14" s="428">
        <v>113.01975</v>
      </c>
      <c r="L14" s="60" t="s">
        <v>92</v>
      </c>
      <c r="M14" s="343">
        <v>0</v>
      </c>
      <c r="N14" s="343">
        <v>0</v>
      </c>
      <c r="O14" s="343">
        <v>0</v>
      </c>
      <c r="P14" s="343">
        <v>0</v>
      </c>
      <c r="Q14" s="343">
        <v>0</v>
      </c>
      <c r="R14" s="60">
        <f t="shared" si="2"/>
        <v>0</v>
      </c>
    </row>
    <row r="15" spans="1:18">
      <c r="A15" s="426" t="s">
        <v>12</v>
      </c>
      <c r="B15" s="428">
        <v>191.02666666666661</v>
      </c>
      <c r="C15" s="427">
        <f t="shared" si="1"/>
        <v>0</v>
      </c>
      <c r="D15" s="428">
        <v>191.02666666666661</v>
      </c>
      <c r="L15" s="60" t="s">
        <v>93</v>
      </c>
      <c r="M15" s="343">
        <v>0</v>
      </c>
      <c r="N15" s="341">
        <v>0</v>
      </c>
      <c r="O15" s="343">
        <v>0</v>
      </c>
      <c r="P15" s="343">
        <v>0</v>
      </c>
      <c r="Q15" s="343">
        <v>0</v>
      </c>
      <c r="R15" s="60">
        <f t="shared" si="2"/>
        <v>0</v>
      </c>
    </row>
    <row r="16" spans="1:18">
      <c r="A16" s="426" t="s">
        <v>13</v>
      </c>
      <c r="B16" s="428">
        <v>12.704000000000001</v>
      </c>
      <c r="C16" s="427">
        <f t="shared" si="1"/>
        <v>0</v>
      </c>
      <c r="D16" s="428">
        <v>12.704000000000001</v>
      </c>
      <c r="L16" s="60" t="s">
        <v>94</v>
      </c>
      <c r="M16" s="343">
        <v>0</v>
      </c>
      <c r="N16" s="341">
        <v>0</v>
      </c>
      <c r="O16" s="343">
        <v>0</v>
      </c>
      <c r="P16" s="343">
        <v>0</v>
      </c>
      <c r="Q16" s="343">
        <v>0</v>
      </c>
      <c r="R16" s="60">
        <f t="shared" si="2"/>
        <v>0</v>
      </c>
    </row>
    <row r="17" spans="1:18">
      <c r="A17" s="426" t="s">
        <v>14</v>
      </c>
      <c r="B17" s="428">
        <v>414.76999999999992</v>
      </c>
      <c r="C17" s="427">
        <f t="shared" si="1"/>
        <v>0</v>
      </c>
      <c r="D17" s="428">
        <v>414.76999999999992</v>
      </c>
      <c r="L17" s="326" t="s">
        <v>469</v>
      </c>
      <c r="M17" s="348">
        <v>0</v>
      </c>
      <c r="N17" s="348">
        <v>0</v>
      </c>
      <c r="O17" s="348">
        <v>0</v>
      </c>
      <c r="P17" s="348">
        <v>0</v>
      </c>
      <c r="Q17" s="348">
        <v>0</v>
      </c>
      <c r="R17" s="326">
        <f t="shared" si="2"/>
        <v>0</v>
      </c>
    </row>
    <row r="18" spans="1:18">
      <c r="A18" s="426" t="s">
        <v>15</v>
      </c>
      <c r="B18" s="428">
        <v>211.47057142857139</v>
      </c>
      <c r="C18" s="427">
        <f t="shared" si="1"/>
        <v>0</v>
      </c>
      <c r="D18" s="428">
        <v>211.47057142857139</v>
      </c>
      <c r="L18" s="340" t="s">
        <v>479</v>
      </c>
      <c r="M18" s="349">
        <f t="shared" ref="M18:R18" si="3">SUM(M6:M17)</f>
        <v>0</v>
      </c>
      <c r="N18" s="349">
        <f t="shared" si="3"/>
        <v>0</v>
      </c>
      <c r="O18" s="349">
        <f t="shared" si="3"/>
        <v>0</v>
      </c>
      <c r="P18" s="349">
        <f t="shared" si="3"/>
        <v>0</v>
      </c>
      <c r="Q18" s="349">
        <f t="shared" si="3"/>
        <v>0</v>
      </c>
      <c r="R18" s="350">
        <f t="shared" si="3"/>
        <v>0</v>
      </c>
    </row>
    <row r="19" spans="1:18">
      <c r="A19" s="426" t="s">
        <v>16</v>
      </c>
      <c r="B19" s="428">
        <v>203.99000000000009</v>
      </c>
      <c r="C19" s="427">
        <f t="shared" si="1"/>
        <v>0</v>
      </c>
      <c r="D19" s="428">
        <v>203.99000000000009</v>
      </c>
      <c r="L19" s="340" t="s">
        <v>478</v>
      </c>
      <c r="M19" s="351">
        <f>PRODUCT(M18*V20)</f>
        <v>0</v>
      </c>
      <c r="N19" s="351">
        <f>PRODUCT(N18*V21)</f>
        <v>0</v>
      </c>
      <c r="O19" s="351">
        <f>PRODUCT(O18*V22)</f>
        <v>0</v>
      </c>
      <c r="P19" s="351">
        <f>PRODUCT(P18*V23)</f>
        <v>0</v>
      </c>
      <c r="Q19" s="351">
        <f>PRODUCT(Q18*V24)</f>
        <v>0</v>
      </c>
      <c r="R19" s="340">
        <f>SUM(M19:Q19)</f>
        <v>0</v>
      </c>
    </row>
    <row r="20" spans="1:18">
      <c r="A20" s="426" t="s">
        <v>17</v>
      </c>
      <c r="B20" s="428">
        <v>246.57050000000001</v>
      </c>
      <c r="C20" s="427">
        <f t="shared" si="1"/>
        <v>0</v>
      </c>
      <c r="D20" s="428">
        <v>246.57050000000001</v>
      </c>
      <c r="L20" s="340" t="s">
        <v>528</v>
      </c>
      <c r="M20" s="351">
        <f>M18*U20</f>
        <v>0</v>
      </c>
      <c r="N20" s="351">
        <f>N18*U21</f>
        <v>0</v>
      </c>
      <c r="O20" s="351">
        <f>O18*U22</f>
        <v>0</v>
      </c>
      <c r="P20" s="351">
        <f>P18*U23</f>
        <v>0</v>
      </c>
      <c r="Q20" s="351">
        <f>Q18*U24</f>
        <v>0</v>
      </c>
      <c r="R20" s="340">
        <f>SUM(M20:Q20)</f>
        <v>0</v>
      </c>
    </row>
    <row r="21" spans="1:18">
      <c r="A21" s="426" t="s">
        <v>18</v>
      </c>
      <c r="B21" s="428">
        <v>612.43130952380932</v>
      </c>
      <c r="C21" s="427">
        <f t="shared" si="1"/>
        <v>0</v>
      </c>
      <c r="D21" s="428">
        <v>612.43130952380932</v>
      </c>
      <c r="L21" s="5"/>
      <c r="M21" s="5"/>
      <c r="N21" s="5"/>
      <c r="O21" s="5"/>
      <c r="P21" s="5"/>
      <c r="Q21" s="5"/>
      <c r="R21" s="5"/>
    </row>
    <row r="22" spans="1:18">
      <c r="A22" s="426" t="s">
        <v>19</v>
      </c>
      <c r="B22" s="428">
        <v>577.50166666666655</v>
      </c>
      <c r="C22" s="427">
        <f t="shared" si="1"/>
        <v>0</v>
      </c>
      <c r="D22" s="428">
        <v>577.50166666666655</v>
      </c>
      <c r="L22" s="5"/>
      <c r="M22" s="5"/>
      <c r="N22" s="5"/>
      <c r="O22" s="5"/>
      <c r="P22" s="5"/>
      <c r="Q22" s="5"/>
      <c r="R22" s="5"/>
    </row>
    <row r="23" spans="1:18">
      <c r="A23" s="426" t="s">
        <v>20</v>
      </c>
      <c r="B23" s="428">
        <v>689.90333333333319</v>
      </c>
      <c r="C23" s="427">
        <f t="shared" si="1"/>
        <v>0</v>
      </c>
      <c r="D23" s="428">
        <v>689.90333333333319</v>
      </c>
      <c r="L23" s="5"/>
      <c r="M23" s="5"/>
      <c r="N23" s="5"/>
      <c r="O23" s="5"/>
      <c r="P23" s="5"/>
      <c r="Q23" s="5"/>
      <c r="R23" s="5"/>
    </row>
    <row r="24" spans="1:18">
      <c r="A24" s="426" t="s">
        <v>21</v>
      </c>
      <c r="B24" s="428">
        <v>135.10400000000001</v>
      </c>
      <c r="C24" s="427">
        <f t="shared" si="1"/>
        <v>0</v>
      </c>
      <c r="D24" s="428">
        <v>135.10400000000001</v>
      </c>
      <c r="L24" s="5"/>
      <c r="M24" s="5"/>
      <c r="N24" s="5"/>
      <c r="O24" s="5"/>
      <c r="P24" s="5"/>
      <c r="Q24" s="5"/>
      <c r="R24" s="5"/>
    </row>
    <row r="25" spans="1:18">
      <c r="A25" s="426" t="s">
        <v>22</v>
      </c>
      <c r="B25" s="428">
        <v>59.93416666666667</v>
      </c>
      <c r="C25" s="427">
        <f t="shared" si="1"/>
        <v>0</v>
      </c>
      <c r="D25" s="428">
        <v>59.93416666666667</v>
      </c>
      <c r="L25" s="5"/>
      <c r="M25" s="5"/>
      <c r="N25" s="5"/>
      <c r="O25" s="5"/>
      <c r="P25" s="5"/>
      <c r="Q25" s="5"/>
      <c r="R25" s="5"/>
    </row>
    <row r="26" spans="1:18">
      <c r="A26" s="426" t="s">
        <v>23</v>
      </c>
      <c r="B26" s="428">
        <v>16.402571428571431</v>
      </c>
      <c r="C26" s="427">
        <f t="shared" si="1"/>
        <v>0</v>
      </c>
      <c r="D26" s="428">
        <v>16.402571428571431</v>
      </c>
      <c r="L26" s="5"/>
      <c r="M26" s="5"/>
      <c r="N26" s="5"/>
      <c r="O26" s="5"/>
      <c r="P26" s="5"/>
      <c r="Q26" s="5"/>
      <c r="R26" s="5"/>
    </row>
    <row r="27" spans="1:18">
      <c r="A27" s="426" t="s">
        <v>24</v>
      </c>
      <c r="B27" s="428">
        <v>42.788750000000007</v>
      </c>
      <c r="C27" s="427">
        <f t="shared" si="1"/>
        <v>0</v>
      </c>
      <c r="D27" s="428">
        <v>42.788750000000007</v>
      </c>
      <c r="L27" s="5"/>
      <c r="M27" s="5"/>
      <c r="N27" s="5"/>
      <c r="O27" s="5"/>
      <c r="P27" s="5"/>
      <c r="Q27" s="5"/>
      <c r="R27" s="5"/>
    </row>
    <row r="28" spans="1:18">
      <c r="A28" s="426" t="s">
        <v>25</v>
      </c>
      <c r="B28" s="428">
        <v>67.920000000000016</v>
      </c>
      <c r="C28" s="427">
        <f t="shared" si="1"/>
        <v>0</v>
      </c>
      <c r="D28" s="428">
        <v>67.920000000000016</v>
      </c>
      <c r="L28" s="5"/>
      <c r="M28" s="5"/>
      <c r="N28" s="5"/>
      <c r="O28" s="5"/>
      <c r="P28" s="5"/>
      <c r="Q28" s="5"/>
      <c r="R28" s="5"/>
    </row>
    <row r="29" spans="1:18">
      <c r="A29" s="426" t="s">
        <v>26</v>
      </c>
      <c r="B29" s="428">
        <v>81.232250000000022</v>
      </c>
      <c r="C29" s="427">
        <f t="shared" si="1"/>
        <v>0</v>
      </c>
      <c r="D29" s="428">
        <v>81.232250000000022</v>
      </c>
      <c r="L29" s="5"/>
      <c r="M29" s="5"/>
      <c r="N29" s="5"/>
      <c r="O29" s="5"/>
      <c r="P29" s="5"/>
      <c r="Q29" s="5"/>
      <c r="R29" s="5"/>
    </row>
    <row r="30" spans="1:18">
      <c r="A30" s="426" t="s">
        <v>27</v>
      </c>
      <c r="B30" s="428">
        <v>92.181500000000028</v>
      </c>
      <c r="C30" s="427">
        <f t="shared" si="1"/>
        <v>0</v>
      </c>
      <c r="D30" s="428">
        <v>92.181500000000028</v>
      </c>
      <c r="L30" s="5"/>
      <c r="M30" s="5"/>
      <c r="N30" s="5"/>
      <c r="O30" s="5"/>
      <c r="P30" s="5"/>
      <c r="Q30" s="5"/>
      <c r="R30" s="5"/>
    </row>
    <row r="31" spans="1:18">
      <c r="A31" s="426" t="s">
        <v>28</v>
      </c>
      <c r="B31" s="428">
        <v>83.829000000000008</v>
      </c>
      <c r="C31" s="427">
        <f t="shared" si="1"/>
        <v>0</v>
      </c>
      <c r="D31" s="428">
        <v>83.829000000000008</v>
      </c>
      <c r="L31" s="5"/>
      <c r="M31" s="5"/>
      <c r="N31" s="5"/>
      <c r="O31" s="5"/>
      <c r="P31" s="5"/>
      <c r="Q31" s="5"/>
      <c r="R31" s="5"/>
    </row>
    <row r="32" spans="1:18">
      <c r="A32" s="426" t="s">
        <v>29</v>
      </c>
      <c r="B32" s="428">
        <v>38.657499999999992</v>
      </c>
      <c r="C32" s="427">
        <f t="shared" si="1"/>
        <v>0</v>
      </c>
      <c r="D32" s="428">
        <v>38.657499999999992</v>
      </c>
    </row>
    <row r="33" spans="1:4">
      <c r="A33" s="426" t="s">
        <v>30</v>
      </c>
      <c r="B33" s="428">
        <v>66.164500000000004</v>
      </c>
      <c r="C33" s="427">
        <f t="shared" si="1"/>
        <v>0</v>
      </c>
      <c r="D33" s="428">
        <v>66.164500000000004</v>
      </c>
    </row>
    <row r="34" spans="1:4" ht="15.75" thickBot="1">
      <c r="A34" s="429" t="s">
        <v>31</v>
      </c>
      <c r="B34" s="431">
        <v>25.285499999999999</v>
      </c>
      <c r="C34" s="430">
        <f t="shared" si="1"/>
        <v>0</v>
      </c>
      <c r="D34" s="431">
        <v>25.285499999999999</v>
      </c>
    </row>
    <row r="35" spans="1:4" ht="15.75" thickBot="1">
      <c r="A35" s="432" t="s">
        <v>567</v>
      </c>
      <c r="B35" s="433">
        <f>SUM(B4:B34)</f>
        <v>5506.737980357143</v>
      </c>
      <c r="C35" s="433">
        <f>SUBTOTAL(109,C4:C34)</f>
        <v>0</v>
      </c>
      <c r="D35" s="434">
        <f>SUM(D4:D34)</f>
        <v>5506.737980357143</v>
      </c>
    </row>
  </sheetData>
  <mergeCells count="3">
    <mergeCell ref="L4:R4"/>
    <mergeCell ref="A1:D2"/>
    <mergeCell ref="G4:I5"/>
  </mergeCells>
  <conditionalFormatting sqref="M6:R17">
    <cfRule type="cellIs" dxfId="15" priority="1" operator="greaterThan">
      <formula>0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sqref="A1:X38"/>
    </sheetView>
  </sheetViews>
  <sheetFormatPr defaultRowHeight="15"/>
  <cols>
    <col min="1" max="2" width="16.7109375" customWidth="1"/>
    <col min="3" max="3" width="34.42578125" style="397" customWidth="1"/>
    <col min="4" max="4" width="43.140625" style="397" customWidth="1"/>
    <col min="5" max="5" width="15.140625" style="397" customWidth="1"/>
    <col min="6" max="6" width="14.28515625" customWidth="1"/>
    <col min="7" max="7" width="23.28515625" customWidth="1"/>
    <col min="8" max="8" width="22.42578125" customWidth="1"/>
    <col min="9" max="9" width="15.7109375" customWidth="1"/>
    <col min="10" max="10" width="18.140625" customWidth="1"/>
    <col min="11" max="11" width="12.85546875" customWidth="1"/>
    <col min="12" max="12" width="15.42578125" customWidth="1"/>
    <col min="15" max="15" width="12.85546875" style="5" customWidth="1"/>
    <col min="16" max="16" width="10.42578125" style="5" customWidth="1"/>
    <col min="17" max="17" width="8.7109375" style="5"/>
    <col min="18" max="18" width="15.5703125" style="5" customWidth="1"/>
    <col min="19" max="19" width="15" style="5" customWidth="1"/>
    <col min="20" max="20" width="12.5703125" style="5" customWidth="1"/>
    <col min="21" max="21" width="16.5703125" style="5" customWidth="1"/>
  </cols>
  <sheetData>
    <row r="1" spans="1:21">
      <c r="A1" s="566" t="s">
        <v>532</v>
      </c>
      <c r="B1" s="567"/>
      <c r="C1" s="567"/>
      <c r="D1" s="568"/>
      <c r="E1"/>
      <c r="K1" s="5"/>
      <c r="L1" s="5"/>
      <c r="M1" s="5"/>
      <c r="N1" s="5"/>
      <c r="R1"/>
      <c r="S1"/>
      <c r="T1"/>
      <c r="U1"/>
    </row>
    <row r="2" spans="1:21" ht="15.75" thickBot="1">
      <c r="A2" s="578"/>
      <c r="B2" s="579"/>
      <c r="C2" s="579"/>
      <c r="D2" s="580"/>
      <c r="E2"/>
      <c r="K2" s="5"/>
      <c r="L2" s="5"/>
      <c r="M2" s="5"/>
      <c r="N2" s="5"/>
      <c r="R2"/>
      <c r="S2"/>
      <c r="T2"/>
      <c r="U2"/>
    </row>
    <row r="3" spans="1:21" ht="45.75" thickBot="1">
      <c r="A3" s="436" t="s">
        <v>390</v>
      </c>
      <c r="B3" s="446" t="s">
        <v>523</v>
      </c>
      <c r="C3" s="447" t="s">
        <v>525</v>
      </c>
      <c r="D3" s="448" t="s">
        <v>524</v>
      </c>
      <c r="E3"/>
      <c r="F3" s="572" t="s">
        <v>526</v>
      </c>
      <c r="G3" s="573"/>
      <c r="H3" s="574"/>
      <c r="J3" s="581" t="s">
        <v>573</v>
      </c>
      <c r="K3" s="582"/>
      <c r="L3" s="582"/>
      <c r="M3" s="582"/>
      <c r="N3" s="582"/>
      <c r="O3" s="582"/>
      <c r="P3" s="583"/>
      <c r="R3" s="200" t="s">
        <v>476</v>
      </c>
      <c r="S3" s="200" t="s">
        <v>477</v>
      </c>
      <c r="T3" s="200" t="s">
        <v>478</v>
      </c>
      <c r="U3"/>
    </row>
    <row r="4" spans="1:21">
      <c r="A4" s="437" t="s">
        <v>0</v>
      </c>
      <c r="B4" s="435">
        <v>300</v>
      </c>
      <c r="C4" s="439">
        <f t="shared" ref="C4:C34" si="0">D4-B4</f>
        <v>0</v>
      </c>
      <c r="D4" s="435">
        <v>300</v>
      </c>
      <c r="E4"/>
      <c r="F4" s="480"/>
      <c r="G4" s="481"/>
      <c r="H4" s="482"/>
      <c r="J4" s="460" t="s">
        <v>470</v>
      </c>
      <c r="K4" s="338" t="s">
        <v>471</v>
      </c>
      <c r="L4" s="338" t="s">
        <v>472</v>
      </c>
      <c r="M4" s="338" t="s">
        <v>473</v>
      </c>
      <c r="N4" s="338" t="s">
        <v>474</v>
      </c>
      <c r="O4" s="339" t="s">
        <v>527</v>
      </c>
      <c r="P4" s="461" t="s">
        <v>418</v>
      </c>
      <c r="R4" s="474" t="s">
        <v>471</v>
      </c>
      <c r="S4" s="474">
        <v>100</v>
      </c>
      <c r="T4" s="475">
        <v>15</v>
      </c>
      <c r="U4"/>
    </row>
    <row r="5" spans="1:21">
      <c r="A5" s="438" t="s">
        <v>2</v>
      </c>
      <c r="B5" s="435">
        <v>100</v>
      </c>
      <c r="C5" s="439">
        <f t="shared" si="0"/>
        <v>0</v>
      </c>
      <c r="D5" s="435">
        <v>100</v>
      </c>
      <c r="E5"/>
      <c r="F5" s="138" t="s">
        <v>390</v>
      </c>
      <c r="G5" s="137" t="s">
        <v>389</v>
      </c>
      <c r="H5" s="136" t="s">
        <v>388</v>
      </c>
      <c r="J5" s="462" t="s">
        <v>84</v>
      </c>
      <c r="K5" s="341">
        <f>1+1+1</f>
        <v>3</v>
      </c>
      <c r="L5" s="341">
        <v>0</v>
      </c>
      <c r="M5" s="342">
        <v>0</v>
      </c>
      <c r="N5" s="342">
        <v>0</v>
      </c>
      <c r="O5" s="343">
        <f>1</f>
        <v>1</v>
      </c>
      <c r="P5" s="463">
        <f>SUM(K5:O5)</f>
        <v>4</v>
      </c>
      <c r="R5" s="476" t="s">
        <v>472</v>
      </c>
      <c r="S5" s="476">
        <v>150</v>
      </c>
      <c r="T5" s="477">
        <v>16.3689</v>
      </c>
      <c r="U5"/>
    </row>
    <row r="6" spans="1:21">
      <c r="A6" s="438" t="s">
        <v>3</v>
      </c>
      <c r="B6" s="435">
        <v>100</v>
      </c>
      <c r="C6" s="439">
        <f t="shared" si="0"/>
        <v>0</v>
      </c>
      <c r="D6" s="435">
        <v>100</v>
      </c>
      <c r="E6"/>
      <c r="F6" s="133"/>
      <c r="G6" s="132"/>
      <c r="H6" s="99">
        <f>(G6/200)*100</f>
        <v>0</v>
      </c>
      <c r="J6" s="462" t="s">
        <v>85</v>
      </c>
      <c r="K6" s="341">
        <f>1+1</f>
        <v>2</v>
      </c>
      <c r="L6" s="341">
        <f>1+1+1</f>
        <v>3</v>
      </c>
      <c r="M6" s="341">
        <f>1</f>
        <v>1</v>
      </c>
      <c r="N6" s="341">
        <v>0</v>
      </c>
      <c r="O6" s="343">
        <f>1</f>
        <v>1</v>
      </c>
      <c r="P6" s="97">
        <f t="shared" ref="P6:P16" si="1">SUM(K6:O6)</f>
        <v>7</v>
      </c>
      <c r="R6" s="476" t="s">
        <v>473</v>
      </c>
      <c r="S6" s="476">
        <v>200</v>
      </c>
      <c r="T6" s="477">
        <v>16.746700000000001</v>
      </c>
      <c r="U6"/>
    </row>
    <row r="7" spans="1:21">
      <c r="A7" s="438" t="s">
        <v>4</v>
      </c>
      <c r="B7" s="435">
        <v>100</v>
      </c>
      <c r="C7" s="439">
        <f t="shared" si="0"/>
        <v>0</v>
      </c>
      <c r="D7" s="435">
        <v>100</v>
      </c>
      <c r="E7"/>
      <c r="F7" s="133"/>
      <c r="G7" s="132"/>
      <c r="H7" s="230">
        <f>(G7/150)*100</f>
        <v>0</v>
      </c>
      <c r="J7" s="462" t="s">
        <v>86</v>
      </c>
      <c r="K7" s="341">
        <f>1</f>
        <v>1</v>
      </c>
      <c r="L7" s="341">
        <v>0</v>
      </c>
      <c r="M7" s="341">
        <f>1+1</f>
        <v>2</v>
      </c>
      <c r="N7" s="341">
        <v>0</v>
      </c>
      <c r="O7" s="341">
        <v>0</v>
      </c>
      <c r="P7" s="97">
        <f t="shared" si="1"/>
        <v>3</v>
      </c>
      <c r="R7" s="476" t="s">
        <v>474</v>
      </c>
      <c r="S7" s="476">
        <v>250</v>
      </c>
      <c r="T7" s="477">
        <v>16.886600000000001</v>
      </c>
      <c r="U7"/>
    </row>
    <row r="8" spans="1:21" ht="15.75" thickBot="1">
      <c r="A8" s="438" t="s">
        <v>5</v>
      </c>
      <c r="B8" s="435">
        <v>200</v>
      </c>
      <c r="C8" s="439">
        <f t="shared" si="0"/>
        <v>0</v>
      </c>
      <c r="D8" s="435">
        <v>200</v>
      </c>
      <c r="E8"/>
      <c r="F8" s="227"/>
      <c r="G8" s="226"/>
      <c r="H8" s="89"/>
      <c r="J8" s="462" t="s">
        <v>87</v>
      </c>
      <c r="K8" s="341">
        <f>1</f>
        <v>1</v>
      </c>
      <c r="L8" s="341">
        <f>1+1</f>
        <v>2</v>
      </c>
      <c r="M8" s="341">
        <f>1+1</f>
        <v>2</v>
      </c>
      <c r="N8" s="341">
        <f>1+1</f>
        <v>2</v>
      </c>
      <c r="O8" s="343">
        <f>1+1+1+2+2+2</f>
        <v>9</v>
      </c>
      <c r="P8" s="97">
        <f t="shared" si="1"/>
        <v>16</v>
      </c>
      <c r="R8" s="476" t="s">
        <v>527</v>
      </c>
      <c r="S8" s="476">
        <v>300</v>
      </c>
      <c r="T8" s="477">
        <v>17</v>
      </c>
      <c r="U8" s="407"/>
    </row>
    <row r="9" spans="1:21">
      <c r="A9" s="438" t="s">
        <v>6</v>
      </c>
      <c r="B9" s="435">
        <v>300</v>
      </c>
      <c r="C9" s="439">
        <f t="shared" si="0"/>
        <v>0</v>
      </c>
      <c r="D9" s="435">
        <v>300</v>
      </c>
      <c r="E9"/>
      <c r="F9" s="165" t="s">
        <v>369</v>
      </c>
      <c r="G9" s="259">
        <f>SUM(G6:G8)</f>
        <v>0</v>
      </c>
      <c r="H9" s="395"/>
      <c r="J9" s="462" t="s">
        <v>88</v>
      </c>
      <c r="K9" s="341">
        <f>1+1+1+1+1</f>
        <v>5</v>
      </c>
      <c r="L9" s="341">
        <f>1+1</f>
        <v>2</v>
      </c>
      <c r="M9" s="341">
        <v>0</v>
      </c>
      <c r="N9" s="341">
        <v>0</v>
      </c>
      <c r="O9" s="341">
        <f>1</f>
        <v>1</v>
      </c>
      <c r="P9" s="97">
        <f t="shared" si="1"/>
        <v>8</v>
      </c>
      <c r="R9"/>
      <c r="U9" s="472"/>
    </row>
    <row r="10" spans="1:21">
      <c r="A10" s="438" t="s">
        <v>7</v>
      </c>
      <c r="B10" s="435">
        <v>150</v>
      </c>
      <c r="C10" s="439">
        <f t="shared" si="0"/>
        <v>0</v>
      </c>
      <c r="D10" s="435">
        <v>150</v>
      </c>
      <c r="E10"/>
      <c r="F10" s="258" t="s">
        <v>365</v>
      </c>
      <c r="G10" s="257">
        <f>G9/9100.11497</f>
        <v>0</v>
      </c>
      <c r="H10" s="395"/>
      <c r="J10" s="462" t="s">
        <v>89</v>
      </c>
      <c r="K10" s="341">
        <f>1+1+1</f>
        <v>3</v>
      </c>
      <c r="L10" s="341">
        <f>1</f>
        <v>1</v>
      </c>
      <c r="M10" s="341">
        <f>1</f>
        <v>1</v>
      </c>
      <c r="N10" s="341">
        <v>0</v>
      </c>
      <c r="O10" s="341">
        <v>0</v>
      </c>
      <c r="P10" s="97">
        <f t="shared" si="1"/>
        <v>5</v>
      </c>
      <c r="R10"/>
      <c r="U10" s="473"/>
    </row>
    <row r="11" spans="1:21">
      <c r="A11" s="438" t="s">
        <v>8</v>
      </c>
      <c r="B11" s="435">
        <v>150</v>
      </c>
      <c r="C11" s="439">
        <f t="shared" si="0"/>
        <v>0</v>
      </c>
      <c r="D11" s="435">
        <v>150</v>
      </c>
      <c r="E11"/>
      <c r="J11" s="462" t="s">
        <v>90</v>
      </c>
      <c r="K11" s="341">
        <f>1</f>
        <v>1</v>
      </c>
      <c r="L11" s="341">
        <f>1</f>
        <v>1</v>
      </c>
      <c r="M11" s="341">
        <v>0</v>
      </c>
      <c r="N11" s="341">
        <f>1</f>
        <v>1</v>
      </c>
      <c r="O11" s="341">
        <v>0</v>
      </c>
      <c r="P11" s="97">
        <f t="shared" si="1"/>
        <v>3</v>
      </c>
      <c r="R11"/>
      <c r="S11"/>
      <c r="T11"/>
      <c r="U11" s="473"/>
    </row>
    <row r="12" spans="1:21">
      <c r="A12" s="438" t="s">
        <v>9</v>
      </c>
      <c r="B12" s="435">
        <v>150</v>
      </c>
      <c r="C12" s="439">
        <f t="shared" si="0"/>
        <v>0</v>
      </c>
      <c r="D12" s="435">
        <v>150</v>
      </c>
      <c r="E12"/>
      <c r="J12" s="462" t="s">
        <v>91</v>
      </c>
      <c r="K12" s="341">
        <f>1+1+1+1+1+1+1+1</f>
        <v>8</v>
      </c>
      <c r="L12" s="341">
        <v>0</v>
      </c>
      <c r="M12" s="341">
        <v>0</v>
      </c>
      <c r="N12" s="341">
        <f>1</f>
        <v>1</v>
      </c>
      <c r="O12" s="343">
        <v>0</v>
      </c>
      <c r="P12" s="97">
        <f t="shared" si="1"/>
        <v>9</v>
      </c>
      <c r="R12"/>
      <c r="S12"/>
      <c r="T12"/>
      <c r="U12" s="473"/>
    </row>
    <row r="13" spans="1:21">
      <c r="A13" s="438" t="s">
        <v>10</v>
      </c>
      <c r="B13" s="435">
        <v>100</v>
      </c>
      <c r="C13" s="439">
        <f t="shared" si="0"/>
        <v>0</v>
      </c>
      <c r="D13" s="435">
        <v>100</v>
      </c>
      <c r="E13"/>
      <c r="J13" s="462" t="s">
        <v>92</v>
      </c>
      <c r="K13" s="341">
        <f>1+1+1</f>
        <v>3</v>
      </c>
      <c r="L13" s="343">
        <v>0</v>
      </c>
      <c r="M13" s="341">
        <v>0</v>
      </c>
      <c r="N13" s="341">
        <v>0</v>
      </c>
      <c r="O13" s="343">
        <f>2</f>
        <v>2</v>
      </c>
      <c r="P13" s="97">
        <f t="shared" si="1"/>
        <v>5</v>
      </c>
      <c r="R13"/>
      <c r="S13"/>
      <c r="T13"/>
      <c r="U13" s="473"/>
    </row>
    <row r="14" spans="1:21">
      <c r="A14" s="438" t="s">
        <v>11</v>
      </c>
      <c r="B14" s="435">
        <v>100</v>
      </c>
      <c r="C14" s="439">
        <f t="shared" si="0"/>
        <v>0</v>
      </c>
      <c r="D14" s="435">
        <v>100</v>
      </c>
      <c r="E14"/>
      <c r="J14" s="462" t="s">
        <v>93</v>
      </c>
      <c r="K14" s="341">
        <f>1+1</f>
        <v>2</v>
      </c>
      <c r="L14" s="341">
        <v>0</v>
      </c>
      <c r="M14" s="341">
        <v>0</v>
      </c>
      <c r="N14" s="343">
        <v>0</v>
      </c>
      <c r="O14" s="343">
        <f>2</f>
        <v>2</v>
      </c>
      <c r="P14" s="97">
        <f t="shared" si="1"/>
        <v>4</v>
      </c>
      <c r="R14"/>
      <c r="S14"/>
      <c r="T14"/>
      <c r="U14"/>
    </row>
    <row r="15" spans="1:21">
      <c r="A15" s="438" t="s">
        <v>12</v>
      </c>
      <c r="B15" s="435">
        <v>200</v>
      </c>
      <c r="C15" s="439">
        <f t="shared" si="0"/>
        <v>0</v>
      </c>
      <c r="D15" s="435">
        <v>200</v>
      </c>
      <c r="E15"/>
      <c r="J15" s="462" t="s">
        <v>94</v>
      </c>
      <c r="K15" s="341">
        <f>1+1+1+1</f>
        <v>4</v>
      </c>
      <c r="L15" s="341">
        <v>0</v>
      </c>
      <c r="M15" s="343">
        <v>0</v>
      </c>
      <c r="N15" s="343">
        <v>0</v>
      </c>
      <c r="O15" s="343">
        <f>2</f>
        <v>2</v>
      </c>
      <c r="P15" s="97">
        <f t="shared" si="1"/>
        <v>6</v>
      </c>
      <c r="R15"/>
      <c r="S15"/>
      <c r="T15"/>
      <c r="U15"/>
    </row>
    <row r="16" spans="1:21">
      <c r="A16" s="438" t="s">
        <v>13</v>
      </c>
      <c r="B16" s="435">
        <v>100</v>
      </c>
      <c r="C16" s="439">
        <f t="shared" si="0"/>
        <v>0</v>
      </c>
      <c r="D16" s="435">
        <v>100</v>
      </c>
      <c r="E16"/>
      <c r="J16" s="464" t="s">
        <v>469</v>
      </c>
      <c r="K16" s="341">
        <f>1</f>
        <v>1</v>
      </c>
      <c r="L16" s="348">
        <f>1</f>
        <v>1</v>
      </c>
      <c r="M16" s="348">
        <v>0</v>
      </c>
      <c r="N16" s="348">
        <v>0</v>
      </c>
      <c r="O16" s="348">
        <v>0</v>
      </c>
      <c r="P16" s="465">
        <f t="shared" si="1"/>
        <v>2</v>
      </c>
      <c r="R16"/>
      <c r="S16"/>
      <c r="T16"/>
      <c r="U16"/>
    </row>
    <row r="17" spans="1:21">
      <c r="A17" s="438" t="s">
        <v>14</v>
      </c>
      <c r="B17" s="435">
        <v>450</v>
      </c>
      <c r="C17" s="439">
        <f t="shared" si="0"/>
        <v>0</v>
      </c>
      <c r="D17" s="435">
        <v>450</v>
      </c>
      <c r="E17"/>
      <c r="J17" s="466" t="s">
        <v>479</v>
      </c>
      <c r="K17" s="349">
        <f t="shared" ref="K17:P17" si="2">SUM(K5:K16)</f>
        <v>34</v>
      </c>
      <c r="L17" s="349">
        <f t="shared" si="2"/>
        <v>10</v>
      </c>
      <c r="M17" s="349">
        <f t="shared" si="2"/>
        <v>6</v>
      </c>
      <c r="N17" s="349">
        <f t="shared" si="2"/>
        <v>4</v>
      </c>
      <c r="O17" s="349">
        <f t="shared" si="2"/>
        <v>18</v>
      </c>
      <c r="P17" s="467">
        <f t="shared" si="2"/>
        <v>72</v>
      </c>
      <c r="R17"/>
      <c r="S17"/>
      <c r="T17"/>
      <c r="U17"/>
    </row>
    <row r="18" spans="1:21">
      <c r="A18" s="438" t="s">
        <v>15</v>
      </c>
      <c r="B18" s="435">
        <v>200</v>
      </c>
      <c r="C18" s="439">
        <f t="shared" si="0"/>
        <v>0</v>
      </c>
      <c r="D18" s="435">
        <v>200</v>
      </c>
      <c r="E18"/>
      <c r="J18" s="466" t="s">
        <v>478</v>
      </c>
      <c r="K18" s="351">
        <f>PRODUCT(K17*T4)</f>
        <v>510</v>
      </c>
      <c r="L18" s="416">
        <f>PRODUCT(L17*T5)</f>
        <v>163.68899999999999</v>
      </c>
      <c r="M18" s="416">
        <f>PRODUCT(M17*T6)</f>
        <v>100.4802</v>
      </c>
      <c r="N18" s="416">
        <f>PRODUCT(N17*T7)</f>
        <v>67.546400000000006</v>
      </c>
      <c r="O18" s="416">
        <f>PRODUCT(O17*T8)</f>
        <v>306</v>
      </c>
      <c r="P18" s="468">
        <f>SUM(K18:O18)</f>
        <v>1147.7156</v>
      </c>
      <c r="R18"/>
      <c r="S18"/>
      <c r="T18"/>
      <c r="U18"/>
    </row>
    <row r="19" spans="1:21" ht="15.75" thickBot="1">
      <c r="A19" s="438" t="s">
        <v>16</v>
      </c>
      <c r="B19" s="435">
        <v>250</v>
      </c>
      <c r="C19" s="439">
        <f t="shared" si="0"/>
        <v>0</v>
      </c>
      <c r="D19" s="435">
        <v>250</v>
      </c>
      <c r="E19"/>
      <c r="J19" s="469" t="s">
        <v>528</v>
      </c>
      <c r="K19" s="470">
        <f>K17*S4</f>
        <v>3400</v>
      </c>
      <c r="L19" s="470">
        <f>L17*S5</f>
        <v>1500</v>
      </c>
      <c r="M19" s="470">
        <f>M17*S6</f>
        <v>1200</v>
      </c>
      <c r="N19" s="470">
        <f>N17*S7</f>
        <v>1000</v>
      </c>
      <c r="O19" s="470">
        <f>O17*S8</f>
        <v>5400</v>
      </c>
      <c r="P19" s="471">
        <f>SUM(K19:O19)</f>
        <v>12500</v>
      </c>
      <c r="R19"/>
      <c r="S19"/>
      <c r="T19"/>
      <c r="U19"/>
    </row>
    <row r="20" spans="1:21">
      <c r="A20" s="438" t="s">
        <v>17</v>
      </c>
      <c r="B20" s="435">
        <v>250</v>
      </c>
      <c r="C20" s="439">
        <f t="shared" si="0"/>
        <v>0</v>
      </c>
      <c r="D20" s="435">
        <v>250</v>
      </c>
      <c r="E20"/>
      <c r="K20" s="406"/>
      <c r="L20" s="343"/>
      <c r="M20" s="343"/>
      <c r="N20" s="343"/>
      <c r="O20" s="343"/>
      <c r="P20" s="343"/>
      <c r="Q20" s="412"/>
      <c r="R20"/>
      <c r="S20"/>
      <c r="T20"/>
      <c r="U20"/>
    </row>
    <row r="21" spans="1:21">
      <c r="A21" s="438" t="s">
        <v>18</v>
      </c>
      <c r="B21" s="435">
        <v>600</v>
      </c>
      <c r="C21" s="439">
        <f t="shared" si="0"/>
        <v>0</v>
      </c>
      <c r="D21" s="435">
        <v>600</v>
      </c>
      <c r="E21"/>
      <c r="K21" s="406"/>
      <c r="L21" s="410"/>
      <c r="M21" s="410"/>
      <c r="N21" s="410"/>
      <c r="O21" s="410"/>
      <c r="P21" s="410"/>
      <c r="Q21" s="406"/>
      <c r="R21"/>
      <c r="S21"/>
      <c r="T21"/>
      <c r="U21"/>
    </row>
    <row r="22" spans="1:21">
      <c r="A22" s="438" t="s">
        <v>19</v>
      </c>
      <c r="B22" s="435">
        <v>600</v>
      </c>
      <c r="C22" s="439">
        <f t="shared" si="0"/>
        <v>0</v>
      </c>
      <c r="D22" s="435">
        <v>600</v>
      </c>
      <c r="E22"/>
      <c r="K22" s="406"/>
      <c r="L22" s="410"/>
      <c r="M22" s="410"/>
      <c r="N22" s="410"/>
      <c r="O22" s="410"/>
      <c r="P22" s="410"/>
      <c r="Q22" s="406"/>
      <c r="R22"/>
      <c r="S22"/>
      <c r="T22"/>
      <c r="U22"/>
    </row>
    <row r="23" spans="1:21">
      <c r="A23" s="438" t="s">
        <v>20</v>
      </c>
      <c r="B23" s="435">
        <v>700</v>
      </c>
      <c r="C23" s="439">
        <f t="shared" si="0"/>
        <v>0</v>
      </c>
      <c r="D23" s="435">
        <v>700</v>
      </c>
      <c r="E23"/>
      <c r="K23" s="5"/>
      <c r="L23" s="5"/>
      <c r="M23" s="5"/>
      <c r="N23" s="5"/>
      <c r="R23"/>
      <c r="S23"/>
      <c r="T23"/>
      <c r="U23"/>
    </row>
    <row r="24" spans="1:21">
      <c r="A24" s="438" t="s">
        <v>21</v>
      </c>
      <c r="B24" s="435">
        <v>150</v>
      </c>
      <c r="C24" s="439">
        <f t="shared" si="0"/>
        <v>0</v>
      </c>
      <c r="D24" s="435">
        <v>150</v>
      </c>
      <c r="E24"/>
      <c r="K24" s="5"/>
      <c r="L24" s="5"/>
      <c r="M24" s="5"/>
      <c r="N24" s="5"/>
      <c r="R24"/>
      <c r="S24"/>
      <c r="T24"/>
      <c r="U24"/>
    </row>
    <row r="25" spans="1:21">
      <c r="A25" s="438" t="s">
        <v>22</v>
      </c>
      <c r="B25" s="435">
        <v>100</v>
      </c>
      <c r="C25" s="439">
        <f t="shared" si="0"/>
        <v>0</v>
      </c>
      <c r="D25" s="435">
        <v>100</v>
      </c>
      <c r="E25"/>
      <c r="K25" s="5"/>
      <c r="L25" s="5"/>
      <c r="M25" s="5"/>
      <c r="N25" s="5"/>
      <c r="R25"/>
      <c r="S25"/>
      <c r="T25"/>
      <c r="U25"/>
    </row>
    <row r="26" spans="1:21">
      <c r="A26" s="438" t="s">
        <v>23</v>
      </c>
      <c r="B26" s="435">
        <v>100</v>
      </c>
      <c r="C26" s="439">
        <f t="shared" si="0"/>
        <v>0</v>
      </c>
      <c r="D26" s="435">
        <v>100</v>
      </c>
      <c r="E26"/>
      <c r="K26" s="411"/>
      <c r="L26" s="411"/>
      <c r="M26" s="411"/>
      <c r="N26" s="411"/>
      <c r="O26" s="411"/>
      <c r="P26" s="411"/>
      <c r="Q26" s="411"/>
      <c r="R26"/>
      <c r="S26"/>
      <c r="T26"/>
      <c r="U26"/>
    </row>
    <row r="27" spans="1:21">
      <c r="A27" s="440" t="s">
        <v>24</v>
      </c>
      <c r="B27" s="435">
        <v>100</v>
      </c>
      <c r="C27" s="439">
        <f t="shared" si="0"/>
        <v>0</v>
      </c>
      <c r="D27" s="435">
        <v>100</v>
      </c>
      <c r="E27"/>
      <c r="K27" s="418"/>
      <c r="L27" s="418"/>
      <c r="M27" s="418"/>
      <c r="N27" s="418"/>
      <c r="O27" s="418"/>
      <c r="P27" s="418"/>
      <c r="Q27" s="418"/>
      <c r="R27"/>
      <c r="S27"/>
      <c r="T27"/>
      <c r="U27"/>
    </row>
    <row r="28" spans="1:21">
      <c r="A28" s="438" t="s">
        <v>25</v>
      </c>
      <c r="B28" s="435">
        <v>100</v>
      </c>
      <c r="C28" s="439">
        <f t="shared" si="0"/>
        <v>0</v>
      </c>
      <c r="D28" s="435">
        <v>100</v>
      </c>
      <c r="E28"/>
      <c r="K28" s="286"/>
      <c r="L28" s="407"/>
      <c r="M28" s="407"/>
      <c r="N28" s="407"/>
      <c r="O28" s="407"/>
      <c r="P28" s="407"/>
      <c r="Q28" s="407"/>
      <c r="R28"/>
      <c r="S28"/>
      <c r="T28"/>
      <c r="U28"/>
    </row>
    <row r="29" spans="1:21">
      <c r="A29" s="438" t="s">
        <v>26</v>
      </c>
      <c r="B29" s="435">
        <v>100</v>
      </c>
      <c r="C29" s="439">
        <f t="shared" si="0"/>
        <v>0</v>
      </c>
      <c r="D29" s="435">
        <v>100</v>
      </c>
      <c r="E29"/>
      <c r="K29" s="359"/>
      <c r="L29" s="360"/>
      <c r="M29" s="360"/>
      <c r="N29" s="360"/>
      <c r="O29" s="406"/>
      <c r="P29" s="406"/>
      <c r="Q29" s="406"/>
      <c r="R29"/>
      <c r="S29"/>
      <c r="T29"/>
      <c r="U29"/>
    </row>
    <row r="30" spans="1:21">
      <c r="A30" s="438" t="s">
        <v>27</v>
      </c>
      <c r="B30" s="435">
        <v>100</v>
      </c>
      <c r="C30" s="439">
        <f t="shared" si="0"/>
        <v>0</v>
      </c>
      <c r="D30" s="435">
        <v>100</v>
      </c>
      <c r="E30"/>
      <c r="K30" s="410"/>
      <c r="L30" s="341"/>
      <c r="M30" s="341"/>
      <c r="N30" s="341"/>
      <c r="O30" s="341"/>
      <c r="P30" s="343"/>
      <c r="Q30" s="410"/>
      <c r="R30"/>
      <c r="S30"/>
      <c r="T30"/>
      <c r="U30"/>
    </row>
    <row r="31" spans="1:21">
      <c r="A31" s="438" t="s">
        <v>28</v>
      </c>
      <c r="B31" s="435">
        <v>100</v>
      </c>
      <c r="C31" s="439">
        <f t="shared" si="0"/>
        <v>0</v>
      </c>
      <c r="D31" s="435">
        <v>100</v>
      </c>
      <c r="E31"/>
      <c r="K31" s="410"/>
      <c r="L31" s="341"/>
      <c r="M31" s="341"/>
      <c r="N31" s="341"/>
      <c r="O31" s="341"/>
      <c r="P31" s="343"/>
      <c r="Q31" s="410"/>
      <c r="R31"/>
      <c r="S31"/>
      <c r="T31"/>
      <c r="U31"/>
    </row>
    <row r="32" spans="1:21">
      <c r="A32" s="438" t="s">
        <v>29</v>
      </c>
      <c r="B32" s="435">
        <v>100</v>
      </c>
      <c r="C32" s="439">
        <f t="shared" si="0"/>
        <v>0</v>
      </c>
      <c r="D32" s="435">
        <v>100</v>
      </c>
      <c r="E32"/>
      <c r="K32" s="410"/>
      <c r="L32" s="341"/>
      <c r="M32" s="341"/>
      <c r="N32" s="341"/>
      <c r="O32" s="341"/>
      <c r="P32" s="341"/>
      <c r="Q32" s="410"/>
      <c r="R32"/>
      <c r="S32"/>
      <c r="T32"/>
      <c r="U32"/>
    </row>
    <row r="33" spans="1:21">
      <c r="A33" s="438" t="s">
        <v>30</v>
      </c>
      <c r="B33" s="435">
        <v>100</v>
      </c>
      <c r="C33" s="439">
        <f t="shared" si="0"/>
        <v>0</v>
      </c>
      <c r="D33" s="435">
        <v>100</v>
      </c>
      <c r="E33"/>
      <c r="K33" s="410"/>
      <c r="L33" s="341"/>
      <c r="M33" s="341"/>
      <c r="N33" s="341"/>
      <c r="O33" s="341"/>
      <c r="P33" s="343"/>
      <c r="Q33" s="410"/>
      <c r="R33"/>
      <c r="S33"/>
      <c r="T33"/>
      <c r="U33"/>
    </row>
    <row r="34" spans="1:21" ht="15.75" thickBot="1">
      <c r="A34" s="440" t="s">
        <v>31</v>
      </c>
      <c r="B34" s="441">
        <v>100</v>
      </c>
      <c r="C34" s="442">
        <f t="shared" si="0"/>
        <v>0</v>
      </c>
      <c r="D34" s="441">
        <v>100</v>
      </c>
      <c r="E34"/>
      <c r="K34" s="410"/>
      <c r="L34" s="341"/>
      <c r="M34" s="341"/>
      <c r="N34" s="341"/>
      <c r="O34" s="341"/>
      <c r="P34" s="341"/>
      <c r="Q34" s="410"/>
      <c r="R34"/>
      <c r="S34"/>
      <c r="T34"/>
      <c r="U34"/>
    </row>
    <row r="35" spans="1:21" ht="15.75" thickBot="1">
      <c r="A35" s="443" t="s">
        <v>567</v>
      </c>
      <c r="B35" s="444">
        <f>SUM(B4:B34)</f>
        <v>6250</v>
      </c>
      <c r="C35" s="444">
        <f>SUM(C4:C34)</f>
        <v>0</v>
      </c>
      <c r="D35" s="445">
        <f>SUM(D4:D34)</f>
        <v>6250</v>
      </c>
      <c r="K35" s="410"/>
      <c r="L35" s="341"/>
      <c r="M35" s="341"/>
      <c r="N35" s="341"/>
      <c r="O35" s="341"/>
      <c r="P35" s="341"/>
      <c r="Q35" s="410"/>
    </row>
    <row r="36" spans="1:21">
      <c r="K36" s="410"/>
      <c r="L36" s="341"/>
      <c r="M36" s="341"/>
      <c r="N36" s="341"/>
      <c r="O36" s="341"/>
      <c r="P36" s="341"/>
      <c r="Q36" s="410"/>
    </row>
    <row r="37" spans="1:21">
      <c r="K37" s="410"/>
      <c r="L37" s="341"/>
      <c r="M37" s="341"/>
      <c r="N37" s="341"/>
      <c r="O37" s="341"/>
      <c r="P37" s="343"/>
      <c r="Q37" s="410"/>
    </row>
    <row r="38" spans="1:21">
      <c r="K38" s="410"/>
      <c r="L38" s="341"/>
      <c r="M38" s="343"/>
      <c r="N38" s="341"/>
      <c r="O38" s="341"/>
      <c r="P38" s="343"/>
      <c r="Q38" s="410"/>
    </row>
    <row r="39" spans="1:21">
      <c r="K39" s="410"/>
      <c r="L39" s="341"/>
      <c r="M39" s="341"/>
      <c r="N39" s="341"/>
      <c r="O39" s="343"/>
      <c r="P39" s="343"/>
      <c r="Q39" s="410"/>
    </row>
    <row r="40" spans="1:21">
      <c r="K40" s="410"/>
      <c r="L40" s="341"/>
      <c r="M40" s="341"/>
      <c r="N40" s="343"/>
      <c r="O40" s="343"/>
      <c r="P40" s="343"/>
      <c r="Q40" s="410"/>
    </row>
    <row r="41" spans="1:21">
      <c r="K41" s="410"/>
      <c r="L41" s="341"/>
      <c r="M41" s="343"/>
      <c r="N41" s="343"/>
      <c r="O41" s="343"/>
      <c r="P41" s="343"/>
      <c r="Q41" s="410"/>
    </row>
    <row r="42" spans="1:21">
      <c r="K42" s="406"/>
      <c r="L42" s="343"/>
      <c r="M42" s="343"/>
      <c r="N42" s="343"/>
      <c r="O42" s="343"/>
      <c r="P42" s="343"/>
      <c r="Q42" s="412"/>
    </row>
    <row r="43" spans="1:21">
      <c r="K43" s="406"/>
      <c r="L43" s="410"/>
      <c r="M43" s="410"/>
      <c r="N43" s="410"/>
      <c r="O43" s="410"/>
      <c r="P43" s="410"/>
      <c r="Q43" s="406"/>
    </row>
    <row r="44" spans="1:21">
      <c r="K44" s="406"/>
      <c r="L44" s="410"/>
      <c r="M44" s="410"/>
      <c r="N44" s="410"/>
      <c r="O44" s="410"/>
      <c r="P44" s="410"/>
      <c r="Q44" s="406"/>
    </row>
    <row r="45" spans="1:21">
      <c r="K45" s="286"/>
      <c r="L45" s="286"/>
      <c r="M45" s="286"/>
      <c r="N45" s="286"/>
      <c r="O45" s="411"/>
      <c r="P45" s="411"/>
      <c r="Q45" s="411"/>
    </row>
  </sheetData>
  <mergeCells count="3">
    <mergeCell ref="A1:D2"/>
    <mergeCell ref="J3:P3"/>
    <mergeCell ref="F3:H3"/>
  </mergeCells>
  <conditionalFormatting sqref="P5:P16">
    <cfRule type="cellIs" dxfId="8" priority="3" operator="greaterThan">
      <formula>0</formula>
    </cfRule>
  </conditionalFormatting>
  <conditionalFormatting sqref="L30:Q41">
    <cfRule type="cellIs" dxfId="7" priority="5" operator="greaterThan">
      <formula>0</formula>
    </cfRule>
  </conditionalFormatting>
  <conditionalFormatting sqref="K5:O16">
    <cfRule type="cellIs" dxfId="6" priority="1" operator="greaterThan">
      <formula>0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5"/>
  <sheetViews>
    <sheetView zoomScale="70" zoomScaleNormal="70" workbookViewId="0">
      <selection activeCell="L42" sqref="L42"/>
    </sheetView>
  </sheetViews>
  <sheetFormatPr defaultRowHeight="15"/>
  <cols>
    <col min="1" max="1" width="17.140625" customWidth="1"/>
    <col min="2" max="2" width="28.7109375" customWidth="1"/>
    <col min="3" max="3" width="22" customWidth="1"/>
    <col min="4" max="4" width="29.5703125" customWidth="1"/>
    <col min="6" max="6" width="16.7109375" customWidth="1"/>
    <col min="7" max="7" width="28.140625" style="402" customWidth="1"/>
    <col min="8" max="8" width="39.85546875" style="397" customWidth="1"/>
    <col min="9" max="9" width="31.7109375" style="401" customWidth="1"/>
    <col min="12" max="12" width="21.28515625" customWidth="1"/>
    <col min="13" max="13" width="17.85546875" customWidth="1"/>
  </cols>
  <sheetData>
    <row r="1" spans="1:22">
      <c r="A1" s="566" t="s">
        <v>568</v>
      </c>
      <c r="B1" s="567"/>
      <c r="C1" s="567"/>
      <c r="D1" s="568"/>
      <c r="G1"/>
      <c r="H1"/>
      <c r="I1"/>
    </row>
    <row r="2" spans="1:22" ht="15.75" thickBot="1">
      <c r="A2" s="569"/>
      <c r="B2" s="570"/>
      <c r="C2" s="570"/>
      <c r="D2" s="571"/>
      <c r="G2"/>
      <c r="H2"/>
      <c r="I2"/>
    </row>
    <row r="3" spans="1:22" ht="67.5" customHeight="1" thickBot="1">
      <c r="A3" s="451" t="s">
        <v>390</v>
      </c>
      <c r="B3" s="453" t="s">
        <v>523</v>
      </c>
      <c r="C3" s="454" t="s">
        <v>525</v>
      </c>
      <c r="D3" s="455" t="s">
        <v>524</v>
      </c>
      <c r="G3" s="572" t="s">
        <v>529</v>
      </c>
      <c r="H3" s="573"/>
      <c r="I3" s="574"/>
      <c r="L3" s="584" t="s">
        <v>529</v>
      </c>
      <c r="M3" s="585"/>
      <c r="N3" s="585"/>
      <c r="O3" s="585"/>
      <c r="P3" s="585"/>
      <c r="Q3" s="585"/>
      <c r="R3" s="586"/>
      <c r="S3" s="5"/>
      <c r="T3" s="5"/>
      <c r="U3" s="5"/>
      <c r="V3" s="5"/>
    </row>
    <row r="4" spans="1:22">
      <c r="A4" s="438" t="s">
        <v>0</v>
      </c>
      <c r="B4" s="457">
        <v>335.78823749999998</v>
      </c>
      <c r="C4" s="456">
        <f>D4-B4</f>
        <v>0</v>
      </c>
      <c r="D4" s="457">
        <v>335.78823749999998</v>
      </c>
      <c r="G4" s="90"/>
      <c r="H4"/>
      <c r="I4" s="99"/>
      <c r="L4" s="336" t="s">
        <v>470</v>
      </c>
      <c r="M4" s="338" t="s">
        <v>471</v>
      </c>
      <c r="N4" s="338" t="s">
        <v>472</v>
      </c>
      <c r="O4" s="338" t="s">
        <v>473</v>
      </c>
      <c r="P4" s="338" t="s">
        <v>474</v>
      </c>
      <c r="Q4" s="339" t="s">
        <v>527</v>
      </c>
      <c r="R4" s="340" t="s">
        <v>418</v>
      </c>
      <c r="S4" s="5"/>
      <c r="T4" s="5"/>
      <c r="U4" s="5"/>
      <c r="V4" s="5"/>
    </row>
    <row r="5" spans="1:22">
      <c r="A5" s="438" t="s">
        <v>2</v>
      </c>
      <c r="B5" s="457">
        <v>68.006750000000011</v>
      </c>
      <c r="C5" s="456">
        <f>D5-B5</f>
        <v>0</v>
      </c>
      <c r="D5" s="457">
        <v>68.006749999999997</v>
      </c>
      <c r="G5" s="138" t="s">
        <v>390</v>
      </c>
      <c r="H5" s="137" t="s">
        <v>389</v>
      </c>
      <c r="I5" s="136" t="s">
        <v>388</v>
      </c>
      <c r="L5" s="60" t="s">
        <v>84</v>
      </c>
      <c r="M5" s="343">
        <v>0</v>
      </c>
      <c r="N5" s="343">
        <v>0</v>
      </c>
      <c r="O5" s="343">
        <v>0</v>
      </c>
      <c r="P5" s="342">
        <v>0</v>
      </c>
      <c r="Q5" s="343">
        <v>0</v>
      </c>
      <c r="R5" s="344">
        <f>SUM(M5:Q5)</f>
        <v>0</v>
      </c>
      <c r="S5" s="5"/>
      <c r="T5" s="5"/>
      <c r="U5" s="5"/>
      <c r="V5" s="5"/>
    </row>
    <row r="6" spans="1:22">
      <c r="A6" s="438" t="s">
        <v>3</v>
      </c>
      <c r="B6" s="457">
        <v>34.433999999999997</v>
      </c>
      <c r="C6" s="456">
        <f t="shared" ref="C6:C34" si="0">D6-B6</f>
        <v>0</v>
      </c>
      <c r="D6" s="457">
        <v>34.433999999999997</v>
      </c>
      <c r="G6" s="398" t="s">
        <v>5</v>
      </c>
      <c r="H6" s="483">
        <v>23</v>
      </c>
      <c r="I6" s="487">
        <f>(H6/163)*100</f>
        <v>14.110429447852759</v>
      </c>
      <c r="L6" s="60" t="s">
        <v>85</v>
      </c>
      <c r="M6" s="343">
        <v>0</v>
      </c>
      <c r="N6" s="343">
        <v>0</v>
      </c>
      <c r="O6" s="343">
        <v>0</v>
      </c>
      <c r="P6" s="341">
        <v>0</v>
      </c>
      <c r="Q6" s="343">
        <v>0</v>
      </c>
      <c r="R6" s="60">
        <f t="shared" ref="R6:R16" si="1">SUM(M6:Q6)</f>
        <v>0</v>
      </c>
      <c r="S6" s="5"/>
      <c r="T6" s="5"/>
      <c r="U6" s="5"/>
      <c r="V6" s="5"/>
    </row>
    <row r="7" spans="1:22">
      <c r="A7" s="438" t="s">
        <v>4</v>
      </c>
      <c r="B7" s="457">
        <v>86.325750000000014</v>
      </c>
      <c r="C7" s="456">
        <f t="shared" si="0"/>
        <v>0</v>
      </c>
      <c r="D7" s="457">
        <v>86.325750000000014</v>
      </c>
      <c r="G7" s="398" t="s">
        <v>11</v>
      </c>
      <c r="H7" s="483">
        <v>3</v>
      </c>
      <c r="I7" s="487">
        <f>(H7/110)*100</f>
        <v>2.7272727272727271</v>
      </c>
      <c r="L7" s="60" t="s">
        <v>86</v>
      </c>
      <c r="M7" s="343">
        <v>0</v>
      </c>
      <c r="N7" s="343">
        <v>0</v>
      </c>
      <c r="O7" s="343">
        <v>0</v>
      </c>
      <c r="P7" s="341">
        <v>0</v>
      </c>
      <c r="Q7" s="343">
        <v>0</v>
      </c>
      <c r="R7" s="60">
        <f t="shared" si="1"/>
        <v>0</v>
      </c>
      <c r="S7" s="5"/>
      <c r="T7" s="405" t="s">
        <v>476</v>
      </c>
      <c r="U7" s="405" t="s">
        <v>477</v>
      </c>
      <c r="V7" s="345" t="s">
        <v>478</v>
      </c>
    </row>
    <row r="8" spans="1:22">
      <c r="A8" s="438" t="s">
        <v>5</v>
      </c>
      <c r="B8" s="457">
        <v>163.30600000000001</v>
      </c>
      <c r="C8" s="456">
        <f t="shared" si="0"/>
        <v>22.574599999999975</v>
      </c>
      <c r="D8" s="457">
        <v>185.88059999999999</v>
      </c>
      <c r="G8" s="398" t="s">
        <v>12</v>
      </c>
      <c r="H8" s="483">
        <v>40</v>
      </c>
      <c r="I8" s="487">
        <f>(H8/151)*100</f>
        <v>26.490066225165563</v>
      </c>
      <c r="L8" s="60" t="s">
        <v>87</v>
      </c>
      <c r="M8" s="343">
        <v>0</v>
      </c>
      <c r="N8" s="343">
        <v>0</v>
      </c>
      <c r="O8" s="343">
        <v>0</v>
      </c>
      <c r="P8" s="341">
        <v>0</v>
      </c>
      <c r="Q8" s="343">
        <v>0</v>
      </c>
      <c r="R8" s="60">
        <f t="shared" si="1"/>
        <v>0</v>
      </c>
      <c r="S8" s="5"/>
      <c r="T8" s="61" t="s">
        <v>471</v>
      </c>
      <c r="U8" s="61">
        <v>100</v>
      </c>
      <c r="V8" s="62">
        <v>15</v>
      </c>
    </row>
    <row r="9" spans="1:22">
      <c r="A9" s="438" t="s">
        <v>6</v>
      </c>
      <c r="B9" s="457">
        <v>247.916</v>
      </c>
      <c r="C9" s="456">
        <f t="shared" si="0"/>
        <v>0</v>
      </c>
      <c r="D9" s="457">
        <v>247.916</v>
      </c>
      <c r="G9" s="398" t="s">
        <v>14</v>
      </c>
      <c r="H9" s="483">
        <v>58</v>
      </c>
      <c r="I9" s="487">
        <f>(H9/357)*100</f>
        <v>16.246498599439775</v>
      </c>
      <c r="L9" s="60" t="s">
        <v>88</v>
      </c>
      <c r="M9" s="343">
        <v>0</v>
      </c>
      <c r="N9" s="343">
        <v>0</v>
      </c>
      <c r="O9" s="343">
        <v>0</v>
      </c>
      <c r="P9" s="341">
        <v>0</v>
      </c>
      <c r="Q9" s="343">
        <v>0</v>
      </c>
      <c r="R9" s="60">
        <f t="shared" si="1"/>
        <v>0</v>
      </c>
      <c r="S9" s="410"/>
      <c r="T9" s="346" t="s">
        <v>472</v>
      </c>
      <c r="U9" s="346">
        <v>150</v>
      </c>
      <c r="V9" s="60">
        <v>16.3689</v>
      </c>
    </row>
    <row r="10" spans="1:22">
      <c r="A10" s="438" t="s">
        <v>7</v>
      </c>
      <c r="B10" s="457">
        <v>151.21674999999999</v>
      </c>
      <c r="C10" s="456">
        <f t="shared" si="0"/>
        <v>0</v>
      </c>
      <c r="D10" s="457">
        <v>151.21674999999999</v>
      </c>
      <c r="G10" s="398" t="s">
        <v>16</v>
      </c>
      <c r="H10" s="483">
        <v>55</v>
      </c>
      <c r="I10" s="487">
        <f>(H10/149)*100</f>
        <v>36.912751677852349</v>
      </c>
      <c r="L10" s="60" t="s">
        <v>89</v>
      </c>
      <c r="M10" s="343">
        <v>0</v>
      </c>
      <c r="N10" s="343">
        <v>0</v>
      </c>
      <c r="O10" s="343">
        <v>0</v>
      </c>
      <c r="P10" s="341">
        <v>0</v>
      </c>
      <c r="Q10" s="343">
        <v>0</v>
      </c>
      <c r="R10" s="60">
        <f t="shared" si="1"/>
        <v>0</v>
      </c>
      <c r="S10" s="406"/>
      <c r="T10" s="346" t="s">
        <v>473</v>
      </c>
      <c r="U10" s="346">
        <v>200</v>
      </c>
      <c r="V10" s="60">
        <v>16.746700000000001</v>
      </c>
    </row>
    <row r="11" spans="1:22">
      <c r="A11" s="438" t="s">
        <v>8</v>
      </c>
      <c r="B11" s="457">
        <v>158.31892857142859</v>
      </c>
      <c r="C11" s="456">
        <f t="shared" si="0"/>
        <v>0</v>
      </c>
      <c r="D11" s="457">
        <v>158.31892857142859</v>
      </c>
      <c r="G11" s="398" t="s">
        <v>19</v>
      </c>
      <c r="H11" s="483">
        <v>192</v>
      </c>
      <c r="I11" s="487">
        <f>(H11/385)*100</f>
        <v>49.870129870129873</v>
      </c>
      <c r="L11" s="60" t="s">
        <v>90</v>
      </c>
      <c r="M11" s="343">
        <v>0</v>
      </c>
      <c r="N11" s="343">
        <v>0</v>
      </c>
      <c r="O11" s="343">
        <v>0</v>
      </c>
      <c r="P11" s="341">
        <v>0</v>
      </c>
      <c r="Q11" s="343">
        <v>0</v>
      </c>
      <c r="R11" s="60">
        <f t="shared" si="1"/>
        <v>0</v>
      </c>
      <c r="S11" s="406"/>
      <c r="T11" s="346" t="s">
        <v>474</v>
      </c>
      <c r="U11" s="346">
        <v>250</v>
      </c>
      <c r="V11" s="60">
        <v>16.886600000000001</v>
      </c>
    </row>
    <row r="12" spans="1:22">
      <c r="A12" s="438" t="s">
        <v>9</v>
      </c>
      <c r="B12" s="457">
        <v>135.6959285714286</v>
      </c>
      <c r="C12" s="456">
        <f t="shared" si="0"/>
        <v>0</v>
      </c>
      <c r="D12" s="457">
        <v>135.6959285714286</v>
      </c>
      <c r="G12" s="398" t="s">
        <v>20</v>
      </c>
      <c r="H12" s="483">
        <v>227</v>
      </c>
      <c r="I12" s="487">
        <f>(H12/463)*100</f>
        <v>49.028077753779698</v>
      </c>
      <c r="L12" s="60" t="s">
        <v>91</v>
      </c>
      <c r="M12" s="343">
        <v>0</v>
      </c>
      <c r="N12" s="343">
        <v>0</v>
      </c>
      <c r="O12" s="343">
        <v>0</v>
      </c>
      <c r="P12" s="343">
        <v>0</v>
      </c>
      <c r="Q12" s="343">
        <v>0</v>
      </c>
      <c r="R12" s="60">
        <f t="shared" si="1"/>
        <v>0</v>
      </c>
      <c r="S12" s="410"/>
      <c r="T12" s="347" t="s">
        <v>527</v>
      </c>
      <c r="U12" s="347">
        <v>300</v>
      </c>
      <c r="V12" s="326">
        <v>17</v>
      </c>
    </row>
    <row r="13" spans="1:22">
      <c r="A13" s="438" t="s">
        <v>10</v>
      </c>
      <c r="B13" s="457">
        <v>121.55875</v>
      </c>
      <c r="C13" s="456">
        <f t="shared" si="0"/>
        <v>0</v>
      </c>
      <c r="D13" s="457">
        <v>121.55875</v>
      </c>
      <c r="G13" s="398" t="s">
        <v>21</v>
      </c>
      <c r="H13" s="483">
        <v>33</v>
      </c>
      <c r="I13" s="487">
        <f>(H13/103)*100</f>
        <v>32.038834951456316</v>
      </c>
      <c r="L13" s="60" t="s">
        <v>92</v>
      </c>
      <c r="M13" s="343">
        <v>0</v>
      </c>
      <c r="N13" s="343">
        <v>0</v>
      </c>
      <c r="O13" s="343">
        <v>0</v>
      </c>
      <c r="P13" s="343">
        <v>0</v>
      </c>
      <c r="Q13" s="343">
        <v>0</v>
      </c>
      <c r="R13" s="60">
        <f t="shared" si="1"/>
        <v>0</v>
      </c>
      <c r="S13" s="410"/>
      <c r="T13" s="410"/>
      <c r="U13" s="410"/>
      <c r="V13" s="5"/>
    </row>
    <row r="14" spans="1:22" ht="15.75" thickBot="1">
      <c r="A14" s="438" t="s">
        <v>11</v>
      </c>
      <c r="B14" s="457">
        <v>109.7475</v>
      </c>
      <c r="C14" s="456">
        <f t="shared" si="0"/>
        <v>3.2722499999999997</v>
      </c>
      <c r="D14" s="457">
        <v>113.01975</v>
      </c>
      <c r="G14" s="398" t="s">
        <v>22</v>
      </c>
      <c r="H14" s="483">
        <v>17</v>
      </c>
      <c r="I14" s="487">
        <f>(H14/43)*100</f>
        <v>39.534883720930232</v>
      </c>
      <c r="L14" s="60" t="s">
        <v>93</v>
      </c>
      <c r="M14" s="343">
        <v>0</v>
      </c>
      <c r="N14" s="343">
        <v>0</v>
      </c>
      <c r="O14" s="343">
        <v>0</v>
      </c>
      <c r="P14" s="343">
        <v>0</v>
      </c>
      <c r="Q14" s="343">
        <v>0</v>
      </c>
      <c r="R14" s="60">
        <f t="shared" si="1"/>
        <v>0</v>
      </c>
      <c r="S14" s="410"/>
      <c r="T14" s="410"/>
      <c r="U14" s="410"/>
      <c r="V14" s="5"/>
    </row>
    <row r="15" spans="1:22">
      <c r="A15" s="438" t="s">
        <v>12</v>
      </c>
      <c r="B15" s="457">
        <v>151.22493750000001</v>
      </c>
      <c r="C15" s="456">
        <f t="shared" si="0"/>
        <v>39.801729166666604</v>
      </c>
      <c r="D15" s="457">
        <v>191.02666666666661</v>
      </c>
      <c r="G15" s="399" t="s">
        <v>418</v>
      </c>
      <c r="H15" s="484">
        <f>SUM(H6:H14)</f>
        <v>648</v>
      </c>
      <c r="I15" s="485"/>
      <c r="L15" s="60" t="s">
        <v>94</v>
      </c>
      <c r="M15" s="343">
        <v>0</v>
      </c>
      <c r="N15" s="343">
        <v>0</v>
      </c>
      <c r="O15" s="343">
        <v>0</v>
      </c>
      <c r="P15" s="343">
        <v>0</v>
      </c>
      <c r="Q15" s="343">
        <v>0</v>
      </c>
      <c r="R15" s="60">
        <f t="shared" si="1"/>
        <v>0</v>
      </c>
      <c r="S15" s="18"/>
      <c r="T15" s="18"/>
      <c r="U15" s="410"/>
      <c r="V15" s="5"/>
    </row>
    <row r="16" spans="1:22" ht="15.75" thickBot="1">
      <c r="A16" s="438" t="s">
        <v>13</v>
      </c>
      <c r="B16" s="457">
        <v>16.5885</v>
      </c>
      <c r="C16" s="456">
        <f t="shared" si="0"/>
        <v>0</v>
      </c>
      <c r="D16" s="457">
        <v>16.5885</v>
      </c>
      <c r="G16" s="488" t="s">
        <v>365</v>
      </c>
      <c r="H16" s="489">
        <f>H15/4860</f>
        <v>0.13333333333333333</v>
      </c>
      <c r="I16" s="403"/>
      <c r="L16" s="326" t="s">
        <v>469</v>
      </c>
      <c r="M16" s="348">
        <v>0</v>
      </c>
      <c r="N16" s="348">
        <v>0</v>
      </c>
      <c r="O16" s="348">
        <v>0</v>
      </c>
      <c r="P16" s="348">
        <v>0</v>
      </c>
      <c r="Q16" s="348">
        <v>0</v>
      </c>
      <c r="R16" s="326">
        <f t="shared" si="1"/>
        <v>0</v>
      </c>
      <c r="S16" s="410"/>
      <c r="U16" s="410"/>
      <c r="V16" s="5"/>
    </row>
    <row r="17" spans="1:23">
      <c r="A17" s="438" t="s">
        <v>14</v>
      </c>
      <c r="B17" s="457">
        <v>357.20749999999998</v>
      </c>
      <c r="C17" s="456">
        <f t="shared" si="0"/>
        <v>57.5625</v>
      </c>
      <c r="D17" s="457">
        <v>414.77</v>
      </c>
      <c r="G17"/>
      <c r="H17"/>
      <c r="I17" s="286"/>
      <c r="J17" s="286"/>
      <c r="L17" s="340" t="s">
        <v>479</v>
      </c>
      <c r="M17" s="349">
        <f t="shared" ref="M17:R17" si="2">SUM(M5:M16)</f>
        <v>0</v>
      </c>
      <c r="N17" s="349">
        <f t="shared" si="2"/>
        <v>0</v>
      </c>
      <c r="O17" s="349">
        <f t="shared" si="2"/>
        <v>0</v>
      </c>
      <c r="P17" s="349">
        <f t="shared" si="2"/>
        <v>0</v>
      </c>
      <c r="Q17" s="349">
        <f t="shared" si="2"/>
        <v>0</v>
      </c>
      <c r="R17" s="350">
        <f t="shared" si="2"/>
        <v>0</v>
      </c>
      <c r="S17" s="410"/>
      <c r="U17" s="410"/>
      <c r="V17" s="5"/>
    </row>
    <row r="18" spans="1:23">
      <c r="A18" s="438" t="s">
        <v>15</v>
      </c>
      <c r="B18" s="457">
        <v>227.2310714285714</v>
      </c>
      <c r="C18" s="456">
        <f t="shared" si="0"/>
        <v>0</v>
      </c>
      <c r="D18" s="457">
        <v>227.23107142857151</v>
      </c>
      <c r="G18"/>
      <c r="H18"/>
      <c r="I18" s="286"/>
      <c r="J18" s="286"/>
      <c r="L18" s="340" t="s">
        <v>478</v>
      </c>
      <c r="M18" s="351">
        <f>PRODUCT(M17*V8)</f>
        <v>0</v>
      </c>
      <c r="N18" s="351">
        <f>PRODUCT(N17*V9)</f>
        <v>0</v>
      </c>
      <c r="O18" s="351">
        <f>PRODUCT(O17*V10)</f>
        <v>0</v>
      </c>
      <c r="P18" s="351">
        <f>PRODUCT(P17*V11)</f>
        <v>0</v>
      </c>
      <c r="Q18" s="351">
        <f>PRODUCT(Q17*V12)</f>
        <v>0</v>
      </c>
      <c r="R18" s="340">
        <f>SUM(M18:Q18)</f>
        <v>0</v>
      </c>
      <c r="S18" s="410"/>
      <c r="U18" s="410"/>
      <c r="V18" s="5"/>
    </row>
    <row r="19" spans="1:23">
      <c r="A19" s="438" t="s">
        <v>16</v>
      </c>
      <c r="B19" s="457">
        <v>149.11063095238089</v>
      </c>
      <c r="C19" s="456">
        <f t="shared" si="0"/>
        <v>54.879369047619122</v>
      </c>
      <c r="D19" s="457">
        <v>203.99</v>
      </c>
      <c r="G19"/>
      <c r="H19"/>
      <c r="I19" s="286"/>
      <c r="J19" s="286"/>
      <c r="L19" s="340" t="s">
        <v>477</v>
      </c>
      <c r="M19" s="351">
        <f>M17*U8</f>
        <v>0</v>
      </c>
      <c r="N19" s="351">
        <f>N17*U9</f>
        <v>0</v>
      </c>
      <c r="O19" s="351">
        <f>O17*U10</f>
        <v>0</v>
      </c>
      <c r="P19" s="351">
        <f>P17*U11</f>
        <v>0</v>
      </c>
      <c r="Q19" s="351">
        <f>Q17*U12</f>
        <v>0</v>
      </c>
      <c r="R19" s="340">
        <f>SUM(M19:Q19)</f>
        <v>0</v>
      </c>
      <c r="S19" s="410"/>
      <c r="U19" s="410"/>
      <c r="V19" s="5"/>
    </row>
    <row r="20" spans="1:23">
      <c r="A20" s="438" t="s">
        <v>17</v>
      </c>
      <c r="B20" s="457">
        <v>242.68600000000001</v>
      </c>
      <c r="C20" s="456">
        <f t="shared" si="0"/>
        <v>0</v>
      </c>
      <c r="D20" s="457">
        <v>242.68600000000001</v>
      </c>
      <c r="G20"/>
      <c r="H20"/>
      <c r="I20" s="286"/>
      <c r="J20" s="286"/>
    </row>
    <row r="21" spans="1:23">
      <c r="A21" s="438" t="s">
        <v>18</v>
      </c>
      <c r="B21" s="457">
        <v>633.36755952380952</v>
      </c>
      <c r="C21" s="456">
        <f t="shared" si="0"/>
        <v>0</v>
      </c>
      <c r="D21" s="457">
        <v>633.36755952380952</v>
      </c>
      <c r="G21"/>
      <c r="H21"/>
      <c r="I21" s="286"/>
      <c r="J21" s="286"/>
    </row>
    <row r="22" spans="1:23">
      <c r="A22" s="438" t="s">
        <v>19</v>
      </c>
      <c r="B22" s="457">
        <v>385.21704999999997</v>
      </c>
      <c r="C22" s="456">
        <f t="shared" si="0"/>
        <v>192.28461666666681</v>
      </c>
      <c r="D22" s="457">
        <v>577.50166666666678</v>
      </c>
      <c r="G22"/>
      <c r="H22"/>
      <c r="I22" s="286"/>
      <c r="J22" s="286"/>
    </row>
    <row r="23" spans="1:23">
      <c r="A23" s="438" t="s">
        <v>20</v>
      </c>
      <c r="B23" s="457">
        <v>462.59024999999991</v>
      </c>
      <c r="C23" s="456">
        <f t="shared" si="0"/>
        <v>227.31308333333328</v>
      </c>
      <c r="D23" s="457">
        <v>689.90333333333319</v>
      </c>
      <c r="G23"/>
      <c r="H23"/>
      <c r="I23" s="286"/>
      <c r="J23" s="286"/>
    </row>
    <row r="24" spans="1:23">
      <c r="A24" s="438" t="s">
        <v>21</v>
      </c>
      <c r="B24" s="457">
        <v>102.59</v>
      </c>
      <c r="C24" s="456">
        <f t="shared" si="0"/>
        <v>32.51400000000001</v>
      </c>
      <c r="D24" s="457">
        <v>135.10400000000001</v>
      </c>
      <c r="G24"/>
      <c r="H24"/>
      <c r="I24" s="286"/>
      <c r="J24" s="286"/>
    </row>
    <row r="25" spans="1:23">
      <c r="A25" s="438" t="s">
        <v>22</v>
      </c>
      <c r="B25" s="457">
        <v>42.978071428571432</v>
      </c>
      <c r="C25" s="456">
        <f t="shared" si="0"/>
        <v>16.95609523809523</v>
      </c>
      <c r="D25" s="457">
        <v>59.934166666666663</v>
      </c>
      <c r="G25"/>
      <c r="H25"/>
      <c r="I25" s="286"/>
      <c r="J25" s="286"/>
      <c r="L25" s="422"/>
      <c r="M25" s="422"/>
      <c r="N25" s="422"/>
      <c r="O25" s="422"/>
      <c r="P25" s="422"/>
      <c r="Q25" s="422"/>
      <c r="R25" s="422"/>
      <c r="S25" s="411"/>
      <c r="T25" s="411"/>
      <c r="U25" s="411"/>
      <c r="V25" s="411"/>
      <c r="W25" s="286"/>
    </row>
    <row r="26" spans="1:23">
      <c r="A26" s="438" t="s">
        <v>23</v>
      </c>
      <c r="B26" s="457">
        <v>16.402571428571431</v>
      </c>
      <c r="C26" s="456">
        <f t="shared" si="0"/>
        <v>0</v>
      </c>
      <c r="D26" s="457">
        <v>16.402571428571431</v>
      </c>
      <c r="G26"/>
      <c r="H26"/>
      <c r="I26" s="286"/>
      <c r="J26" s="286"/>
      <c r="L26" s="359"/>
      <c r="M26" s="360"/>
      <c r="N26" s="360"/>
      <c r="O26" s="360"/>
      <c r="P26" s="406"/>
      <c r="Q26" s="406"/>
      <c r="R26" s="406"/>
      <c r="S26" s="411"/>
      <c r="T26" s="411"/>
      <c r="U26" s="411"/>
      <c r="V26" s="411"/>
      <c r="W26" s="286"/>
    </row>
    <row r="27" spans="1:23">
      <c r="A27" s="438" t="s">
        <v>24</v>
      </c>
      <c r="B27" s="457">
        <v>41.497500000000002</v>
      </c>
      <c r="C27" s="456">
        <f t="shared" si="0"/>
        <v>0</v>
      </c>
      <c r="D27" s="457">
        <v>41.497500000000002</v>
      </c>
      <c r="G27"/>
      <c r="H27"/>
      <c r="I27" s="286"/>
      <c r="J27" s="286"/>
      <c r="L27" s="410"/>
      <c r="M27" s="341"/>
      <c r="N27" s="341"/>
      <c r="O27" s="341"/>
      <c r="P27" s="341"/>
      <c r="Q27" s="343"/>
      <c r="R27" s="410"/>
      <c r="S27" s="411"/>
      <c r="T27" s="411"/>
      <c r="U27" s="411"/>
      <c r="V27" s="411"/>
      <c r="W27" s="286"/>
    </row>
    <row r="28" spans="1:23">
      <c r="A28" s="438" t="s">
        <v>25</v>
      </c>
      <c r="B28" s="457">
        <v>52.159500000000008</v>
      </c>
      <c r="C28" s="456">
        <f t="shared" si="0"/>
        <v>0</v>
      </c>
      <c r="D28" s="457">
        <v>52.159500000000008</v>
      </c>
      <c r="G28"/>
      <c r="H28"/>
      <c r="I28" s="286"/>
      <c r="J28" s="286"/>
      <c r="L28" s="410"/>
      <c r="M28" s="341"/>
      <c r="N28" s="341"/>
      <c r="O28" s="341"/>
      <c r="P28" s="341"/>
      <c r="Q28" s="343"/>
      <c r="R28" s="410"/>
      <c r="S28" s="411"/>
      <c r="T28" s="411"/>
      <c r="U28" s="411"/>
      <c r="V28" s="411"/>
      <c r="W28" s="286"/>
    </row>
    <row r="29" spans="1:23">
      <c r="A29" s="438" t="s">
        <v>26</v>
      </c>
      <c r="B29" s="457">
        <v>52.518000000000001</v>
      </c>
      <c r="C29" s="456">
        <f t="shared" si="0"/>
        <v>0</v>
      </c>
      <c r="D29" s="457">
        <v>52.518000000000001</v>
      </c>
      <c r="G29"/>
      <c r="H29"/>
      <c r="I29" s="286"/>
      <c r="J29" s="286"/>
      <c r="L29" s="410"/>
      <c r="M29" s="341"/>
      <c r="N29" s="341"/>
      <c r="O29" s="341"/>
      <c r="P29" s="341"/>
      <c r="Q29" s="343"/>
      <c r="R29" s="410"/>
      <c r="S29" s="411"/>
      <c r="T29" s="407"/>
      <c r="U29" s="407"/>
      <c r="V29" s="407"/>
      <c r="W29" s="286"/>
    </row>
    <row r="30" spans="1:23">
      <c r="A30" s="438" t="s">
        <v>27</v>
      </c>
      <c r="B30" s="457">
        <v>84.403499999999994</v>
      </c>
      <c r="C30" s="456">
        <f t="shared" si="0"/>
        <v>0</v>
      </c>
      <c r="D30" s="457">
        <v>84.403500000000008</v>
      </c>
      <c r="G30"/>
      <c r="H30"/>
      <c r="I30"/>
      <c r="L30" s="410"/>
      <c r="M30" s="341"/>
      <c r="N30" s="341"/>
      <c r="O30" s="341"/>
      <c r="P30" s="341"/>
      <c r="Q30" s="343"/>
      <c r="R30" s="410"/>
      <c r="S30" s="411"/>
      <c r="T30" s="64"/>
      <c r="U30" s="64"/>
      <c r="V30" s="411"/>
      <c r="W30" s="286"/>
    </row>
    <row r="31" spans="1:23">
      <c r="A31" s="438" t="s">
        <v>28</v>
      </c>
      <c r="B31" s="457">
        <v>83.829000000000022</v>
      </c>
      <c r="C31" s="456">
        <f t="shared" si="0"/>
        <v>0</v>
      </c>
      <c r="D31" s="457">
        <v>83.829000000000008</v>
      </c>
      <c r="G31"/>
      <c r="H31"/>
      <c r="I31" s="286"/>
      <c r="L31" s="410"/>
      <c r="M31" s="341"/>
      <c r="N31" s="341"/>
      <c r="O31" s="341"/>
      <c r="P31" s="341"/>
      <c r="Q31" s="343"/>
      <c r="R31" s="410"/>
      <c r="S31" s="410"/>
      <c r="T31" s="343"/>
      <c r="U31" s="343"/>
      <c r="V31" s="410"/>
      <c r="W31" s="286"/>
    </row>
    <row r="32" spans="1:23">
      <c r="A32" s="438" t="s">
        <v>29</v>
      </c>
      <c r="B32" s="457">
        <v>38.657499999999999</v>
      </c>
      <c r="C32" s="456">
        <f t="shared" si="0"/>
        <v>0</v>
      </c>
      <c r="D32" s="457">
        <v>38.657500000000013</v>
      </c>
      <c r="G32"/>
      <c r="H32"/>
      <c r="I32" s="286"/>
      <c r="L32" s="410"/>
      <c r="M32" s="486"/>
      <c r="N32" s="341"/>
      <c r="O32" s="341"/>
      <c r="P32" s="341"/>
      <c r="Q32" s="343"/>
      <c r="R32" s="410"/>
      <c r="S32" s="406"/>
      <c r="T32" s="343"/>
      <c r="U32" s="343"/>
      <c r="V32" s="410"/>
      <c r="W32" s="286"/>
    </row>
    <row r="33" spans="1:26">
      <c r="A33" s="438" t="s">
        <v>30</v>
      </c>
      <c r="B33" s="457">
        <v>73.942499999999995</v>
      </c>
      <c r="C33" s="456">
        <f t="shared" si="0"/>
        <v>0</v>
      </c>
      <c r="D33" s="457">
        <v>73.94250000000001</v>
      </c>
      <c r="G33" s="286"/>
      <c r="H33" s="286"/>
      <c r="I33" s="286"/>
      <c r="J33" s="286"/>
      <c r="L33" s="410"/>
      <c r="M33" s="341"/>
      <c r="N33" s="341"/>
      <c r="O33" s="341"/>
      <c r="P33" s="341"/>
      <c r="Q33" s="343"/>
      <c r="R33" s="410"/>
      <c r="S33" s="406"/>
      <c r="T33" s="343"/>
      <c r="U33" s="343"/>
      <c r="V33" s="410"/>
      <c r="W33" s="286"/>
    </row>
    <row r="34" spans="1:26">
      <c r="A34" s="438" t="s">
        <v>31</v>
      </c>
      <c r="B34" s="457">
        <v>33.063499999999998</v>
      </c>
      <c r="C34" s="456">
        <f t="shared" si="0"/>
        <v>0</v>
      </c>
      <c r="D34" s="457">
        <v>33.063499999999998</v>
      </c>
      <c r="G34"/>
      <c r="H34"/>
      <c r="I34"/>
      <c r="L34" s="410"/>
      <c r="M34" s="341"/>
      <c r="N34" s="341"/>
      <c r="O34" s="343"/>
      <c r="P34" s="343"/>
      <c r="Q34" s="343"/>
      <c r="R34" s="410"/>
      <c r="S34" s="410"/>
      <c r="T34" s="343"/>
      <c r="U34" s="343"/>
      <c r="V34" s="410"/>
      <c r="W34" s="286"/>
    </row>
    <row r="35" spans="1:26" ht="15.75" thickBot="1">
      <c r="A35" s="452" t="s">
        <v>567</v>
      </c>
      <c r="B35" s="449">
        <f>SUM(B4:B34)</f>
        <v>4859.5797369047632</v>
      </c>
      <c r="C35" s="449">
        <f>SUM(C4:C34)</f>
        <v>647.15824345238104</v>
      </c>
      <c r="D35" s="450">
        <f>SUM(D4:D34)</f>
        <v>5506.7379803571439</v>
      </c>
      <c r="G35"/>
      <c r="H35"/>
      <c r="I35"/>
      <c r="L35" s="410"/>
      <c r="M35" s="343"/>
      <c r="N35" s="343"/>
      <c r="O35" s="343"/>
      <c r="P35" s="343"/>
      <c r="Q35" s="343"/>
      <c r="R35" s="410"/>
      <c r="S35" s="410"/>
      <c r="T35" s="410"/>
      <c r="U35" s="410"/>
      <c r="V35" s="411"/>
      <c r="W35" s="286"/>
    </row>
    <row r="36" spans="1:26">
      <c r="L36" s="286"/>
      <c r="M36" s="286"/>
      <c r="N36" s="286"/>
      <c r="O36" s="286"/>
      <c r="P36" s="410"/>
      <c r="Q36" s="343"/>
      <c r="R36" s="341"/>
      <c r="S36" s="343"/>
      <c r="T36" s="343"/>
      <c r="U36" s="343"/>
      <c r="V36" s="410"/>
      <c r="W36" s="410"/>
      <c r="X36" s="394"/>
      <c r="Y36" s="394"/>
      <c r="Z36" s="5"/>
    </row>
    <row r="37" spans="1:26">
      <c r="L37" s="286"/>
      <c r="M37" s="286"/>
      <c r="N37" s="286"/>
      <c r="O37" s="286"/>
      <c r="P37" s="410"/>
      <c r="Q37" s="343"/>
      <c r="R37" s="341"/>
      <c r="S37" s="343"/>
      <c r="T37" s="343"/>
      <c r="U37" s="343"/>
      <c r="V37" s="410"/>
      <c r="W37" s="18"/>
      <c r="X37" s="18"/>
      <c r="Y37" s="394"/>
      <c r="Z37" s="5"/>
    </row>
    <row r="38" spans="1:26">
      <c r="L38" s="286"/>
      <c r="M38" s="286"/>
      <c r="N38" s="286"/>
      <c r="O38" s="286"/>
      <c r="P38" s="410"/>
      <c r="Q38" s="343"/>
      <c r="R38" s="343"/>
      <c r="S38" s="343"/>
      <c r="T38" s="343"/>
      <c r="U38" s="343"/>
      <c r="V38" s="410"/>
      <c r="W38" s="410"/>
      <c r="Y38" s="394"/>
      <c r="Z38" s="5"/>
    </row>
    <row r="39" spans="1:26">
      <c r="L39" s="286"/>
      <c r="M39" s="286"/>
      <c r="N39" s="286"/>
      <c r="O39" s="286"/>
      <c r="P39" s="406"/>
      <c r="Q39" s="343"/>
      <c r="R39" s="343"/>
      <c r="S39" s="343"/>
      <c r="T39" s="343"/>
      <c r="U39" s="343"/>
      <c r="V39" s="412"/>
      <c r="W39" s="410"/>
      <c r="Y39" s="394"/>
      <c r="Z39" s="5"/>
    </row>
    <row r="40" spans="1:26">
      <c r="L40" s="286"/>
      <c r="M40" s="286"/>
      <c r="N40" s="286"/>
      <c r="O40" s="286"/>
      <c r="P40" s="406"/>
      <c r="Q40" s="410"/>
      <c r="R40" s="410"/>
      <c r="S40" s="410"/>
      <c r="T40" s="410"/>
      <c r="U40" s="410"/>
      <c r="V40" s="406"/>
      <c r="W40" s="410"/>
      <c r="Y40" s="394"/>
      <c r="Z40" s="5"/>
    </row>
    <row r="41" spans="1:26">
      <c r="L41" s="286"/>
      <c r="M41" s="286"/>
      <c r="N41" s="286"/>
      <c r="O41" s="286"/>
      <c r="P41" s="406"/>
      <c r="Q41" s="410"/>
      <c r="R41" s="410"/>
      <c r="S41" s="410"/>
      <c r="T41" s="410"/>
      <c r="U41" s="410"/>
      <c r="V41" s="406"/>
      <c r="W41" s="410"/>
      <c r="Y41" s="394"/>
      <c r="Z41" s="5"/>
    </row>
    <row r="42" spans="1:26">
      <c r="L42" s="286"/>
      <c r="M42" s="286"/>
      <c r="N42" s="286"/>
      <c r="O42" s="286"/>
      <c r="P42" s="286"/>
      <c r="Q42" s="411"/>
      <c r="R42" s="411"/>
      <c r="S42" s="411"/>
      <c r="T42" s="286"/>
      <c r="U42" s="286"/>
      <c r="V42" s="286"/>
      <c r="W42" s="286"/>
    </row>
    <row r="43" spans="1:26">
      <c r="L43" s="286"/>
      <c r="M43" s="286"/>
      <c r="N43" s="286"/>
      <c r="O43" s="286"/>
      <c r="P43" s="286"/>
      <c r="Q43" s="286"/>
      <c r="R43" s="286"/>
      <c r="S43" s="286"/>
      <c r="T43" s="286"/>
      <c r="U43" s="286"/>
      <c r="V43" s="286"/>
      <c r="W43" s="286"/>
    </row>
    <row r="44" spans="1:26">
      <c r="L44" s="478"/>
      <c r="M44" s="478"/>
      <c r="N44" s="478"/>
      <c r="O44" s="478"/>
      <c r="P44" s="478"/>
      <c r="Q44" s="286"/>
      <c r="R44" s="286"/>
      <c r="S44" s="286"/>
      <c r="T44" s="286"/>
      <c r="U44" s="286"/>
      <c r="V44" s="286"/>
      <c r="W44" s="286"/>
    </row>
    <row r="45" spans="1:26">
      <c r="L45" s="478"/>
      <c r="M45" s="478"/>
      <c r="N45" s="478"/>
      <c r="O45" s="478"/>
      <c r="P45" s="478"/>
      <c r="Q45" s="286"/>
      <c r="R45" s="286"/>
      <c r="S45" s="286"/>
      <c r="T45" s="286"/>
      <c r="U45" s="286"/>
      <c r="V45" s="286"/>
      <c r="W45" s="286"/>
    </row>
    <row r="46" spans="1:26">
      <c r="L46" s="478"/>
      <c r="M46" s="478"/>
      <c r="N46" s="478"/>
      <c r="O46" s="478"/>
      <c r="P46" s="478"/>
      <c r="Q46" s="286"/>
      <c r="R46" s="286"/>
      <c r="S46" s="286"/>
      <c r="T46" s="286"/>
      <c r="U46" s="286"/>
      <c r="V46" s="286"/>
      <c r="W46" s="286"/>
    </row>
    <row r="47" spans="1:26">
      <c r="L47" s="478"/>
      <c r="M47" s="478"/>
      <c r="N47" s="478"/>
      <c r="O47" s="478"/>
      <c r="P47" s="478"/>
      <c r="Q47" s="286"/>
      <c r="R47" s="286"/>
      <c r="S47" s="286"/>
      <c r="T47" s="286"/>
      <c r="U47" s="286"/>
      <c r="V47" s="286"/>
      <c r="W47" s="286"/>
    </row>
    <row r="48" spans="1:26">
      <c r="L48" s="478"/>
      <c r="M48" s="478"/>
      <c r="N48" s="478"/>
      <c r="O48" s="478"/>
      <c r="P48" s="478"/>
      <c r="Q48" s="286"/>
      <c r="R48" s="286"/>
      <c r="S48" s="286"/>
      <c r="T48" s="286"/>
      <c r="U48" s="286"/>
      <c r="V48" s="286"/>
      <c r="W48" s="286"/>
    </row>
    <row r="49" spans="12:23">
      <c r="L49" s="478"/>
      <c r="M49" s="478"/>
      <c r="N49" s="478"/>
      <c r="O49" s="478"/>
      <c r="P49" s="478"/>
      <c r="Q49" s="286"/>
      <c r="R49" s="286"/>
      <c r="S49" s="286"/>
      <c r="T49" s="286"/>
      <c r="U49" s="286"/>
      <c r="V49" s="286"/>
      <c r="W49" s="286"/>
    </row>
    <row r="50" spans="12:23">
      <c r="L50" s="478"/>
      <c r="M50" s="478"/>
      <c r="N50" s="478"/>
      <c r="O50" s="478"/>
      <c r="P50" s="478"/>
      <c r="Q50" s="286"/>
      <c r="R50" s="286"/>
      <c r="S50" s="286"/>
      <c r="T50" s="286"/>
      <c r="U50" s="286"/>
      <c r="V50" s="286"/>
      <c r="W50" s="286"/>
    </row>
    <row r="51" spans="12:23">
      <c r="L51" s="478"/>
      <c r="M51" s="478"/>
      <c r="N51" s="478"/>
      <c r="O51" s="478"/>
      <c r="P51" s="478"/>
      <c r="Q51" s="286"/>
      <c r="R51" s="286"/>
      <c r="S51" s="286"/>
      <c r="T51" s="286"/>
      <c r="U51" s="286"/>
      <c r="V51" s="286"/>
      <c r="W51" s="286"/>
    </row>
    <row r="52" spans="12:23">
      <c r="L52" s="478"/>
      <c r="M52" s="478"/>
      <c r="N52" s="478"/>
      <c r="O52" s="478"/>
      <c r="P52" s="478"/>
      <c r="Q52" s="286"/>
      <c r="R52" s="286"/>
      <c r="S52" s="286"/>
      <c r="T52" s="286"/>
      <c r="U52" s="286"/>
      <c r="V52" s="286"/>
      <c r="W52" s="286"/>
    </row>
    <row r="53" spans="12:23">
      <c r="L53" s="478"/>
      <c r="M53" s="478"/>
      <c r="N53" s="478"/>
      <c r="O53" s="478"/>
      <c r="P53" s="478"/>
      <c r="Q53" s="286"/>
      <c r="R53" s="286"/>
      <c r="S53" s="286"/>
      <c r="T53" s="286"/>
      <c r="U53" s="286"/>
      <c r="V53" s="286"/>
      <c r="W53" s="286"/>
    </row>
    <row r="54" spans="12:23">
      <c r="L54" s="478"/>
      <c r="M54" s="478"/>
      <c r="N54" s="478"/>
      <c r="O54" s="478"/>
      <c r="P54" s="478"/>
      <c r="Q54" s="286"/>
      <c r="R54" s="286"/>
      <c r="S54" s="286"/>
      <c r="T54" s="286"/>
      <c r="U54" s="286"/>
      <c r="V54" s="286"/>
      <c r="W54" s="286"/>
    </row>
    <row r="55" spans="12:23">
      <c r="L55" s="478"/>
      <c r="M55" s="478"/>
      <c r="N55" s="478"/>
      <c r="O55" s="478"/>
      <c r="P55" s="478"/>
      <c r="Q55" s="286"/>
      <c r="R55" s="286"/>
      <c r="S55" s="286"/>
      <c r="T55" s="286"/>
      <c r="U55" s="286"/>
      <c r="V55" s="286"/>
      <c r="W55" s="286"/>
    </row>
    <row r="56" spans="12:23">
      <c r="L56" s="478"/>
      <c r="M56" s="478"/>
      <c r="N56" s="478"/>
      <c r="O56" s="478"/>
      <c r="P56" s="478"/>
      <c r="Q56" s="286"/>
      <c r="R56" s="286"/>
      <c r="S56" s="286"/>
      <c r="T56" s="286"/>
      <c r="U56" s="286"/>
      <c r="V56" s="286"/>
      <c r="W56" s="286"/>
    </row>
    <row r="57" spans="12:23">
      <c r="L57" s="478"/>
      <c r="M57" s="478"/>
      <c r="N57" s="478"/>
      <c r="O57" s="478"/>
      <c r="P57" s="478"/>
      <c r="Q57" s="286"/>
      <c r="R57" s="286"/>
      <c r="S57" s="286"/>
      <c r="T57" s="286"/>
      <c r="U57" s="286"/>
      <c r="V57" s="286"/>
      <c r="W57" s="286"/>
    </row>
    <row r="58" spans="12:23">
      <c r="L58" s="478"/>
      <c r="M58" s="478"/>
      <c r="N58" s="478"/>
      <c r="O58" s="478"/>
      <c r="P58" s="478"/>
      <c r="Q58" s="286"/>
      <c r="R58" s="286"/>
      <c r="S58" s="286"/>
      <c r="T58" s="286"/>
      <c r="U58" s="286"/>
      <c r="V58" s="286"/>
      <c r="W58" s="286"/>
    </row>
    <row r="59" spans="12:23">
      <c r="L59" s="478"/>
      <c r="M59" s="478"/>
      <c r="N59" s="478"/>
      <c r="O59" s="478"/>
      <c r="P59" s="478"/>
      <c r="Q59" s="286"/>
      <c r="R59" s="286"/>
      <c r="S59" s="286"/>
      <c r="T59" s="286"/>
      <c r="U59" s="286"/>
      <c r="V59" s="286"/>
      <c r="W59" s="286"/>
    </row>
    <row r="60" spans="12:23">
      <c r="L60" s="478"/>
      <c r="M60" s="478"/>
      <c r="N60" s="478"/>
      <c r="O60" s="478"/>
      <c r="P60" s="478"/>
      <c r="Q60" s="286"/>
      <c r="R60" s="286"/>
      <c r="S60" s="286"/>
      <c r="T60" s="286"/>
      <c r="U60" s="286"/>
      <c r="V60" s="286"/>
      <c r="W60" s="286"/>
    </row>
    <row r="61" spans="12:23">
      <c r="L61" s="478"/>
      <c r="M61" s="478"/>
      <c r="N61" s="478"/>
      <c r="O61" s="478"/>
      <c r="P61" s="478"/>
      <c r="Q61" s="286"/>
      <c r="R61" s="286"/>
      <c r="S61" s="286"/>
      <c r="T61" s="286"/>
      <c r="U61" s="286"/>
      <c r="V61" s="286"/>
      <c r="W61" s="286"/>
    </row>
    <row r="62" spans="12:23">
      <c r="L62" s="478"/>
      <c r="M62" s="478"/>
      <c r="N62" s="478"/>
      <c r="O62" s="478"/>
      <c r="P62" s="478"/>
      <c r="Q62" s="286"/>
      <c r="R62" s="286"/>
      <c r="S62" s="286"/>
      <c r="T62" s="286"/>
      <c r="U62" s="286"/>
      <c r="V62" s="286"/>
      <c r="W62" s="286"/>
    </row>
    <row r="63" spans="12:23">
      <c r="L63" s="478"/>
      <c r="M63" s="478"/>
      <c r="N63" s="478"/>
      <c r="O63" s="478"/>
      <c r="P63" s="478"/>
      <c r="Q63" s="286"/>
      <c r="R63" s="286"/>
      <c r="S63" s="286"/>
      <c r="T63" s="286"/>
      <c r="U63" s="286"/>
      <c r="V63" s="286"/>
      <c r="W63" s="286"/>
    </row>
    <row r="64" spans="12:23">
      <c r="L64" s="478"/>
      <c r="M64" s="478"/>
      <c r="N64" s="478"/>
      <c r="O64" s="478"/>
      <c r="P64" s="478"/>
      <c r="Q64" s="286"/>
      <c r="R64" s="286"/>
      <c r="S64" s="286"/>
      <c r="T64" s="286"/>
      <c r="U64" s="286"/>
      <c r="V64" s="286"/>
      <c r="W64" s="286"/>
    </row>
    <row r="65" spans="12:23">
      <c r="L65" s="478"/>
      <c r="M65" s="478"/>
      <c r="N65" s="478"/>
      <c r="O65" s="478"/>
      <c r="P65" s="478"/>
      <c r="Q65" s="286"/>
      <c r="R65" s="286"/>
      <c r="S65" s="286"/>
      <c r="T65" s="286"/>
      <c r="U65" s="286"/>
      <c r="V65" s="286"/>
      <c r="W65" s="286"/>
    </row>
    <row r="66" spans="12:23">
      <c r="L66" s="478"/>
      <c r="M66" s="478"/>
      <c r="N66" s="478"/>
      <c r="O66" s="478"/>
      <c r="P66" s="478"/>
      <c r="Q66" s="286"/>
      <c r="R66" s="286"/>
      <c r="S66" s="286"/>
      <c r="T66" s="286"/>
      <c r="U66" s="286"/>
      <c r="V66" s="286"/>
      <c r="W66" s="286"/>
    </row>
    <row r="67" spans="12:23">
      <c r="L67" s="478"/>
      <c r="M67" s="478"/>
      <c r="N67" s="478"/>
      <c r="O67" s="478"/>
      <c r="P67" s="478"/>
      <c r="Q67" s="286"/>
      <c r="R67" s="286"/>
      <c r="S67" s="286"/>
      <c r="T67" s="286"/>
      <c r="U67" s="286"/>
      <c r="V67" s="286"/>
      <c r="W67" s="286"/>
    </row>
    <row r="68" spans="12:23">
      <c r="L68" s="478"/>
      <c r="M68" s="478"/>
      <c r="N68" s="478"/>
      <c r="O68" s="478"/>
      <c r="P68" s="478"/>
      <c r="Q68" s="286"/>
      <c r="R68" s="286"/>
      <c r="S68" s="286"/>
      <c r="T68" s="286"/>
      <c r="U68" s="286"/>
      <c r="V68" s="286"/>
      <c r="W68" s="286"/>
    </row>
    <row r="69" spans="12:23">
      <c r="L69" s="478"/>
      <c r="M69" s="478"/>
      <c r="N69" s="478"/>
      <c r="O69" s="478"/>
      <c r="P69" s="478"/>
      <c r="Q69" s="286"/>
      <c r="R69" s="286"/>
      <c r="S69" s="286"/>
      <c r="T69" s="286"/>
      <c r="U69" s="286"/>
      <c r="V69" s="286"/>
      <c r="W69" s="286"/>
    </row>
    <row r="70" spans="12:23">
      <c r="L70" s="478"/>
      <c r="M70" s="478"/>
      <c r="N70" s="478"/>
      <c r="O70" s="478"/>
      <c r="P70" s="478"/>
      <c r="Q70" s="286"/>
      <c r="R70" s="286"/>
      <c r="S70" s="286"/>
      <c r="T70" s="286"/>
      <c r="U70" s="286"/>
      <c r="V70" s="286"/>
      <c r="W70" s="286"/>
    </row>
    <row r="71" spans="12:23">
      <c r="L71" s="478"/>
      <c r="M71" s="478"/>
      <c r="N71" s="478"/>
      <c r="O71" s="478"/>
      <c r="P71" s="478"/>
      <c r="Q71" s="286"/>
      <c r="R71" s="286"/>
      <c r="S71" s="286"/>
      <c r="T71" s="286"/>
      <c r="U71" s="286"/>
      <c r="V71" s="286"/>
      <c r="W71" s="286"/>
    </row>
    <row r="72" spans="12:23">
      <c r="L72" s="478"/>
      <c r="M72" s="478"/>
      <c r="N72" s="478"/>
      <c r="O72" s="478"/>
      <c r="P72" s="478"/>
      <c r="Q72" s="286"/>
      <c r="R72" s="286"/>
      <c r="S72" s="286"/>
      <c r="T72" s="286"/>
      <c r="U72" s="286"/>
      <c r="V72" s="286"/>
      <c r="W72" s="286"/>
    </row>
    <row r="73" spans="12:23">
      <c r="L73" s="478"/>
      <c r="M73" s="478"/>
      <c r="N73" s="478"/>
      <c r="O73" s="478"/>
      <c r="P73" s="478"/>
      <c r="Q73" s="286"/>
      <c r="R73" s="286"/>
      <c r="S73" s="286"/>
      <c r="T73" s="286"/>
      <c r="U73" s="286"/>
      <c r="V73" s="286"/>
      <c r="W73" s="286"/>
    </row>
    <row r="74" spans="12:23">
      <c r="L74" s="478"/>
      <c r="M74" s="478"/>
      <c r="N74" s="478"/>
      <c r="O74" s="478"/>
      <c r="P74" s="478"/>
      <c r="Q74" s="286"/>
      <c r="R74" s="286"/>
      <c r="S74" s="286"/>
      <c r="T74" s="286"/>
      <c r="U74" s="286"/>
      <c r="V74" s="286"/>
      <c r="W74" s="286"/>
    </row>
    <row r="75" spans="12:23">
      <c r="L75" s="478"/>
      <c r="M75" s="478"/>
      <c r="N75" s="478"/>
      <c r="O75" s="478"/>
      <c r="P75" s="478"/>
      <c r="Q75" s="286"/>
      <c r="R75" s="286"/>
      <c r="S75" s="286"/>
      <c r="T75" s="286"/>
      <c r="U75" s="286"/>
      <c r="V75" s="286"/>
      <c r="W75" s="286"/>
    </row>
  </sheetData>
  <mergeCells count="3">
    <mergeCell ref="A1:D2"/>
    <mergeCell ref="G3:I3"/>
    <mergeCell ref="L3:R3"/>
  </mergeCells>
  <conditionalFormatting sqref="Q36:V38 M27:R31 M33:R35 N32:R32">
    <cfRule type="cellIs" dxfId="5" priority="2" operator="greaterThan">
      <formula>0</formula>
    </cfRule>
  </conditionalFormatting>
  <conditionalFormatting sqref="M5:R16">
    <cfRule type="cellIs" dxfId="4" priority="1" operator="greaterThan">
      <formula>0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5"/>
  <sheetViews>
    <sheetView topLeftCell="E1" zoomScale="90" zoomScaleNormal="90" workbookViewId="0">
      <selection activeCell="U34" sqref="U34"/>
    </sheetView>
  </sheetViews>
  <sheetFormatPr defaultRowHeight="15"/>
  <cols>
    <col min="1" max="1" width="16.7109375" customWidth="1"/>
    <col min="2" max="2" width="40.140625" style="402" customWidth="1"/>
    <col min="3" max="3" width="51.140625" style="397" customWidth="1"/>
    <col min="4" max="4" width="34.42578125" style="401" customWidth="1"/>
    <col min="7" max="7" width="14.7109375" customWidth="1"/>
    <col min="8" max="8" width="23.140625" customWidth="1"/>
    <col min="9" max="9" width="20.5703125" customWidth="1"/>
    <col min="12" max="12" width="14.85546875" customWidth="1"/>
    <col min="20" max="20" width="17.85546875" customWidth="1"/>
    <col min="21" max="21" width="17.5703125" customWidth="1"/>
    <col min="22" max="22" width="15.42578125" customWidth="1"/>
  </cols>
  <sheetData>
    <row r="1" spans="1:22" ht="15.75" thickBot="1">
      <c r="A1" s="566" t="s">
        <v>531</v>
      </c>
      <c r="B1" s="567"/>
      <c r="C1" s="567"/>
      <c r="D1" s="568"/>
    </row>
    <row r="2" spans="1:22">
      <c r="A2" s="569"/>
      <c r="B2" s="570"/>
      <c r="C2" s="570"/>
      <c r="D2" s="571"/>
      <c r="G2" s="572" t="s">
        <v>531</v>
      </c>
      <c r="H2" s="573"/>
      <c r="I2" s="574"/>
    </row>
    <row r="3" spans="1:22" ht="30.75" thickBot="1">
      <c r="A3" s="451" t="s">
        <v>390</v>
      </c>
      <c r="B3" s="453" t="s">
        <v>523</v>
      </c>
      <c r="C3" s="454" t="s">
        <v>525</v>
      </c>
      <c r="D3" s="455" t="s">
        <v>524</v>
      </c>
      <c r="G3" s="587"/>
      <c r="H3" s="588"/>
      <c r="I3" s="589"/>
      <c r="L3" s="584" t="s">
        <v>574</v>
      </c>
      <c r="M3" s="585"/>
      <c r="N3" s="585"/>
      <c r="O3" s="585"/>
      <c r="P3" s="585"/>
      <c r="Q3" s="585"/>
      <c r="R3" s="586"/>
      <c r="S3" s="5"/>
      <c r="T3" s="5"/>
      <c r="U3" s="5"/>
      <c r="V3" s="5"/>
    </row>
    <row r="4" spans="1:22">
      <c r="A4" s="438" t="s">
        <v>0</v>
      </c>
      <c r="B4" s="428">
        <v>300</v>
      </c>
      <c r="C4" s="493">
        <f>D4-B4</f>
        <v>0</v>
      </c>
      <c r="D4" s="428">
        <v>300</v>
      </c>
      <c r="G4" s="138" t="s">
        <v>390</v>
      </c>
      <c r="H4" s="137" t="s">
        <v>389</v>
      </c>
      <c r="I4" s="136" t="s">
        <v>388</v>
      </c>
      <c r="L4" s="336" t="s">
        <v>470</v>
      </c>
      <c r="M4" s="337" t="s">
        <v>471</v>
      </c>
      <c r="N4" s="337" t="s">
        <v>472</v>
      </c>
      <c r="O4" s="337" t="s">
        <v>473</v>
      </c>
      <c r="P4" s="338" t="s">
        <v>474</v>
      </c>
      <c r="Q4" s="339" t="s">
        <v>527</v>
      </c>
      <c r="R4" s="340" t="s">
        <v>418</v>
      </c>
      <c r="S4" s="5"/>
      <c r="T4" s="5"/>
      <c r="U4" s="5"/>
      <c r="V4" s="5"/>
    </row>
    <row r="5" spans="1:22">
      <c r="A5" s="438" t="s">
        <v>2</v>
      </c>
      <c r="B5" s="428">
        <v>95.331000000000017</v>
      </c>
      <c r="C5" s="493">
        <f t="shared" ref="C5:C34" si="0">D5-B5</f>
        <v>4.6689999999999827</v>
      </c>
      <c r="D5" s="428">
        <v>100</v>
      </c>
      <c r="G5" s="398" t="s">
        <v>2</v>
      </c>
      <c r="H5" s="490">
        <v>5</v>
      </c>
      <c r="I5" s="491">
        <f>(H5/95)*100</f>
        <v>5.2631578947368416</v>
      </c>
      <c r="L5" s="60" t="s">
        <v>84</v>
      </c>
      <c r="M5" s="341">
        <f>1+1+1</f>
        <v>3</v>
      </c>
      <c r="N5" s="341">
        <v>0</v>
      </c>
      <c r="O5" s="342">
        <v>0</v>
      </c>
      <c r="P5" s="342">
        <v>0</v>
      </c>
      <c r="Q5" s="343">
        <f>1</f>
        <v>1</v>
      </c>
      <c r="R5" s="344">
        <f>SUM(M5:Q5)</f>
        <v>4</v>
      </c>
      <c r="S5" s="5"/>
      <c r="T5" s="5"/>
      <c r="U5" s="5"/>
      <c r="V5" s="5"/>
    </row>
    <row r="6" spans="1:22">
      <c r="A6" s="438" t="s">
        <v>3</v>
      </c>
      <c r="B6" s="428">
        <v>29.991499999999991</v>
      </c>
      <c r="C6" s="493">
        <f t="shared" si="0"/>
        <v>70.008500000000012</v>
      </c>
      <c r="D6" s="428">
        <v>100</v>
      </c>
      <c r="G6" s="398" t="s">
        <v>3</v>
      </c>
      <c r="H6" s="490">
        <v>70</v>
      </c>
      <c r="I6" s="491">
        <f>(H6/30)*100</f>
        <v>233.33333333333334</v>
      </c>
      <c r="L6" s="60" t="s">
        <v>85</v>
      </c>
      <c r="M6" s="341">
        <f>1+1</f>
        <v>2</v>
      </c>
      <c r="N6" s="341">
        <f>1+1+1</f>
        <v>3</v>
      </c>
      <c r="O6" s="341">
        <f>1</f>
        <v>1</v>
      </c>
      <c r="P6" s="341">
        <v>0</v>
      </c>
      <c r="Q6" s="341">
        <f>1</f>
        <v>1</v>
      </c>
      <c r="R6" s="60">
        <f t="shared" ref="R6:R15" si="1">SUM(M6:Q6)</f>
        <v>7</v>
      </c>
      <c r="S6" s="5"/>
      <c r="T6" s="5"/>
      <c r="U6" s="5"/>
      <c r="V6" s="5"/>
    </row>
    <row r="7" spans="1:22">
      <c r="A7" s="438" t="s">
        <v>4</v>
      </c>
      <c r="B7" s="428">
        <v>100</v>
      </c>
      <c r="C7" s="493">
        <f t="shared" si="0"/>
        <v>0</v>
      </c>
      <c r="D7" s="428">
        <v>100</v>
      </c>
      <c r="G7" s="398" t="s">
        <v>5</v>
      </c>
      <c r="H7" s="490">
        <v>45</v>
      </c>
      <c r="I7" s="491">
        <f>(H7/155)*100</f>
        <v>29.032258064516132</v>
      </c>
      <c r="L7" s="60" t="s">
        <v>86</v>
      </c>
      <c r="M7" s="341">
        <f>1</f>
        <v>1</v>
      </c>
      <c r="N7" s="341">
        <v>0</v>
      </c>
      <c r="O7" s="341">
        <f>1+1</f>
        <v>2</v>
      </c>
      <c r="P7" s="341">
        <v>0</v>
      </c>
      <c r="Q7" s="341">
        <v>0</v>
      </c>
      <c r="R7" s="60">
        <f t="shared" si="1"/>
        <v>3</v>
      </c>
      <c r="S7" s="5"/>
      <c r="T7" s="405" t="s">
        <v>476</v>
      </c>
      <c r="U7" s="405" t="s">
        <v>477</v>
      </c>
      <c r="V7" s="345" t="s">
        <v>478</v>
      </c>
    </row>
    <row r="8" spans="1:22">
      <c r="A8" s="438" t="s">
        <v>5</v>
      </c>
      <c r="B8" s="428">
        <v>154.90049999999999</v>
      </c>
      <c r="C8" s="493">
        <f t="shared" si="0"/>
        <v>45.099500000000006</v>
      </c>
      <c r="D8" s="428">
        <v>200</v>
      </c>
      <c r="G8" s="398" t="s">
        <v>6</v>
      </c>
      <c r="H8" s="490">
        <v>77</v>
      </c>
      <c r="I8" s="491">
        <f>(H8/223)*100</f>
        <v>34.529147982062781</v>
      </c>
      <c r="L8" s="60" t="s">
        <v>87</v>
      </c>
      <c r="M8" s="341">
        <f>1</f>
        <v>1</v>
      </c>
      <c r="N8" s="341">
        <f>1+1</f>
        <v>2</v>
      </c>
      <c r="O8" s="341">
        <f>1+1</f>
        <v>2</v>
      </c>
      <c r="P8" s="341">
        <f>1+1</f>
        <v>2</v>
      </c>
      <c r="Q8" s="343">
        <f>2+2+2+1+1+1</f>
        <v>9</v>
      </c>
      <c r="R8" s="60">
        <f t="shared" si="1"/>
        <v>16</v>
      </c>
      <c r="S8" s="5"/>
      <c r="T8" s="61" t="s">
        <v>471</v>
      </c>
      <c r="U8" s="61">
        <v>100</v>
      </c>
      <c r="V8" s="413">
        <v>15</v>
      </c>
    </row>
    <row r="9" spans="1:22">
      <c r="A9" s="438" t="s">
        <v>6</v>
      </c>
      <c r="B9" s="428">
        <v>222.78883333333329</v>
      </c>
      <c r="C9" s="493">
        <f t="shared" si="0"/>
        <v>77.211166666666713</v>
      </c>
      <c r="D9" s="428">
        <v>300</v>
      </c>
      <c r="G9" s="404" t="s">
        <v>8</v>
      </c>
      <c r="H9" s="490">
        <v>2</v>
      </c>
      <c r="I9" s="491">
        <f>(H9/148)*100</f>
        <v>1.3513513513513513</v>
      </c>
      <c r="L9" s="60" t="s">
        <v>88</v>
      </c>
      <c r="M9" s="341">
        <f>1+1+1+1+1</f>
        <v>5</v>
      </c>
      <c r="N9" s="341">
        <f>1+1</f>
        <v>2</v>
      </c>
      <c r="O9" s="341">
        <v>0</v>
      </c>
      <c r="P9" s="341">
        <v>0</v>
      </c>
      <c r="Q9" s="341">
        <f>1</f>
        <v>1</v>
      </c>
      <c r="R9" s="60">
        <f t="shared" si="1"/>
        <v>8</v>
      </c>
      <c r="S9" s="410"/>
      <c r="T9" s="346" t="s">
        <v>472</v>
      </c>
      <c r="U9" s="346">
        <v>150</v>
      </c>
      <c r="V9" s="414">
        <v>16.3689</v>
      </c>
    </row>
    <row r="10" spans="1:22">
      <c r="A10" s="438" t="s">
        <v>7</v>
      </c>
      <c r="B10" s="428">
        <v>150</v>
      </c>
      <c r="C10" s="493">
        <f t="shared" si="0"/>
        <v>0</v>
      </c>
      <c r="D10" s="428">
        <v>150</v>
      </c>
      <c r="G10" s="398" t="s">
        <v>9</v>
      </c>
      <c r="H10" s="490">
        <v>41</v>
      </c>
      <c r="I10" s="491">
        <f>(H10/109)*100</f>
        <v>37.61467889908257</v>
      </c>
      <c r="L10" s="60" t="s">
        <v>89</v>
      </c>
      <c r="M10" s="341">
        <f>1+1+1</f>
        <v>3</v>
      </c>
      <c r="N10" s="341">
        <f>1</f>
        <v>1</v>
      </c>
      <c r="O10" s="341">
        <f>1</f>
        <v>1</v>
      </c>
      <c r="P10" s="341">
        <v>0</v>
      </c>
      <c r="Q10" s="341">
        <v>0</v>
      </c>
      <c r="R10" s="60">
        <f t="shared" si="1"/>
        <v>5</v>
      </c>
      <c r="S10" s="406"/>
      <c r="T10" s="346" t="s">
        <v>473</v>
      </c>
      <c r="U10" s="346">
        <v>200</v>
      </c>
      <c r="V10" s="414">
        <v>16.746700000000001</v>
      </c>
    </row>
    <row r="11" spans="1:22">
      <c r="A11" s="438" t="s">
        <v>8</v>
      </c>
      <c r="B11" s="428">
        <v>148.2705</v>
      </c>
      <c r="C11" s="493">
        <f t="shared" si="0"/>
        <v>1.7295000000000016</v>
      </c>
      <c r="D11" s="428">
        <v>150</v>
      </c>
      <c r="G11" s="398" t="s">
        <v>11</v>
      </c>
      <c r="H11" s="490">
        <v>17</v>
      </c>
      <c r="I11" s="491">
        <f>(H11/83)*100</f>
        <v>20.481927710843372</v>
      </c>
      <c r="L11" s="60" t="s">
        <v>90</v>
      </c>
      <c r="M11" s="341">
        <f>1</f>
        <v>1</v>
      </c>
      <c r="N11" s="341">
        <f>1</f>
        <v>1</v>
      </c>
      <c r="O11" s="341">
        <v>0</v>
      </c>
      <c r="P11" s="341">
        <f>1</f>
        <v>1</v>
      </c>
      <c r="Q11" s="341">
        <v>0</v>
      </c>
      <c r="R11" s="60">
        <f t="shared" si="1"/>
        <v>3</v>
      </c>
      <c r="S11" s="406"/>
      <c r="T11" s="346" t="s">
        <v>474</v>
      </c>
      <c r="U11" s="346">
        <v>250</v>
      </c>
      <c r="V11" s="414">
        <v>16.886600000000001</v>
      </c>
    </row>
    <row r="12" spans="1:22">
      <c r="A12" s="438" t="s">
        <v>9</v>
      </c>
      <c r="B12" s="428">
        <v>109.4815</v>
      </c>
      <c r="C12" s="493">
        <f t="shared" si="0"/>
        <v>40.518500000000003</v>
      </c>
      <c r="D12" s="428">
        <v>150</v>
      </c>
      <c r="G12" s="398" t="s">
        <v>12</v>
      </c>
      <c r="H12" s="490">
        <v>54</v>
      </c>
      <c r="I12" s="491">
        <f>(H12/146)*100</f>
        <v>36.986301369863014</v>
      </c>
      <c r="L12" s="60" t="s">
        <v>91</v>
      </c>
      <c r="M12" s="341">
        <f>1+1+1+1+1+1+1+1</f>
        <v>8</v>
      </c>
      <c r="N12" s="341">
        <v>0</v>
      </c>
      <c r="O12" s="341">
        <v>0</v>
      </c>
      <c r="P12" s="341">
        <f>1</f>
        <v>1</v>
      </c>
      <c r="Q12" s="341">
        <v>0</v>
      </c>
      <c r="R12" s="60">
        <f t="shared" si="1"/>
        <v>9</v>
      </c>
      <c r="S12" s="410"/>
      <c r="T12" s="347" t="s">
        <v>527</v>
      </c>
      <c r="U12" s="347">
        <v>300</v>
      </c>
      <c r="V12" s="415">
        <v>17</v>
      </c>
    </row>
    <row r="13" spans="1:22">
      <c r="A13" s="438" t="s">
        <v>10</v>
      </c>
      <c r="B13" s="428">
        <v>100</v>
      </c>
      <c r="C13" s="493">
        <f t="shared" si="0"/>
        <v>0</v>
      </c>
      <c r="D13" s="428">
        <v>100</v>
      </c>
      <c r="G13" s="398" t="s">
        <v>13</v>
      </c>
      <c r="H13" s="490">
        <v>77</v>
      </c>
      <c r="I13" s="491">
        <f>(H13/23)*100</f>
        <v>334.78260869565219</v>
      </c>
      <c r="L13" s="60" t="s">
        <v>92</v>
      </c>
      <c r="M13" s="341">
        <f>1+1+1</f>
        <v>3</v>
      </c>
      <c r="N13" s="343">
        <v>0</v>
      </c>
      <c r="O13" s="341">
        <v>0</v>
      </c>
      <c r="P13" s="341">
        <v>0</v>
      </c>
      <c r="Q13" s="343">
        <f>2</f>
        <v>2</v>
      </c>
      <c r="R13" s="60">
        <f t="shared" si="1"/>
        <v>5</v>
      </c>
      <c r="S13" s="410"/>
      <c r="T13" s="410"/>
      <c r="U13" s="410"/>
      <c r="V13" s="5"/>
    </row>
    <row r="14" spans="1:22">
      <c r="A14" s="438" t="s">
        <v>11</v>
      </c>
      <c r="B14" s="428">
        <v>83.193999999999988</v>
      </c>
      <c r="C14" s="493">
        <f t="shared" si="0"/>
        <v>16.806000000000012</v>
      </c>
      <c r="D14" s="428">
        <v>100</v>
      </c>
      <c r="G14" s="398" t="s">
        <v>14</v>
      </c>
      <c r="H14" s="490">
        <v>136</v>
      </c>
      <c r="I14" s="491">
        <f>(H14/314)*100</f>
        <v>43.312101910828027</v>
      </c>
      <c r="L14" s="60" t="s">
        <v>93</v>
      </c>
      <c r="M14" s="341">
        <f>1+1</f>
        <v>2</v>
      </c>
      <c r="N14" s="341">
        <v>0</v>
      </c>
      <c r="O14" s="341">
        <v>0</v>
      </c>
      <c r="P14" s="343">
        <v>0</v>
      </c>
      <c r="Q14" s="343">
        <f>2</f>
        <v>2</v>
      </c>
      <c r="R14" s="60">
        <f t="shared" si="1"/>
        <v>4</v>
      </c>
      <c r="S14" s="410"/>
      <c r="T14" s="410"/>
      <c r="U14" s="410"/>
      <c r="V14" s="5"/>
    </row>
    <row r="15" spans="1:22">
      <c r="A15" s="438" t="s">
        <v>12</v>
      </c>
      <c r="B15" s="428">
        <v>145.74199999999999</v>
      </c>
      <c r="C15" s="493">
        <f t="shared" si="0"/>
        <v>54.25800000000001</v>
      </c>
      <c r="D15" s="428">
        <v>200</v>
      </c>
      <c r="G15" s="404" t="s">
        <v>15</v>
      </c>
      <c r="H15" s="490">
        <v>4</v>
      </c>
      <c r="I15" s="491">
        <f>(H15/196)*100</f>
        <v>2.0408163265306123</v>
      </c>
      <c r="L15" s="60" t="s">
        <v>94</v>
      </c>
      <c r="M15" s="341">
        <f>1+1+1+1</f>
        <v>4</v>
      </c>
      <c r="N15" s="341">
        <v>0</v>
      </c>
      <c r="O15" s="343">
        <v>0</v>
      </c>
      <c r="P15" s="343">
        <v>0</v>
      </c>
      <c r="Q15" s="343">
        <f>2</f>
        <v>2</v>
      </c>
      <c r="R15" s="60">
        <f t="shared" si="1"/>
        <v>6</v>
      </c>
      <c r="S15" s="18"/>
      <c r="T15" s="18"/>
      <c r="U15" s="410"/>
      <c r="V15" s="5"/>
    </row>
    <row r="16" spans="1:22">
      <c r="A16" s="438" t="s">
        <v>13</v>
      </c>
      <c r="B16" s="428">
        <v>22.5305</v>
      </c>
      <c r="C16" s="493">
        <f t="shared" si="0"/>
        <v>77.469499999999996</v>
      </c>
      <c r="D16" s="428">
        <v>100</v>
      </c>
      <c r="G16" s="398" t="s">
        <v>16</v>
      </c>
      <c r="H16" s="490">
        <v>104</v>
      </c>
      <c r="I16" s="491">
        <f>(H16/146)*100</f>
        <v>71.232876712328761</v>
      </c>
      <c r="L16" s="326" t="s">
        <v>469</v>
      </c>
      <c r="M16" s="341">
        <f>1</f>
        <v>1</v>
      </c>
      <c r="N16" s="348">
        <f>1</f>
        <v>1</v>
      </c>
      <c r="O16" s="348">
        <v>0</v>
      </c>
      <c r="P16" s="348">
        <v>0</v>
      </c>
      <c r="Q16" s="348">
        <v>0</v>
      </c>
      <c r="R16" s="326">
        <f>SUM(M16:Q16)</f>
        <v>2</v>
      </c>
    </row>
    <row r="17" spans="1:22">
      <c r="A17" s="438" t="s">
        <v>14</v>
      </c>
      <c r="B17" s="428">
        <v>314.47399999999999</v>
      </c>
      <c r="C17" s="493">
        <f t="shared" si="0"/>
        <v>135.52600000000001</v>
      </c>
      <c r="D17" s="428">
        <v>450</v>
      </c>
      <c r="G17" s="398" t="s">
        <v>17</v>
      </c>
      <c r="H17" s="490">
        <v>7</v>
      </c>
      <c r="I17" s="491">
        <f>(H17/243)*100</f>
        <v>2.880658436213992</v>
      </c>
      <c r="L17" s="340" t="s">
        <v>479</v>
      </c>
      <c r="M17" s="349">
        <f t="shared" ref="M17:R17" si="2">SUM(M5:M16)</f>
        <v>34</v>
      </c>
      <c r="N17" s="349">
        <f t="shared" si="2"/>
        <v>10</v>
      </c>
      <c r="O17" s="349">
        <f t="shared" si="2"/>
        <v>6</v>
      </c>
      <c r="P17" s="349">
        <f t="shared" si="2"/>
        <v>4</v>
      </c>
      <c r="Q17" s="349">
        <f t="shared" si="2"/>
        <v>18</v>
      </c>
      <c r="R17" s="350">
        <f t="shared" si="2"/>
        <v>72</v>
      </c>
    </row>
    <row r="18" spans="1:22">
      <c r="A18" s="438" t="s">
        <v>15</v>
      </c>
      <c r="B18" s="428">
        <v>195.97800000000009</v>
      </c>
      <c r="C18" s="493">
        <f t="shared" si="0"/>
        <v>4.0219999999999061</v>
      </c>
      <c r="D18" s="428">
        <v>200</v>
      </c>
      <c r="G18" s="398" t="s">
        <v>18</v>
      </c>
      <c r="H18" s="490">
        <v>11</v>
      </c>
      <c r="I18" s="491">
        <f>(H18/589)*100</f>
        <v>1.8675721561969438</v>
      </c>
      <c r="L18" s="340" t="s">
        <v>478</v>
      </c>
      <c r="M18" s="351">
        <f>PRODUCT(M17*V8)</f>
        <v>510</v>
      </c>
      <c r="N18" s="416">
        <f>PRODUCT(N17*V9)</f>
        <v>163.68899999999999</v>
      </c>
      <c r="O18" s="416">
        <f>PRODUCT(O17*V10)</f>
        <v>100.4802</v>
      </c>
      <c r="P18" s="416">
        <f>PRODUCT(P17*V11)</f>
        <v>67.546400000000006</v>
      </c>
      <c r="Q18" s="416">
        <f>PRODUCT(Q17*V12)</f>
        <v>306</v>
      </c>
      <c r="R18" s="421">
        <f>SUM(M18:Q18)</f>
        <v>1147.7156</v>
      </c>
    </row>
    <row r="19" spans="1:22">
      <c r="A19" s="438" t="s">
        <v>16</v>
      </c>
      <c r="B19" s="428">
        <v>146.47250000000011</v>
      </c>
      <c r="C19" s="493">
        <f t="shared" si="0"/>
        <v>103.52749999999989</v>
      </c>
      <c r="D19" s="428">
        <v>250</v>
      </c>
      <c r="G19" s="398" t="s">
        <v>19</v>
      </c>
      <c r="H19" s="490">
        <v>238</v>
      </c>
      <c r="I19" s="491">
        <f>(H19/362)*100</f>
        <v>65.745856353591165</v>
      </c>
      <c r="L19" s="340" t="s">
        <v>477</v>
      </c>
      <c r="M19" s="351">
        <f>M17*U8</f>
        <v>3400</v>
      </c>
      <c r="N19" s="351">
        <f>N17*U9</f>
        <v>1500</v>
      </c>
      <c r="O19" s="351">
        <f>O17*U10</f>
        <v>1200</v>
      </c>
      <c r="P19" s="351">
        <f>P17*U11</f>
        <v>1000</v>
      </c>
      <c r="Q19" s="351">
        <f>Q17*U12</f>
        <v>5400</v>
      </c>
      <c r="R19" s="340">
        <f>SUM(M19:Q19)</f>
        <v>12500</v>
      </c>
    </row>
    <row r="20" spans="1:22">
      <c r="A20" s="438" t="s">
        <v>17</v>
      </c>
      <c r="B20" s="428">
        <v>242.68600000000001</v>
      </c>
      <c r="C20" s="493">
        <f t="shared" si="0"/>
        <v>7.313999999999993</v>
      </c>
      <c r="D20" s="428">
        <v>250</v>
      </c>
      <c r="G20" s="398" t="s">
        <v>20</v>
      </c>
      <c r="H20" s="490">
        <v>263</v>
      </c>
      <c r="I20" s="491">
        <f>(H20/437)*100</f>
        <v>60.183066361556058</v>
      </c>
    </row>
    <row r="21" spans="1:22">
      <c r="A21" s="438" t="s">
        <v>18</v>
      </c>
      <c r="B21" s="428">
        <v>589.48400000000004</v>
      </c>
      <c r="C21" s="493">
        <f t="shared" si="0"/>
        <v>10.515999999999963</v>
      </c>
      <c r="D21" s="428">
        <v>600</v>
      </c>
      <c r="G21" s="398" t="s">
        <v>21</v>
      </c>
      <c r="H21" s="490">
        <v>38</v>
      </c>
      <c r="I21" s="491">
        <f>(H21/113)*100</f>
        <v>33.628318584070797</v>
      </c>
    </row>
    <row r="22" spans="1:22">
      <c r="A22" s="438" t="s">
        <v>19</v>
      </c>
      <c r="B22" s="428">
        <v>361.82300000000009</v>
      </c>
      <c r="C22" s="493">
        <f t="shared" si="0"/>
        <v>238.17699999999991</v>
      </c>
      <c r="D22" s="428">
        <v>600</v>
      </c>
      <c r="G22" s="398" t="s">
        <v>22</v>
      </c>
      <c r="H22" s="490">
        <v>51</v>
      </c>
      <c r="I22" s="491">
        <f>(H22/49)*100</f>
        <v>104.08163265306123</v>
      </c>
      <c r="L22" s="286"/>
      <c r="M22" s="286"/>
      <c r="N22" s="286"/>
      <c r="O22" s="286"/>
      <c r="P22" s="286"/>
      <c r="Q22" s="286"/>
      <c r="R22" s="286"/>
      <c r="S22" s="286"/>
      <c r="T22" s="286"/>
      <c r="U22" s="286"/>
      <c r="V22" s="286"/>
    </row>
    <row r="23" spans="1:22">
      <c r="A23" s="438" t="s">
        <v>20</v>
      </c>
      <c r="B23" s="428">
        <v>437.20433333333318</v>
      </c>
      <c r="C23" s="493">
        <f t="shared" si="0"/>
        <v>262.79566666666682</v>
      </c>
      <c r="D23" s="428">
        <v>700</v>
      </c>
      <c r="G23" s="398" t="s">
        <v>23</v>
      </c>
      <c r="H23" s="490">
        <v>79</v>
      </c>
      <c r="I23" s="491">
        <f>(H23/21)*100</f>
        <v>376.1904761904762</v>
      </c>
      <c r="L23" s="286"/>
      <c r="M23" s="286"/>
      <c r="N23" s="286"/>
      <c r="O23" s="286"/>
      <c r="P23" s="286"/>
      <c r="Q23" s="286"/>
      <c r="R23" s="286"/>
      <c r="S23" s="286"/>
      <c r="T23" s="286"/>
      <c r="U23" s="286"/>
      <c r="V23" s="286"/>
    </row>
    <row r="24" spans="1:22">
      <c r="A24" s="438" t="s">
        <v>21</v>
      </c>
      <c r="B24" s="428">
        <v>112.5</v>
      </c>
      <c r="C24" s="493">
        <f t="shared" si="0"/>
        <v>37.5</v>
      </c>
      <c r="D24" s="428">
        <v>150</v>
      </c>
      <c r="G24" s="398" t="s">
        <v>24</v>
      </c>
      <c r="H24" s="490">
        <v>30</v>
      </c>
      <c r="I24" s="491">
        <f>(H24/70)*100</f>
        <v>42.857142857142854</v>
      </c>
      <c r="L24" s="422"/>
      <c r="M24" s="422"/>
      <c r="N24" s="422"/>
      <c r="O24" s="422"/>
      <c r="P24" s="422"/>
      <c r="Q24" s="422"/>
      <c r="R24" s="422"/>
      <c r="S24" s="411"/>
      <c r="T24" s="411"/>
      <c r="U24" s="411"/>
      <c r="V24" s="411"/>
    </row>
    <row r="25" spans="1:22">
      <c r="A25" s="438" t="s">
        <v>22</v>
      </c>
      <c r="B25" s="428">
        <v>48.583999999999989</v>
      </c>
      <c r="C25" s="493">
        <f t="shared" si="0"/>
        <v>51.416000000000011</v>
      </c>
      <c r="D25" s="428">
        <v>100</v>
      </c>
      <c r="G25" s="398" t="s">
        <v>25</v>
      </c>
      <c r="H25" s="490">
        <v>24</v>
      </c>
      <c r="I25" s="491">
        <f>(H25/76)*100</f>
        <v>31.578947368421051</v>
      </c>
      <c r="L25" s="359"/>
      <c r="M25" s="360"/>
      <c r="N25" s="360"/>
      <c r="O25" s="360"/>
      <c r="P25" s="406"/>
      <c r="Q25" s="406"/>
      <c r="R25" s="406"/>
      <c r="S25" s="411"/>
      <c r="T25" s="411"/>
      <c r="U25" s="411"/>
      <c r="V25" s="411"/>
    </row>
    <row r="26" spans="1:22">
      <c r="A26" s="438" t="s">
        <v>23</v>
      </c>
      <c r="B26" s="428">
        <v>21.01049999999999</v>
      </c>
      <c r="C26" s="493">
        <f t="shared" si="0"/>
        <v>78.989500000000007</v>
      </c>
      <c r="D26" s="428">
        <v>100</v>
      </c>
      <c r="G26" s="398" t="s">
        <v>27</v>
      </c>
      <c r="H26" s="490">
        <v>29</v>
      </c>
      <c r="I26" s="491">
        <f>(H26/71)*100</f>
        <v>40.845070422535215</v>
      </c>
      <c r="L26" s="410"/>
      <c r="M26" s="341"/>
      <c r="N26" s="341"/>
      <c r="O26" s="341"/>
      <c r="P26" s="341"/>
      <c r="Q26" s="343"/>
      <c r="R26" s="410"/>
      <c r="S26" s="411"/>
      <c r="T26" s="411"/>
      <c r="U26" s="411"/>
      <c r="V26" s="411"/>
    </row>
    <row r="27" spans="1:22">
      <c r="A27" s="438" t="s">
        <v>24</v>
      </c>
      <c r="B27" s="428">
        <v>70.038500000000028</v>
      </c>
      <c r="C27" s="493">
        <f t="shared" si="0"/>
        <v>29.961499999999972</v>
      </c>
      <c r="D27" s="428">
        <v>100</v>
      </c>
      <c r="G27" s="404" t="s">
        <v>28</v>
      </c>
      <c r="H27" s="490">
        <v>48</v>
      </c>
      <c r="I27" s="491">
        <f>(H27/52)*100</f>
        <v>92.307692307692307</v>
      </c>
      <c r="L27" s="410"/>
      <c r="M27" s="341"/>
      <c r="N27" s="341"/>
      <c r="O27" s="341"/>
      <c r="P27" s="341"/>
      <c r="Q27" s="343"/>
      <c r="R27" s="410"/>
      <c r="S27" s="411"/>
      <c r="T27" s="411"/>
      <c r="U27" s="411"/>
      <c r="V27" s="411"/>
    </row>
    <row r="28" spans="1:22">
      <c r="A28" s="438" t="s">
        <v>25</v>
      </c>
      <c r="B28" s="428">
        <v>76.394999999999953</v>
      </c>
      <c r="C28" s="493">
        <f t="shared" si="0"/>
        <v>23.605000000000047</v>
      </c>
      <c r="D28" s="428">
        <v>100</v>
      </c>
      <c r="G28" s="398" t="s">
        <v>29</v>
      </c>
      <c r="H28" s="490">
        <v>73</v>
      </c>
      <c r="I28" s="491">
        <f>(H28/27)*100</f>
        <v>270.37037037037038</v>
      </c>
      <c r="L28" s="410"/>
      <c r="M28" s="341"/>
      <c r="N28" s="341"/>
      <c r="O28" s="341"/>
      <c r="P28" s="341"/>
      <c r="Q28" s="343"/>
      <c r="R28" s="410"/>
      <c r="S28" s="411"/>
      <c r="T28" s="407"/>
      <c r="U28" s="407"/>
      <c r="V28" s="407"/>
    </row>
    <row r="29" spans="1:22" ht="15.75" thickBot="1">
      <c r="A29" s="438" t="s">
        <v>26</v>
      </c>
      <c r="B29" s="428">
        <v>100</v>
      </c>
      <c r="C29" s="493">
        <f t="shared" si="0"/>
        <v>0</v>
      </c>
      <c r="D29" s="428">
        <v>100</v>
      </c>
      <c r="G29" s="398" t="s">
        <v>31</v>
      </c>
      <c r="H29" s="490">
        <v>67</v>
      </c>
      <c r="I29" s="491">
        <f>(H29/33)*100</f>
        <v>203.03030303030303</v>
      </c>
      <c r="L29" s="410"/>
      <c r="M29" s="341"/>
      <c r="N29" s="341"/>
      <c r="O29" s="341"/>
      <c r="P29" s="341"/>
      <c r="Q29" s="343"/>
      <c r="R29" s="410"/>
      <c r="S29" s="411"/>
      <c r="T29" s="64"/>
      <c r="U29" s="64"/>
      <c r="V29" s="411"/>
    </row>
    <row r="30" spans="1:22">
      <c r="A30" s="438" t="s">
        <v>27</v>
      </c>
      <c r="B30" s="428">
        <v>70.904500000000027</v>
      </c>
      <c r="C30" s="493">
        <f t="shared" si="0"/>
        <v>29.095499999999973</v>
      </c>
      <c r="D30" s="428">
        <v>100</v>
      </c>
      <c r="G30" s="399" t="s">
        <v>418</v>
      </c>
      <c r="H30" s="484">
        <f>SUM(H5:H29)</f>
        <v>1590</v>
      </c>
      <c r="I30" s="400"/>
      <c r="L30" s="410"/>
      <c r="M30" s="341"/>
      <c r="N30" s="341"/>
      <c r="O30" s="341"/>
      <c r="P30" s="341"/>
      <c r="Q30" s="343"/>
      <c r="R30" s="410"/>
      <c r="S30" s="410"/>
      <c r="T30" s="343"/>
      <c r="U30" s="343"/>
      <c r="V30" s="410"/>
    </row>
    <row r="31" spans="1:22" ht="15.75" thickBot="1">
      <c r="A31" s="438" t="s">
        <v>28</v>
      </c>
      <c r="B31" s="428">
        <v>51.713499999999932</v>
      </c>
      <c r="C31" s="493">
        <f t="shared" si="0"/>
        <v>48.286500000000068</v>
      </c>
      <c r="D31" s="428">
        <v>100</v>
      </c>
      <c r="G31" s="488" t="s">
        <v>365</v>
      </c>
      <c r="H31" s="489">
        <f>H30/4662</f>
        <v>0.34105534105534108</v>
      </c>
      <c r="I31" s="403"/>
      <c r="L31" s="410"/>
      <c r="M31" s="341"/>
      <c r="N31" s="341"/>
      <c r="O31" s="341"/>
      <c r="P31" s="341"/>
      <c r="Q31" s="343"/>
      <c r="R31" s="410"/>
      <c r="S31" s="406"/>
      <c r="T31" s="343"/>
      <c r="U31" s="343"/>
      <c r="V31" s="410"/>
    </row>
    <row r="32" spans="1:22">
      <c r="A32" s="438" t="s">
        <v>29</v>
      </c>
      <c r="B32" s="428">
        <v>27.48550000000002</v>
      </c>
      <c r="C32" s="493">
        <f t="shared" si="0"/>
        <v>72.514499999999984</v>
      </c>
      <c r="D32" s="428">
        <v>100</v>
      </c>
      <c r="G32" s="286"/>
      <c r="H32" s="286"/>
      <c r="I32" s="286"/>
      <c r="J32" s="286"/>
      <c r="L32" s="410"/>
      <c r="M32" s="341"/>
      <c r="N32" s="341"/>
      <c r="O32" s="341"/>
      <c r="P32" s="341"/>
      <c r="Q32" s="343"/>
      <c r="R32" s="410"/>
      <c r="S32" s="406"/>
      <c r="T32" s="343"/>
      <c r="U32" s="343"/>
      <c r="V32" s="410"/>
    </row>
    <row r="33" spans="1:22">
      <c r="A33" s="438" t="s">
        <v>30</v>
      </c>
      <c r="B33" s="428">
        <v>100</v>
      </c>
      <c r="C33" s="493">
        <f t="shared" si="0"/>
        <v>0</v>
      </c>
      <c r="D33" s="428">
        <v>100</v>
      </c>
      <c r="L33" s="410"/>
      <c r="M33" s="341"/>
      <c r="N33" s="341"/>
      <c r="O33" s="343"/>
      <c r="P33" s="343"/>
      <c r="Q33" s="343"/>
      <c r="R33" s="410"/>
      <c r="S33" s="410"/>
      <c r="T33" s="343"/>
      <c r="U33" s="343"/>
      <c r="V33" s="410"/>
    </row>
    <row r="34" spans="1:22">
      <c r="A34" s="438" t="s">
        <v>31</v>
      </c>
      <c r="B34" s="428">
        <v>33.063499999999998</v>
      </c>
      <c r="C34" s="493">
        <f t="shared" si="0"/>
        <v>66.936499999999995</v>
      </c>
      <c r="D34" s="428">
        <v>100</v>
      </c>
      <c r="L34" s="410"/>
      <c r="M34" s="343"/>
      <c r="N34" s="343"/>
      <c r="O34" s="343"/>
      <c r="P34" s="343"/>
      <c r="Q34" s="343"/>
      <c r="R34" s="410"/>
      <c r="S34" s="410"/>
      <c r="T34" s="410"/>
      <c r="U34" s="410"/>
      <c r="V34" s="411"/>
    </row>
    <row r="35" spans="1:22" ht="15.75" thickBot="1">
      <c r="A35" s="452" t="s">
        <v>567</v>
      </c>
      <c r="B35" s="449">
        <f>SUM(B4:B34)</f>
        <v>4662.0471666666663</v>
      </c>
      <c r="C35" s="492">
        <f>SUM(C4:C34)</f>
        <v>1587.952833333333</v>
      </c>
      <c r="D35" s="450">
        <f>SUM(D4:D34)</f>
        <v>6250</v>
      </c>
      <c r="L35" s="410"/>
      <c r="M35" s="343"/>
      <c r="N35" s="341"/>
      <c r="O35" s="343"/>
      <c r="P35" s="343"/>
      <c r="Q35" s="343"/>
      <c r="R35" s="410"/>
      <c r="S35" s="410"/>
      <c r="T35" s="410"/>
      <c r="U35" s="410"/>
      <c r="V35" s="411"/>
    </row>
    <row r="36" spans="1:22">
      <c r="L36" s="410"/>
      <c r="M36" s="343"/>
      <c r="N36" s="341"/>
      <c r="O36" s="343"/>
      <c r="P36" s="343"/>
      <c r="Q36" s="343"/>
      <c r="R36" s="410"/>
      <c r="S36" s="18"/>
      <c r="T36" s="18"/>
      <c r="U36" s="410"/>
      <c r="V36" s="411"/>
    </row>
    <row r="37" spans="1:22">
      <c r="L37" s="410"/>
      <c r="M37" s="343"/>
      <c r="N37" s="343"/>
      <c r="O37" s="343"/>
      <c r="P37" s="343"/>
      <c r="Q37" s="343"/>
      <c r="R37" s="410"/>
      <c r="S37" s="410"/>
      <c r="T37" s="286"/>
      <c r="U37" s="410"/>
      <c r="V37" s="411"/>
    </row>
    <row r="38" spans="1:22">
      <c r="L38" s="406"/>
      <c r="M38" s="343"/>
      <c r="N38" s="343"/>
      <c r="O38" s="343"/>
      <c r="P38" s="343"/>
      <c r="Q38" s="343"/>
      <c r="R38" s="412"/>
      <c r="S38" s="410"/>
      <c r="T38" s="286"/>
      <c r="U38" s="410"/>
      <c r="V38" s="411"/>
    </row>
    <row r="39" spans="1:22">
      <c r="L39" s="406"/>
      <c r="M39" s="410"/>
      <c r="N39" s="410"/>
      <c r="O39" s="410"/>
      <c r="P39" s="410"/>
      <c r="Q39" s="410"/>
      <c r="R39" s="406"/>
      <c r="S39" s="410"/>
      <c r="T39" s="286"/>
      <c r="U39" s="410"/>
      <c r="V39" s="411"/>
    </row>
    <row r="40" spans="1:22">
      <c r="H40" s="286"/>
      <c r="I40" s="286"/>
      <c r="J40" s="286"/>
      <c r="L40" s="406"/>
      <c r="M40" s="410"/>
      <c r="N40" s="410"/>
      <c r="O40" s="410"/>
      <c r="P40" s="410"/>
      <c r="Q40" s="410"/>
      <c r="R40" s="406"/>
      <c r="S40" s="410"/>
      <c r="T40" s="286"/>
      <c r="U40" s="410"/>
      <c r="V40" s="411"/>
    </row>
    <row r="41" spans="1:22">
      <c r="H41" s="286"/>
      <c r="I41" s="286"/>
      <c r="J41" s="286"/>
      <c r="M41" s="395"/>
      <c r="N41" s="395"/>
      <c r="O41" s="395"/>
    </row>
    <row r="42" spans="1:22">
      <c r="H42" s="286"/>
      <c r="I42" s="286"/>
      <c r="J42" s="286"/>
    </row>
    <row r="43" spans="1:22">
      <c r="H43" s="286"/>
      <c r="I43" s="286"/>
      <c r="J43" s="286"/>
    </row>
    <row r="44" spans="1:22">
      <c r="H44" s="286"/>
      <c r="I44" s="286"/>
      <c r="J44" s="286"/>
    </row>
    <row r="45" spans="1:22">
      <c r="H45" s="286"/>
      <c r="I45" s="286"/>
      <c r="J45" s="286"/>
    </row>
    <row r="46" spans="1:22">
      <c r="H46" s="286"/>
      <c r="I46" s="286"/>
      <c r="J46" s="286"/>
    </row>
    <row r="47" spans="1:22">
      <c r="H47" s="286"/>
      <c r="I47" s="286"/>
      <c r="J47" s="286"/>
    </row>
    <row r="48" spans="1:22">
      <c r="H48" s="286"/>
      <c r="I48" s="286"/>
      <c r="J48" s="286"/>
    </row>
    <row r="49" spans="8:10">
      <c r="H49" s="286"/>
      <c r="I49" s="286"/>
      <c r="J49" s="286"/>
    </row>
    <row r="50" spans="8:10">
      <c r="H50" s="286"/>
      <c r="I50" s="286"/>
      <c r="J50" s="286"/>
    </row>
    <row r="51" spans="8:10">
      <c r="H51" s="286"/>
      <c r="I51" s="286"/>
      <c r="J51" s="286"/>
    </row>
    <row r="52" spans="8:10">
      <c r="H52" s="286"/>
      <c r="I52" s="286"/>
      <c r="J52" s="286"/>
    </row>
    <row r="53" spans="8:10">
      <c r="H53" s="286"/>
      <c r="I53" s="286"/>
      <c r="J53" s="286"/>
    </row>
    <row r="54" spans="8:10">
      <c r="H54" s="286"/>
      <c r="I54" s="286"/>
      <c r="J54" s="286"/>
    </row>
    <row r="55" spans="8:10">
      <c r="H55" s="286"/>
      <c r="I55" s="286"/>
      <c r="J55" s="286"/>
    </row>
    <row r="56" spans="8:10">
      <c r="H56" s="286"/>
      <c r="I56" s="286"/>
      <c r="J56" s="286"/>
    </row>
    <row r="57" spans="8:10">
      <c r="H57" s="286"/>
      <c r="I57" s="286"/>
      <c r="J57" s="286"/>
    </row>
    <row r="58" spans="8:10">
      <c r="H58" s="286"/>
      <c r="I58" s="286"/>
      <c r="J58" s="286"/>
    </row>
    <row r="59" spans="8:10">
      <c r="H59" s="286"/>
      <c r="I59" s="286"/>
      <c r="J59" s="286"/>
    </row>
    <row r="60" spans="8:10">
      <c r="H60" s="286"/>
      <c r="I60" s="286"/>
      <c r="J60" s="286"/>
    </row>
    <row r="61" spans="8:10">
      <c r="H61" s="286"/>
      <c r="I61" s="286"/>
      <c r="J61" s="286"/>
    </row>
    <row r="62" spans="8:10">
      <c r="H62" s="286"/>
      <c r="I62" s="286"/>
      <c r="J62" s="286"/>
    </row>
    <row r="63" spans="8:10">
      <c r="H63" s="286"/>
      <c r="I63" s="286"/>
      <c r="J63" s="286"/>
    </row>
    <row r="64" spans="8:10">
      <c r="H64" s="286"/>
      <c r="I64" s="286"/>
      <c r="J64" s="286"/>
    </row>
    <row r="65" spans="8:10">
      <c r="H65" s="286"/>
      <c r="I65" s="286"/>
      <c r="J65" s="286"/>
    </row>
    <row r="66" spans="8:10">
      <c r="H66" s="286"/>
      <c r="I66" s="286"/>
      <c r="J66" s="286"/>
    </row>
    <row r="67" spans="8:10">
      <c r="H67" s="286"/>
      <c r="I67" s="286"/>
      <c r="J67" s="286"/>
    </row>
    <row r="68" spans="8:10">
      <c r="H68" s="286"/>
      <c r="I68" s="286"/>
      <c r="J68" s="286"/>
    </row>
    <row r="69" spans="8:10">
      <c r="H69" s="286"/>
      <c r="I69" s="286"/>
      <c r="J69" s="286"/>
    </row>
    <row r="70" spans="8:10">
      <c r="H70" s="286"/>
      <c r="I70" s="286"/>
      <c r="J70" s="286"/>
    </row>
    <row r="71" spans="8:10">
      <c r="H71" s="286"/>
      <c r="I71" s="286"/>
      <c r="J71" s="286"/>
    </row>
    <row r="72" spans="8:10">
      <c r="H72" s="286"/>
      <c r="I72" s="286"/>
      <c r="J72" s="286"/>
    </row>
    <row r="73" spans="8:10">
      <c r="H73" s="286"/>
      <c r="I73" s="286"/>
      <c r="J73" s="286"/>
    </row>
    <row r="74" spans="8:10">
      <c r="H74" s="479"/>
      <c r="I74" s="286"/>
      <c r="J74" s="286"/>
    </row>
    <row r="75" spans="8:10">
      <c r="H75" s="286"/>
      <c r="I75" s="286"/>
      <c r="J75" s="286"/>
    </row>
  </sheetData>
  <mergeCells count="3">
    <mergeCell ref="A1:D2"/>
    <mergeCell ref="L3:R3"/>
    <mergeCell ref="G2:I3"/>
  </mergeCells>
  <conditionalFormatting sqref="M26:R37">
    <cfRule type="cellIs" dxfId="3" priority="4" operator="greaterThan">
      <formula>0</formula>
    </cfRule>
  </conditionalFormatting>
  <conditionalFormatting sqref="R5:R16">
    <cfRule type="cellIs" dxfId="2" priority="3" operator="greaterThan">
      <formula>0</formula>
    </cfRule>
  </conditionalFormatting>
  <conditionalFormatting sqref="M5:Q16">
    <cfRule type="cellIs" dxfId="1" priority="1" operator="greaterThan">
      <formula>0</formula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92"/>
  <sheetViews>
    <sheetView tabSelected="1" topLeftCell="A35" zoomScale="80" zoomScaleNormal="80" workbookViewId="0">
      <selection activeCell="O70" sqref="O70"/>
    </sheetView>
  </sheetViews>
  <sheetFormatPr defaultRowHeight="15"/>
  <cols>
    <col min="2" max="2" width="39.5703125" customWidth="1"/>
    <col min="3" max="3" width="24.7109375" customWidth="1"/>
    <col min="4" max="4" width="22.42578125" customWidth="1"/>
    <col min="5" max="5" width="21" customWidth="1"/>
    <col min="7" max="7" width="21.140625" customWidth="1"/>
    <col min="8" max="8" width="23.85546875" customWidth="1"/>
    <col min="9" max="9" width="22.7109375" customWidth="1"/>
    <col min="13" max="13" width="20.85546875" customWidth="1"/>
    <col min="14" max="14" width="20.140625" customWidth="1"/>
    <col min="16" max="16" width="14" customWidth="1"/>
    <col min="17" max="17" width="23.85546875" customWidth="1"/>
    <col min="18" max="18" width="25.42578125" customWidth="1"/>
    <col min="19" max="19" width="17.85546875" customWidth="1"/>
    <col min="20" max="20" width="20.28515625" customWidth="1"/>
    <col min="21" max="22" width="25.85546875" customWidth="1"/>
  </cols>
  <sheetData>
    <row r="3" spans="2:22">
      <c r="F3" s="267"/>
      <c r="G3" s="267"/>
      <c r="H3" s="267"/>
    </row>
    <row r="4" spans="2:22">
      <c r="B4" s="534"/>
      <c r="C4" s="534"/>
      <c r="D4" s="534"/>
      <c r="E4" s="267"/>
      <c r="F4" s="534"/>
      <c r="G4" s="534"/>
      <c r="H4" s="381"/>
      <c r="I4" s="267"/>
      <c r="J4" s="267"/>
      <c r="K4" s="267"/>
      <c r="L4" s="382"/>
      <c r="M4" s="368"/>
      <c r="N4" s="382"/>
      <c r="O4" s="267"/>
      <c r="P4" s="267"/>
      <c r="Q4" s="267"/>
      <c r="R4" s="267"/>
      <c r="S4" s="267"/>
      <c r="T4" s="267"/>
      <c r="U4" s="267"/>
      <c r="V4" s="267"/>
    </row>
    <row r="5" spans="2:22">
      <c r="B5" s="382"/>
      <c r="C5" s="382"/>
      <c r="D5" s="382"/>
      <c r="E5" s="267"/>
      <c r="F5" s="382"/>
      <c r="G5" s="382"/>
      <c r="H5" s="382"/>
      <c r="I5" s="267"/>
      <c r="J5" s="267"/>
      <c r="K5" s="267"/>
      <c r="L5" s="563"/>
      <c r="M5" s="563"/>
      <c r="N5" s="563"/>
      <c r="O5" s="267"/>
      <c r="P5" s="382"/>
      <c r="Q5" s="368"/>
      <c r="R5" s="382"/>
      <c r="S5" s="267"/>
      <c r="T5" s="267"/>
      <c r="U5" s="267"/>
      <c r="V5" s="267"/>
    </row>
    <row r="6" spans="2:22">
      <c r="B6" s="340" t="s">
        <v>497</v>
      </c>
      <c r="C6" s="340" t="s">
        <v>512</v>
      </c>
      <c r="D6" s="340" t="s">
        <v>511</v>
      </c>
      <c r="E6" s="267"/>
      <c r="F6" s="381"/>
      <c r="G6" s="382"/>
      <c r="H6" s="382"/>
      <c r="I6" s="382"/>
      <c r="J6" s="382"/>
      <c r="K6" s="382"/>
      <c r="L6" s="382"/>
      <c r="M6" s="382"/>
      <c r="N6" s="382"/>
      <c r="O6" s="267"/>
      <c r="P6" s="563"/>
      <c r="Q6" s="563"/>
      <c r="R6" s="563"/>
      <c r="S6" s="267"/>
      <c r="T6" s="563"/>
      <c r="U6" s="563"/>
      <c r="V6" s="382"/>
    </row>
    <row r="7" spans="2:22">
      <c r="B7" s="392" t="s">
        <v>513</v>
      </c>
      <c r="C7" s="392">
        <v>1700</v>
      </c>
      <c r="D7" s="392">
        <v>229.4845</v>
      </c>
      <c r="E7" s="267"/>
      <c r="F7" s="382"/>
      <c r="G7" s="534"/>
      <c r="H7" s="534"/>
      <c r="I7" s="534"/>
      <c r="J7" s="381"/>
      <c r="K7" s="381"/>
      <c r="L7" s="381"/>
      <c r="M7" s="381"/>
      <c r="N7" s="381"/>
      <c r="O7" s="267"/>
      <c r="P7" s="382"/>
      <c r="Q7" s="382"/>
      <c r="R7" s="382"/>
      <c r="S7" s="267"/>
      <c r="T7" s="382"/>
      <c r="U7" s="382"/>
      <c r="V7" s="382"/>
    </row>
    <row r="8" spans="2:22">
      <c r="B8" s="392" t="s">
        <v>503</v>
      </c>
      <c r="C8" s="392">
        <v>300</v>
      </c>
      <c r="D8" s="392">
        <v>45</v>
      </c>
      <c r="E8" s="267"/>
      <c r="F8" s="382"/>
      <c r="G8" s="382"/>
      <c r="H8" s="382"/>
      <c r="I8" s="382"/>
      <c r="J8" s="382"/>
      <c r="K8" s="382"/>
      <c r="L8" s="382"/>
      <c r="M8" s="382"/>
      <c r="N8" s="382"/>
      <c r="O8" s="267"/>
      <c r="P8" s="381"/>
      <c r="Q8" s="381"/>
      <c r="R8" s="381"/>
      <c r="S8" s="267"/>
      <c r="T8" s="381"/>
      <c r="U8" s="381"/>
      <c r="V8" s="381"/>
    </row>
    <row r="9" spans="2:22">
      <c r="B9" s="392" t="s">
        <v>486</v>
      </c>
      <c r="C9" s="392">
        <v>400</v>
      </c>
      <c r="D9" s="392">
        <v>60</v>
      </c>
      <c r="E9" s="267"/>
      <c r="F9" s="382"/>
      <c r="G9" s="381"/>
      <c r="H9" s="381"/>
      <c r="I9" s="381"/>
      <c r="J9" s="381"/>
      <c r="K9" s="381"/>
      <c r="L9" s="382"/>
      <c r="M9" s="382"/>
      <c r="N9" s="382"/>
      <c r="O9" s="267"/>
      <c r="P9" s="382"/>
      <c r="Q9" s="382"/>
      <c r="R9" s="382"/>
      <c r="S9" s="267"/>
      <c r="T9" s="382"/>
      <c r="U9" s="382"/>
      <c r="V9" s="382"/>
    </row>
    <row r="10" spans="2:22">
      <c r="B10" s="392" t="s">
        <v>514</v>
      </c>
      <c r="C10" s="392">
        <v>300</v>
      </c>
      <c r="D10" s="392">
        <v>45</v>
      </c>
      <c r="E10" s="267"/>
      <c r="F10" s="382"/>
      <c r="G10" s="382"/>
      <c r="H10" s="382"/>
      <c r="I10" s="382"/>
      <c r="J10" s="382"/>
      <c r="K10" s="382"/>
      <c r="L10" s="382"/>
      <c r="M10" s="382"/>
      <c r="N10" s="382"/>
      <c r="O10" s="267"/>
      <c r="P10" s="382"/>
      <c r="Q10" s="382"/>
      <c r="R10" s="382"/>
      <c r="S10" s="267"/>
      <c r="T10" s="382"/>
      <c r="U10" s="382"/>
      <c r="V10" s="382"/>
    </row>
    <row r="11" spans="2:22">
      <c r="B11" s="392" t="s">
        <v>515</v>
      </c>
      <c r="C11" s="392">
        <v>0</v>
      </c>
      <c r="D11" s="392">
        <v>0</v>
      </c>
      <c r="E11" s="267"/>
      <c r="F11" s="382"/>
      <c r="G11" s="382"/>
      <c r="H11" s="382"/>
      <c r="I11" s="382"/>
      <c r="J11" s="382"/>
      <c r="K11" s="382"/>
      <c r="L11" s="382"/>
      <c r="M11" s="382"/>
      <c r="N11" s="382"/>
      <c r="O11" s="267"/>
      <c r="P11" s="382"/>
      <c r="Q11" s="382"/>
      <c r="R11" s="382"/>
      <c r="S11" s="267"/>
      <c r="T11" s="382"/>
      <c r="U11" s="382"/>
      <c r="V11" s="382"/>
    </row>
    <row r="12" spans="2:22">
      <c r="B12" s="392" t="s">
        <v>516</v>
      </c>
      <c r="C12" s="392">
        <v>900</v>
      </c>
      <c r="D12" s="392">
        <v>122.73779999999999</v>
      </c>
      <c r="E12" s="267"/>
      <c r="F12" s="382"/>
      <c r="G12" s="382"/>
      <c r="H12" s="382"/>
      <c r="I12" s="382"/>
      <c r="J12" s="382"/>
      <c r="K12" s="382"/>
      <c r="L12" s="382"/>
      <c r="M12" s="382"/>
      <c r="N12" s="382"/>
      <c r="O12" s="267"/>
      <c r="P12" s="18"/>
      <c r="Q12" s="18"/>
      <c r="R12" s="382"/>
      <c r="S12" s="267"/>
      <c r="T12" s="382"/>
      <c r="U12" s="323"/>
      <c r="V12" s="382"/>
    </row>
    <row r="13" spans="2:22">
      <c r="B13" s="392" t="s">
        <v>498</v>
      </c>
      <c r="C13" s="392">
        <v>600</v>
      </c>
      <c r="D13" s="392">
        <v>90</v>
      </c>
      <c r="E13" s="267"/>
      <c r="F13" s="382"/>
      <c r="G13" s="382"/>
      <c r="H13" s="382"/>
      <c r="I13" s="382"/>
      <c r="J13" s="382"/>
      <c r="K13" s="382"/>
      <c r="L13" s="382"/>
      <c r="M13" s="382"/>
      <c r="N13" s="382"/>
      <c r="O13" s="267"/>
      <c r="P13" s="18"/>
      <c r="Q13" s="18"/>
      <c r="R13" s="382"/>
      <c r="S13" s="267"/>
      <c r="T13" s="18"/>
      <c r="U13" s="18"/>
      <c r="V13" s="382"/>
    </row>
    <row r="14" spans="2:22">
      <c r="B14" s="392" t="s">
        <v>499</v>
      </c>
      <c r="C14" s="392">
        <v>400</v>
      </c>
      <c r="D14" s="392">
        <v>60</v>
      </c>
      <c r="E14" s="267"/>
      <c r="F14" s="382"/>
      <c r="G14" s="18"/>
      <c r="H14" s="18"/>
      <c r="I14" s="382"/>
      <c r="J14" s="382"/>
      <c r="K14" s="382"/>
      <c r="L14" s="382"/>
      <c r="M14" s="382"/>
      <c r="N14" s="382"/>
      <c r="O14" s="267"/>
      <c r="P14" s="267"/>
      <c r="Q14" s="267"/>
      <c r="R14" s="267"/>
      <c r="S14" s="267"/>
      <c r="T14" s="18"/>
      <c r="U14" s="18"/>
      <c r="V14" s="267"/>
    </row>
    <row r="15" spans="2:22">
      <c r="B15" s="392" t="s">
        <v>500</v>
      </c>
      <c r="C15" s="392">
        <v>300</v>
      </c>
      <c r="D15" s="392">
        <v>45</v>
      </c>
      <c r="E15" s="267"/>
      <c r="F15" s="18"/>
      <c r="G15" s="18"/>
      <c r="H15" s="18"/>
      <c r="I15" s="382"/>
      <c r="J15" s="382"/>
      <c r="K15" s="382"/>
      <c r="L15" s="382"/>
      <c r="M15" s="382"/>
      <c r="N15" s="382"/>
      <c r="O15" s="267"/>
      <c r="P15" s="267"/>
      <c r="Q15" s="267"/>
      <c r="R15" s="267"/>
      <c r="S15" s="267"/>
      <c r="T15" s="267"/>
      <c r="U15" s="267"/>
      <c r="V15" s="267"/>
    </row>
    <row r="16" spans="2:22">
      <c r="B16" s="392" t="s">
        <v>501</v>
      </c>
      <c r="C16" s="392">
        <v>0</v>
      </c>
      <c r="D16" s="392">
        <v>0</v>
      </c>
      <c r="E16" s="267"/>
      <c r="F16" s="18"/>
      <c r="G16" s="18"/>
      <c r="H16" s="382"/>
      <c r="I16" s="267"/>
      <c r="J16" s="267"/>
      <c r="K16" s="267"/>
      <c r="L16" s="18"/>
      <c r="M16" s="18"/>
      <c r="N16" s="382"/>
      <c r="O16" s="267"/>
      <c r="P16" s="267"/>
      <c r="Q16" s="267"/>
      <c r="R16" s="267"/>
      <c r="S16" s="267"/>
      <c r="T16" s="267"/>
      <c r="U16" s="267"/>
      <c r="V16" s="267"/>
    </row>
    <row r="17" spans="2:24">
      <c r="B17" s="392" t="s">
        <v>502</v>
      </c>
      <c r="C17" s="392">
        <v>0</v>
      </c>
      <c r="D17" s="392">
        <v>0</v>
      </c>
      <c r="E17" s="267"/>
      <c r="F17" s="382"/>
      <c r="G17" s="382"/>
      <c r="H17" s="382"/>
      <c r="I17" s="267"/>
      <c r="J17" s="267"/>
      <c r="K17" s="267"/>
      <c r="L17" s="18"/>
      <c r="M17" s="18"/>
      <c r="N17" s="382"/>
      <c r="O17" s="267"/>
      <c r="P17" s="267"/>
      <c r="Q17" s="267"/>
      <c r="R17" s="267"/>
      <c r="S17" s="267"/>
      <c r="T17" s="267"/>
      <c r="U17" s="267"/>
      <c r="V17" s="267"/>
    </row>
    <row r="18" spans="2:24">
      <c r="B18" s="392" t="s">
        <v>530</v>
      </c>
      <c r="C18" s="392">
        <v>0</v>
      </c>
      <c r="D18" s="392">
        <v>0</v>
      </c>
      <c r="Q18" s="286"/>
    </row>
    <row r="19" spans="2:24" ht="15.75" thickBot="1">
      <c r="B19" s="392" t="s">
        <v>529</v>
      </c>
      <c r="C19" s="392">
        <v>0</v>
      </c>
      <c r="D19" s="392">
        <v>0</v>
      </c>
      <c r="Q19" s="411"/>
      <c r="R19" s="58"/>
      <c r="S19" s="5"/>
    </row>
    <row r="20" spans="2:24">
      <c r="B20" s="392" t="s">
        <v>532</v>
      </c>
      <c r="C20" s="392">
        <v>0</v>
      </c>
      <c r="D20" s="392">
        <v>0</v>
      </c>
      <c r="Q20" s="286"/>
      <c r="S20" s="553" t="s">
        <v>459</v>
      </c>
      <c r="T20" s="554"/>
      <c r="U20" s="318"/>
      <c r="V20" s="563"/>
      <c r="W20" s="563"/>
      <c r="X20" s="11"/>
    </row>
    <row r="21" spans="2:24">
      <c r="B21" s="392" t="s">
        <v>531</v>
      </c>
      <c r="C21" s="392">
        <v>0</v>
      </c>
      <c r="D21" s="392">
        <v>0</v>
      </c>
      <c r="Q21" s="286"/>
      <c r="S21" s="90"/>
      <c r="T21" s="316"/>
      <c r="U21" s="99"/>
      <c r="V21" s="11"/>
      <c r="W21" s="11"/>
      <c r="X21" s="11"/>
    </row>
    <row r="22" spans="2:24">
      <c r="B22" s="382"/>
      <c r="C22" s="382"/>
      <c r="D22" s="382"/>
      <c r="S22" s="138" t="s">
        <v>390</v>
      </c>
      <c r="T22" s="137" t="s">
        <v>389</v>
      </c>
      <c r="U22" s="136" t="s">
        <v>388</v>
      </c>
      <c r="V22" s="317"/>
      <c r="W22" s="317"/>
      <c r="X22" s="317"/>
    </row>
    <row r="23" spans="2:24">
      <c r="B23" s="18"/>
      <c r="C23" s="382"/>
      <c r="D23" s="382"/>
      <c r="G23" s="393"/>
      <c r="H23" s="393"/>
      <c r="I23" s="267"/>
      <c r="S23" s="169"/>
      <c r="T23" s="168"/>
      <c r="U23" s="99">
        <f>(T23/200)*100</f>
        <v>0</v>
      </c>
      <c r="V23" s="11"/>
      <c r="W23" s="11"/>
      <c r="X23" s="11"/>
    </row>
    <row r="24" spans="2:24">
      <c r="B24" s="18"/>
      <c r="C24" s="382"/>
      <c r="D24" s="382"/>
      <c r="G24" s="267"/>
      <c r="H24" s="267"/>
      <c r="I24" s="267"/>
      <c r="S24" s="169" t="s">
        <v>12</v>
      </c>
      <c r="T24" s="168">
        <v>12.23</v>
      </c>
      <c r="U24" s="99">
        <v>6.1150000000000002</v>
      </c>
      <c r="V24" s="11"/>
      <c r="W24" s="11"/>
      <c r="X24" s="11"/>
    </row>
    <row r="25" spans="2:24">
      <c r="B25" s="267"/>
      <c r="C25" s="267"/>
      <c r="D25" s="267"/>
      <c r="G25" s="267"/>
      <c r="H25" s="267"/>
      <c r="I25" s="267"/>
      <c r="S25" s="169" t="s">
        <v>6</v>
      </c>
      <c r="T25" s="168">
        <v>4.04</v>
      </c>
      <c r="U25" s="99">
        <v>1.01</v>
      </c>
      <c r="V25" s="11"/>
      <c r="W25" s="11"/>
      <c r="X25" s="11"/>
    </row>
    <row r="26" spans="2:24">
      <c r="G26" s="267"/>
      <c r="H26" s="267"/>
      <c r="I26" s="267"/>
      <c r="S26" s="169" t="s">
        <v>27</v>
      </c>
      <c r="T26" s="168">
        <v>28.09</v>
      </c>
      <c r="U26" s="99">
        <v>14.04</v>
      </c>
      <c r="V26" s="11"/>
      <c r="W26" s="323"/>
      <c r="X26" s="11"/>
    </row>
    <row r="27" spans="2:24">
      <c r="G27" s="267"/>
      <c r="H27" s="267"/>
      <c r="I27" s="267"/>
      <c r="S27" s="169" t="s">
        <v>327</v>
      </c>
      <c r="T27" s="168">
        <v>116.26</v>
      </c>
      <c r="U27" s="99">
        <v>38.75</v>
      </c>
      <c r="V27" s="18"/>
      <c r="W27" s="18"/>
      <c r="X27" s="11"/>
    </row>
    <row r="28" spans="2:24">
      <c r="B28" s="286"/>
      <c r="C28" s="286"/>
      <c r="D28" s="286"/>
      <c r="G28" s="267"/>
      <c r="H28" s="267"/>
      <c r="I28" s="267"/>
      <c r="S28" s="169"/>
      <c r="T28" s="168"/>
      <c r="U28" s="99"/>
      <c r="V28" s="18"/>
      <c r="W28" s="18"/>
      <c r="X28" s="267"/>
    </row>
    <row r="29" spans="2:24">
      <c r="B29" s="532"/>
      <c r="C29" s="532"/>
      <c r="D29" s="532"/>
      <c r="G29" s="267"/>
      <c r="H29" s="267"/>
      <c r="I29" s="267"/>
      <c r="S29" s="169"/>
      <c r="T29" s="168"/>
      <c r="U29" s="230"/>
    </row>
    <row r="30" spans="2:24">
      <c r="B30" s="357"/>
      <c r="C30" s="357"/>
      <c r="D30" s="357"/>
      <c r="G30" s="565"/>
      <c r="H30" s="565"/>
      <c r="I30" s="565"/>
      <c r="S30" s="169"/>
      <c r="T30" s="168"/>
      <c r="U30" s="229"/>
    </row>
    <row r="31" spans="2:24">
      <c r="B31" s="352"/>
      <c r="C31" s="352"/>
      <c r="D31" s="355"/>
      <c r="G31" s="389"/>
      <c r="H31" s="389"/>
      <c r="I31" s="389"/>
      <c r="S31" s="169"/>
      <c r="T31" s="168"/>
      <c r="U31" s="99"/>
    </row>
    <row r="32" spans="2:24">
      <c r="B32" s="534"/>
      <c r="C32" s="534"/>
      <c r="D32" s="534"/>
      <c r="G32" s="389"/>
      <c r="H32" s="389"/>
      <c r="I32" s="389"/>
      <c r="S32" s="169" t="s">
        <v>14</v>
      </c>
      <c r="T32" s="168">
        <v>2.17</v>
      </c>
      <c r="U32" s="99">
        <v>0.54</v>
      </c>
    </row>
    <row r="33" spans="2:22" ht="15.75" thickBot="1">
      <c r="B33" s="356"/>
      <c r="C33" s="356"/>
      <c r="D33" s="356"/>
      <c r="G33" s="389"/>
      <c r="H33" s="389"/>
      <c r="I33" s="389"/>
      <c r="S33" s="266"/>
      <c r="T33" s="265"/>
      <c r="U33" s="89"/>
    </row>
    <row r="34" spans="2:22" ht="15.75" thickBot="1">
      <c r="B34" s="352"/>
      <c r="C34" s="352"/>
      <c r="D34" s="352"/>
      <c r="G34" s="389"/>
      <c r="H34" s="389"/>
      <c r="I34" s="389"/>
      <c r="S34" s="126" t="s">
        <v>369</v>
      </c>
      <c r="T34" s="277">
        <f>SUM(T23:T33)</f>
        <v>162.79</v>
      </c>
      <c r="U34" s="276"/>
    </row>
    <row r="35" spans="2:22">
      <c r="B35" s="356"/>
      <c r="C35" s="356"/>
      <c r="D35" s="356"/>
      <c r="G35" s="389"/>
      <c r="H35" s="389"/>
      <c r="I35" s="389"/>
      <c r="S35" s="17" t="s">
        <v>365</v>
      </c>
      <c r="T35" s="17">
        <v>1.88</v>
      </c>
      <c r="U35" s="276"/>
    </row>
    <row r="36" spans="2:22">
      <c r="B36" s="356"/>
      <c r="C36" s="356"/>
      <c r="D36" s="356"/>
      <c r="G36" s="389"/>
      <c r="H36" s="389"/>
      <c r="I36" s="389"/>
    </row>
    <row r="37" spans="2:22">
      <c r="B37" s="356"/>
      <c r="C37" s="356"/>
      <c r="D37" s="356"/>
      <c r="G37" s="389"/>
      <c r="H37" s="389"/>
      <c r="I37" s="389"/>
      <c r="S37" s="286"/>
      <c r="T37" s="286"/>
      <c r="U37" s="286"/>
      <c r="V37" s="286"/>
    </row>
    <row r="38" spans="2:22">
      <c r="B38" s="356"/>
      <c r="C38" s="356"/>
      <c r="D38" s="356"/>
      <c r="G38" s="389"/>
      <c r="H38" s="389"/>
      <c r="I38" s="389"/>
      <c r="S38" s="564"/>
      <c r="T38" s="564"/>
      <c r="U38" s="20"/>
      <c r="V38" s="286"/>
    </row>
    <row r="39" spans="2:22">
      <c r="B39" s="18"/>
      <c r="C39" s="18"/>
      <c r="D39" s="356"/>
      <c r="G39" s="389"/>
      <c r="H39" s="389"/>
      <c r="I39" s="389"/>
      <c r="S39" s="20"/>
      <c r="T39" s="20"/>
      <c r="U39" s="20"/>
      <c r="V39" s="286"/>
    </row>
    <row r="40" spans="2:22">
      <c r="B40" s="340" t="s">
        <v>497</v>
      </c>
      <c r="C40" s="340" t="s">
        <v>569</v>
      </c>
      <c r="D40" s="340" t="s">
        <v>570</v>
      </c>
      <c r="E40" s="340" t="s">
        <v>571</v>
      </c>
      <c r="S40" s="199"/>
      <c r="T40" s="199"/>
      <c r="U40" s="199"/>
      <c r="V40" s="286"/>
    </row>
    <row r="41" spans="2:22">
      <c r="B41" s="392" t="s">
        <v>513</v>
      </c>
      <c r="C41" s="392">
        <v>17300</v>
      </c>
      <c r="D41" s="392">
        <v>1700</v>
      </c>
      <c r="E41" s="392">
        <v>19000</v>
      </c>
      <c r="S41" s="11"/>
      <c r="T41" s="11"/>
      <c r="U41" s="20"/>
      <c r="V41" s="286"/>
    </row>
    <row r="42" spans="2:22">
      <c r="B42" s="392" t="s">
        <v>503</v>
      </c>
      <c r="C42" s="392">
        <v>17300</v>
      </c>
      <c r="D42" s="392">
        <v>300</v>
      </c>
      <c r="E42" s="392">
        <v>17600</v>
      </c>
      <c r="S42" s="11"/>
      <c r="T42" s="11"/>
      <c r="U42" s="20"/>
      <c r="V42" s="286"/>
    </row>
    <row r="43" spans="2:22">
      <c r="B43" s="392" t="s">
        <v>486</v>
      </c>
      <c r="C43" s="392">
        <v>17300</v>
      </c>
      <c r="D43" s="392">
        <v>400</v>
      </c>
      <c r="E43" s="392">
        <v>17700</v>
      </c>
      <c r="S43" s="11"/>
      <c r="T43" s="11"/>
      <c r="U43" s="20"/>
      <c r="V43" s="286"/>
    </row>
    <row r="44" spans="2:22">
      <c r="B44" s="392" t="s">
        <v>514</v>
      </c>
      <c r="C44" s="392">
        <v>17300</v>
      </c>
      <c r="D44" s="392">
        <v>300</v>
      </c>
      <c r="E44" s="392">
        <v>17600</v>
      </c>
      <c r="S44" s="11"/>
      <c r="T44" s="11"/>
      <c r="U44" s="20"/>
      <c r="V44" s="286"/>
    </row>
    <row r="45" spans="2:22">
      <c r="B45" s="392" t="s">
        <v>515</v>
      </c>
      <c r="C45" s="392">
        <v>17300</v>
      </c>
      <c r="D45" s="392">
        <v>0</v>
      </c>
      <c r="E45" s="392">
        <v>17300</v>
      </c>
      <c r="S45" s="11"/>
      <c r="T45" s="11"/>
      <c r="U45" s="20"/>
      <c r="V45" s="286"/>
    </row>
    <row r="46" spans="2:22">
      <c r="B46" s="392" t="s">
        <v>516</v>
      </c>
      <c r="C46" s="392">
        <v>17300</v>
      </c>
      <c r="D46" s="392">
        <v>900</v>
      </c>
      <c r="E46" s="392">
        <v>18200</v>
      </c>
      <c r="S46" s="11"/>
      <c r="T46" s="11"/>
      <c r="U46" s="20"/>
      <c r="V46" s="286"/>
    </row>
    <row r="47" spans="2:22">
      <c r="B47" s="392" t="s">
        <v>498</v>
      </c>
      <c r="C47" s="392">
        <v>17300</v>
      </c>
      <c r="D47" s="392">
        <v>600</v>
      </c>
      <c r="E47" s="392">
        <v>17900</v>
      </c>
      <c r="S47" s="11"/>
      <c r="T47" s="11"/>
      <c r="U47" s="20"/>
      <c r="V47" s="286"/>
    </row>
    <row r="48" spans="2:22">
      <c r="B48" s="392" t="s">
        <v>572</v>
      </c>
      <c r="C48" s="392">
        <v>17300</v>
      </c>
      <c r="D48" s="392">
        <v>400</v>
      </c>
      <c r="E48" s="392">
        <v>17700</v>
      </c>
      <c r="S48" s="11"/>
      <c r="T48" s="11"/>
      <c r="U48" s="20"/>
      <c r="V48" s="286"/>
    </row>
    <row r="49" spans="2:22">
      <c r="B49" s="392" t="s">
        <v>500</v>
      </c>
      <c r="C49" s="392">
        <v>17300</v>
      </c>
      <c r="D49" s="392">
        <v>300</v>
      </c>
      <c r="E49" s="392">
        <v>17600</v>
      </c>
      <c r="S49" s="11"/>
      <c r="T49" s="11"/>
      <c r="U49" s="20"/>
      <c r="V49" s="286"/>
    </row>
    <row r="50" spans="2:22">
      <c r="B50" s="392" t="s">
        <v>501</v>
      </c>
      <c r="C50" s="392">
        <v>17300</v>
      </c>
      <c r="D50" s="392">
        <v>0</v>
      </c>
      <c r="E50" s="392">
        <v>17300</v>
      </c>
      <c r="N50" s="422"/>
      <c r="O50" s="422"/>
      <c r="P50" s="422"/>
      <c r="Q50" s="422"/>
      <c r="R50" s="357"/>
      <c r="S50" s="357"/>
      <c r="T50" s="357"/>
      <c r="U50" s="357"/>
      <c r="V50" s="357"/>
    </row>
    <row r="51" spans="2:22">
      <c r="B51" s="392" t="s">
        <v>502</v>
      </c>
      <c r="C51" s="392">
        <v>17300</v>
      </c>
      <c r="D51" s="392">
        <v>0</v>
      </c>
      <c r="E51" s="392">
        <v>17300</v>
      </c>
      <c r="N51" s="360"/>
      <c r="O51" s="360"/>
      <c r="P51" s="406"/>
      <c r="Q51" s="406"/>
      <c r="R51" s="352"/>
      <c r="S51" s="357"/>
      <c r="T51" s="357"/>
      <c r="U51" s="357"/>
      <c r="V51" s="357"/>
    </row>
    <row r="52" spans="2:22">
      <c r="B52" s="392" t="s">
        <v>530</v>
      </c>
      <c r="C52" s="392"/>
      <c r="D52" s="392"/>
      <c r="E52" s="392"/>
      <c r="N52" s="341"/>
      <c r="O52" s="341"/>
      <c r="P52" s="341"/>
      <c r="Q52" s="343"/>
      <c r="R52" s="356"/>
      <c r="S52" s="357"/>
      <c r="T52" s="357"/>
      <c r="U52" s="357"/>
      <c r="V52" s="357"/>
    </row>
    <row r="53" spans="2:22">
      <c r="B53" s="392" t="s">
        <v>532</v>
      </c>
      <c r="C53" s="392"/>
      <c r="D53" s="392"/>
      <c r="E53" s="392">
        <v>12500</v>
      </c>
      <c r="N53" s="341"/>
      <c r="O53" s="341"/>
      <c r="P53" s="341"/>
      <c r="Q53" s="343"/>
      <c r="R53" s="356"/>
      <c r="S53" s="357"/>
      <c r="T53" s="357"/>
      <c r="U53" s="357"/>
      <c r="V53" s="357"/>
    </row>
    <row r="54" spans="2:22">
      <c r="B54" s="392" t="s">
        <v>529</v>
      </c>
      <c r="C54" s="392"/>
      <c r="D54" s="392"/>
      <c r="E54" s="392"/>
      <c r="N54" s="341"/>
      <c r="O54" s="341"/>
      <c r="P54" s="341"/>
      <c r="Q54" s="343"/>
      <c r="R54" s="356"/>
      <c r="S54" s="357"/>
      <c r="T54" s="355"/>
      <c r="U54" s="355"/>
      <c r="V54" s="355"/>
    </row>
    <row r="55" spans="2:22">
      <c r="B55" s="392" t="s">
        <v>531</v>
      </c>
      <c r="C55" s="392"/>
      <c r="D55" s="392"/>
      <c r="E55" s="392">
        <v>12500</v>
      </c>
      <c r="N55" s="341"/>
      <c r="O55" s="341"/>
      <c r="P55" s="341"/>
      <c r="Q55" s="343"/>
      <c r="R55" s="356"/>
      <c r="S55" s="357"/>
      <c r="T55" s="64"/>
      <c r="U55" s="64"/>
      <c r="V55" s="357"/>
    </row>
    <row r="56" spans="2:22">
      <c r="B56" s="411"/>
      <c r="C56" s="411"/>
      <c r="D56" s="411"/>
      <c r="N56" s="341"/>
      <c r="O56" s="341"/>
      <c r="P56" s="341"/>
      <c r="Q56" s="343"/>
      <c r="R56" s="356"/>
      <c r="S56" s="356"/>
      <c r="T56" s="343"/>
      <c r="U56" s="343"/>
      <c r="V56" s="356"/>
    </row>
    <row r="57" spans="2:22">
      <c r="B57" s="407"/>
      <c r="C57" s="411"/>
      <c r="D57" s="411"/>
      <c r="N57" s="341"/>
      <c r="O57" s="341"/>
      <c r="P57" s="341"/>
      <c r="Q57" s="343"/>
      <c r="R57" s="356"/>
      <c r="S57" s="352"/>
      <c r="T57" s="343"/>
      <c r="U57" s="343"/>
      <c r="V57" s="356"/>
    </row>
    <row r="58" spans="2:22">
      <c r="B58" s="340" t="s">
        <v>497</v>
      </c>
      <c r="C58" s="340" t="s">
        <v>571</v>
      </c>
      <c r="D58" s="340" t="s">
        <v>511</v>
      </c>
      <c r="N58" s="341"/>
      <c r="O58" s="341"/>
      <c r="P58" s="341"/>
      <c r="Q58" s="343"/>
      <c r="R58" s="356"/>
      <c r="S58" s="352"/>
      <c r="T58" s="343"/>
      <c r="U58" s="343"/>
      <c r="V58" s="356"/>
    </row>
    <row r="59" spans="2:22">
      <c r="B59" s="392" t="s">
        <v>513</v>
      </c>
      <c r="C59" s="392">
        <v>19000</v>
      </c>
      <c r="D59" s="392">
        <v>1695</v>
      </c>
      <c r="N59" s="341"/>
      <c r="O59" s="343"/>
      <c r="P59" s="343"/>
      <c r="Q59" s="343"/>
      <c r="R59" s="356"/>
      <c r="S59" s="356"/>
      <c r="T59" s="343"/>
      <c r="U59" s="343"/>
      <c r="V59" s="356"/>
    </row>
    <row r="60" spans="2:22">
      <c r="B60" s="392" t="s">
        <v>503</v>
      </c>
      <c r="C60" s="392">
        <v>17600</v>
      </c>
      <c r="D60" s="392">
        <v>1511</v>
      </c>
      <c r="N60" s="343"/>
      <c r="O60" s="343"/>
      <c r="P60" s="343"/>
      <c r="Q60" s="343"/>
      <c r="R60" s="356"/>
      <c r="S60" s="356"/>
      <c r="T60" s="356"/>
      <c r="U60" s="356"/>
      <c r="V60" s="357"/>
    </row>
    <row r="61" spans="2:22">
      <c r="B61" s="392" t="s">
        <v>486</v>
      </c>
      <c r="C61" s="392">
        <v>17700</v>
      </c>
      <c r="D61" s="392">
        <v>1526</v>
      </c>
      <c r="N61" s="341"/>
      <c r="O61" s="343"/>
      <c r="P61" s="343"/>
      <c r="Q61" s="343"/>
      <c r="R61" s="356"/>
      <c r="S61" s="356"/>
      <c r="T61" s="356"/>
      <c r="U61" s="356"/>
      <c r="V61" s="357"/>
    </row>
    <row r="62" spans="2:22">
      <c r="B62" s="392" t="s">
        <v>514</v>
      </c>
      <c r="C62" s="392">
        <v>17600</v>
      </c>
      <c r="D62" s="392">
        <v>1511</v>
      </c>
      <c r="N62" s="341"/>
      <c r="O62" s="343"/>
      <c r="P62" s="343"/>
      <c r="Q62" s="343"/>
      <c r="R62" s="356"/>
      <c r="S62" s="18"/>
      <c r="T62" s="18"/>
      <c r="U62" s="356"/>
      <c r="V62" s="357"/>
    </row>
    <row r="63" spans="2:22">
      <c r="B63" s="392" t="s">
        <v>515</v>
      </c>
      <c r="C63" s="392">
        <v>17300</v>
      </c>
      <c r="D63" s="392">
        <v>1466</v>
      </c>
      <c r="N63" s="343"/>
      <c r="O63" s="343"/>
      <c r="P63" s="343"/>
      <c r="Q63" s="343"/>
      <c r="R63" s="356"/>
      <c r="S63" s="356"/>
      <c r="T63" s="356"/>
      <c r="U63" s="356"/>
      <c r="V63" s="357"/>
    </row>
    <row r="64" spans="2:22">
      <c r="B64" s="392" t="s">
        <v>516</v>
      </c>
      <c r="C64" s="392">
        <v>18200</v>
      </c>
      <c r="D64" s="392">
        <v>1588</v>
      </c>
      <c r="N64" s="343"/>
      <c r="O64" s="343"/>
      <c r="P64" s="343"/>
      <c r="Q64" s="343"/>
      <c r="R64" s="361"/>
      <c r="S64" s="356"/>
      <c r="T64" s="356"/>
      <c r="U64" s="356"/>
      <c r="V64" s="357"/>
    </row>
    <row r="65" spans="2:22">
      <c r="B65" s="392" t="s">
        <v>498</v>
      </c>
      <c r="C65" s="392">
        <v>17900</v>
      </c>
      <c r="D65" s="392">
        <v>1556</v>
      </c>
      <c r="N65" s="410"/>
      <c r="O65" s="410"/>
      <c r="P65" s="410"/>
      <c r="Q65" s="410"/>
      <c r="R65" s="352"/>
      <c r="S65" s="356"/>
      <c r="T65" s="356"/>
      <c r="U65" s="356"/>
      <c r="V65" s="357"/>
    </row>
    <row r="66" spans="2:22">
      <c r="B66" s="392" t="s">
        <v>572</v>
      </c>
      <c r="C66" s="392">
        <v>17700</v>
      </c>
      <c r="D66" s="392">
        <v>1526</v>
      </c>
      <c r="N66" s="410"/>
      <c r="O66" s="410"/>
      <c r="P66" s="410"/>
      <c r="Q66" s="410"/>
      <c r="R66" s="352"/>
      <c r="S66" s="356"/>
      <c r="T66" s="356"/>
      <c r="U66" s="356"/>
      <c r="V66" s="357"/>
    </row>
    <row r="67" spans="2:22">
      <c r="B67" s="392" t="s">
        <v>500</v>
      </c>
      <c r="C67" s="392">
        <v>17600</v>
      </c>
      <c r="D67" s="392">
        <v>1511</v>
      </c>
    </row>
    <row r="68" spans="2:22">
      <c r="B68" s="392" t="s">
        <v>501</v>
      </c>
      <c r="C68" s="392">
        <v>17300</v>
      </c>
      <c r="D68" s="392">
        <v>1466</v>
      </c>
    </row>
    <row r="69" spans="2:22">
      <c r="B69" s="392" t="s">
        <v>502</v>
      </c>
      <c r="C69" s="392">
        <v>17300</v>
      </c>
      <c r="D69" s="392">
        <v>1466</v>
      </c>
    </row>
    <row r="70" spans="2:22">
      <c r="B70" s="392" t="s">
        <v>530</v>
      </c>
      <c r="C70" s="392"/>
      <c r="D70" s="392"/>
    </row>
    <row r="71" spans="2:22">
      <c r="B71" s="392" t="s">
        <v>532</v>
      </c>
      <c r="C71" s="392">
        <v>12500</v>
      </c>
      <c r="D71" s="392">
        <v>1148</v>
      </c>
    </row>
    <row r="72" spans="2:22">
      <c r="B72" s="392" t="s">
        <v>529</v>
      </c>
      <c r="C72" s="392"/>
      <c r="D72" s="392"/>
    </row>
    <row r="73" spans="2:22">
      <c r="B73" s="392" t="s">
        <v>531</v>
      </c>
      <c r="C73" s="392">
        <v>12500</v>
      </c>
      <c r="D73" s="392">
        <v>1148</v>
      </c>
    </row>
    <row r="86" spans="7:9">
      <c r="G86" s="410"/>
      <c r="H86" s="410"/>
      <c r="I86" s="410"/>
    </row>
    <row r="87" spans="7:9">
      <c r="G87" s="410"/>
      <c r="H87" s="410"/>
      <c r="I87" s="410"/>
    </row>
    <row r="88" spans="7:9">
      <c r="G88" s="410"/>
      <c r="H88" s="410"/>
      <c r="I88" s="410"/>
    </row>
    <row r="89" spans="7:9">
      <c r="G89" s="410"/>
      <c r="H89" s="410"/>
      <c r="I89" s="410"/>
    </row>
    <row r="90" spans="7:9">
      <c r="G90" s="389"/>
      <c r="H90" s="389"/>
      <c r="I90" s="389"/>
    </row>
    <row r="91" spans="7:9">
      <c r="G91" s="389"/>
      <c r="H91" s="389"/>
      <c r="I91" s="389"/>
    </row>
    <row r="92" spans="7:9">
      <c r="G92" s="384"/>
      <c r="H92" s="389"/>
      <c r="I92" s="389"/>
    </row>
  </sheetData>
  <mergeCells count="12">
    <mergeCell ref="T6:U6"/>
    <mergeCell ref="B32:D32"/>
    <mergeCell ref="B4:D4"/>
    <mergeCell ref="F4:G4"/>
    <mergeCell ref="G7:I7"/>
    <mergeCell ref="L5:N5"/>
    <mergeCell ref="P6:R6"/>
    <mergeCell ref="V20:W20"/>
    <mergeCell ref="S38:T38"/>
    <mergeCell ref="B29:D29"/>
    <mergeCell ref="S20:T20"/>
    <mergeCell ref="G30:I30"/>
  </mergeCells>
  <conditionalFormatting sqref="M52:R63">
    <cfRule type="cellIs" dxfId="0" priority="1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W34"/>
  <sheetViews>
    <sheetView topLeftCell="E1" zoomScaleNormal="100" workbookViewId="0">
      <selection activeCell="O41" sqref="O41"/>
    </sheetView>
  </sheetViews>
  <sheetFormatPr defaultRowHeight="15"/>
  <cols>
    <col min="2" max="2" width="13.140625" customWidth="1"/>
    <col min="3" max="3" width="12.42578125" customWidth="1"/>
    <col min="4" max="4" width="18.42578125" customWidth="1"/>
    <col min="5" max="5" width="17.42578125" customWidth="1"/>
    <col min="6" max="8" width="22.28515625" customWidth="1"/>
    <col min="9" max="9" width="18.5703125" customWidth="1"/>
    <col min="10" max="10" width="17.140625" customWidth="1"/>
    <col min="11" max="12" width="17" customWidth="1"/>
  </cols>
  <sheetData>
    <row r="1" spans="1:23">
      <c r="A1" s="4" t="s">
        <v>32</v>
      </c>
      <c r="B1" s="4" t="s">
        <v>35</v>
      </c>
      <c r="C1" s="4" t="s">
        <v>34</v>
      </c>
      <c r="D1" s="4" t="s">
        <v>1</v>
      </c>
      <c r="E1" s="4" t="s">
        <v>41</v>
      </c>
      <c r="F1" s="4" t="s">
        <v>37</v>
      </c>
      <c r="G1" s="293" t="s">
        <v>460</v>
      </c>
      <c r="H1" s="293" t="s">
        <v>461</v>
      </c>
      <c r="I1" s="4" t="s">
        <v>43</v>
      </c>
      <c r="J1" s="4" t="s">
        <v>33</v>
      </c>
      <c r="K1" s="380" t="s">
        <v>42</v>
      </c>
      <c r="L1" s="4" t="s">
        <v>79</v>
      </c>
    </row>
    <row r="2" spans="1:23">
      <c r="A2" s="5" t="s">
        <v>0</v>
      </c>
      <c r="B2" s="6" t="s">
        <v>72</v>
      </c>
      <c r="C2" s="7">
        <v>774.56</v>
      </c>
      <c r="D2" s="8" t="s">
        <v>75</v>
      </c>
      <c r="E2" s="7">
        <v>150</v>
      </c>
      <c r="F2" s="7">
        <v>593.39250000000004</v>
      </c>
      <c r="G2" s="7">
        <v>0.5</v>
      </c>
      <c r="H2" s="7">
        <f>G2*F2</f>
        <v>296.69625000000002</v>
      </c>
      <c r="I2" s="7">
        <f>CEILING(H2/(E2*0.84),1)</f>
        <v>3</v>
      </c>
      <c r="J2" s="7">
        <f>I2*E2</f>
        <v>450</v>
      </c>
      <c r="K2" s="376">
        <f>J2-H2</f>
        <v>153.30374999999998</v>
      </c>
      <c r="L2" s="9">
        <f>(H2/J2)*100</f>
        <v>65.932500000000005</v>
      </c>
      <c r="P2" s="3" t="s">
        <v>39</v>
      </c>
      <c r="W2" s="3" t="s">
        <v>40</v>
      </c>
    </row>
    <row r="3" spans="1:23">
      <c r="A3" s="5" t="s">
        <v>2</v>
      </c>
      <c r="B3" s="10" t="s">
        <v>73</v>
      </c>
      <c r="C3" s="11">
        <v>386.9</v>
      </c>
      <c r="D3" s="11" t="s">
        <v>76</v>
      </c>
      <c r="E3" s="11">
        <v>200</v>
      </c>
      <c r="F3" s="11">
        <v>131.95400000000001</v>
      </c>
      <c r="G3" s="11">
        <v>0.5</v>
      </c>
      <c r="H3" s="11">
        <f t="shared" ref="H3:H32" si="0">G3*F3</f>
        <v>65.977000000000004</v>
      </c>
      <c r="I3" s="11">
        <f t="shared" ref="I3:I32" si="1">CEILING(H3/(E3*0.84),1)</f>
        <v>1</v>
      </c>
      <c r="J3" s="11">
        <f t="shared" ref="J3:J32" si="2">I3*E3</f>
        <v>200</v>
      </c>
      <c r="K3" s="376">
        <f t="shared" ref="K3:K33" si="3">J3-H3</f>
        <v>134.023</v>
      </c>
      <c r="L3" s="12">
        <f t="shared" ref="L3:L32" si="4">(H3/J3)*100</f>
        <v>32.988500000000002</v>
      </c>
    </row>
    <row r="4" spans="1:23">
      <c r="A4" s="5" t="s">
        <v>3</v>
      </c>
      <c r="B4" s="10" t="s">
        <v>44</v>
      </c>
      <c r="C4" s="11">
        <v>424.31</v>
      </c>
      <c r="D4" s="13" t="s">
        <v>76</v>
      </c>
      <c r="E4" s="11">
        <v>200</v>
      </c>
      <c r="F4" s="11">
        <v>79.758499999999998</v>
      </c>
      <c r="G4" s="11">
        <v>0.5</v>
      </c>
      <c r="H4" s="11">
        <f t="shared" si="0"/>
        <v>39.879249999999999</v>
      </c>
      <c r="I4" s="11">
        <f t="shared" si="1"/>
        <v>1</v>
      </c>
      <c r="J4" s="11">
        <f t="shared" si="2"/>
        <v>200</v>
      </c>
      <c r="K4" s="376">
        <f t="shared" si="3"/>
        <v>160.12074999999999</v>
      </c>
      <c r="L4" s="12">
        <f t="shared" si="4"/>
        <v>19.939624999999999</v>
      </c>
      <c r="P4" s="1"/>
    </row>
    <row r="5" spans="1:23">
      <c r="A5" s="5" t="s">
        <v>4</v>
      </c>
      <c r="B5" s="10" t="s">
        <v>45</v>
      </c>
      <c r="C5" s="11">
        <v>221.095</v>
      </c>
      <c r="D5" s="11" t="s">
        <v>77</v>
      </c>
      <c r="E5" s="11">
        <v>250</v>
      </c>
      <c r="F5" s="11">
        <v>165.54</v>
      </c>
      <c r="G5" s="11">
        <v>0.5</v>
      </c>
      <c r="H5" s="11">
        <f t="shared" si="0"/>
        <v>82.77</v>
      </c>
      <c r="I5" s="11">
        <f t="shared" si="1"/>
        <v>1</v>
      </c>
      <c r="J5" s="11">
        <f t="shared" si="2"/>
        <v>250</v>
      </c>
      <c r="K5" s="376">
        <f t="shared" si="3"/>
        <v>167.23000000000002</v>
      </c>
      <c r="L5" s="12">
        <f t="shared" si="4"/>
        <v>33.107999999999997</v>
      </c>
      <c r="O5" s="2" t="s">
        <v>38</v>
      </c>
      <c r="P5" s="1"/>
    </row>
    <row r="6" spans="1:23">
      <c r="A6" s="5" t="s">
        <v>5</v>
      </c>
      <c r="B6" s="10" t="s">
        <v>46</v>
      </c>
      <c r="C6" s="11">
        <v>87.444999999999993</v>
      </c>
      <c r="D6" s="11" t="s">
        <v>78</v>
      </c>
      <c r="E6" s="11">
        <v>300</v>
      </c>
      <c r="F6" s="11">
        <v>330.03719999999998</v>
      </c>
      <c r="G6" s="11">
        <v>0.5</v>
      </c>
      <c r="H6" s="11">
        <f t="shared" si="0"/>
        <v>165.01859999999999</v>
      </c>
      <c r="I6" s="11">
        <f t="shared" si="1"/>
        <v>1</v>
      </c>
      <c r="J6" s="11">
        <f t="shared" si="2"/>
        <v>300</v>
      </c>
      <c r="K6" s="376">
        <f t="shared" si="3"/>
        <v>134.98140000000001</v>
      </c>
      <c r="L6" s="12">
        <f t="shared" si="4"/>
        <v>55.006199999999993</v>
      </c>
      <c r="P6" s="1"/>
    </row>
    <row r="7" spans="1:23">
      <c r="A7" s="5" t="s">
        <v>6</v>
      </c>
      <c r="B7" s="10" t="s">
        <v>47</v>
      </c>
      <c r="C7" s="11">
        <v>341.46499999999997</v>
      </c>
      <c r="D7" s="11" t="s">
        <v>76</v>
      </c>
      <c r="E7" s="11">
        <v>200</v>
      </c>
      <c r="F7" s="11">
        <v>414.50749999999999</v>
      </c>
      <c r="G7" s="11">
        <v>0.5</v>
      </c>
      <c r="H7" s="11">
        <f t="shared" si="0"/>
        <v>207.25375</v>
      </c>
      <c r="I7" s="11">
        <f t="shared" si="1"/>
        <v>2</v>
      </c>
      <c r="J7" s="11">
        <f t="shared" si="2"/>
        <v>400</v>
      </c>
      <c r="K7" s="376">
        <f t="shared" si="3"/>
        <v>192.74625</v>
      </c>
      <c r="L7" s="12">
        <f t="shared" si="4"/>
        <v>51.813437500000006</v>
      </c>
      <c r="P7" s="1"/>
    </row>
    <row r="8" spans="1:23">
      <c r="A8" s="5" t="s">
        <v>7</v>
      </c>
      <c r="B8" s="10" t="s">
        <v>48</v>
      </c>
      <c r="C8" s="11">
        <v>457.755</v>
      </c>
      <c r="D8" s="13" t="s">
        <v>76</v>
      </c>
      <c r="E8" s="11">
        <v>200</v>
      </c>
      <c r="F8" s="11">
        <v>200.1122</v>
      </c>
      <c r="G8" s="11">
        <v>0.5</v>
      </c>
      <c r="H8" s="11">
        <f t="shared" si="0"/>
        <v>100.0561</v>
      </c>
      <c r="I8" s="11">
        <f t="shared" si="1"/>
        <v>1</v>
      </c>
      <c r="J8" s="11">
        <f t="shared" si="2"/>
        <v>200</v>
      </c>
      <c r="K8" s="376">
        <f t="shared" si="3"/>
        <v>99.943899999999999</v>
      </c>
      <c r="L8" s="12">
        <f t="shared" si="4"/>
        <v>50.02805</v>
      </c>
      <c r="P8" s="1"/>
    </row>
    <row r="9" spans="1:23">
      <c r="A9" s="5" t="s">
        <v>8</v>
      </c>
      <c r="B9" s="10" t="s">
        <v>74</v>
      </c>
      <c r="C9" s="11">
        <v>632.29499999999996</v>
      </c>
      <c r="D9" s="13" t="s">
        <v>75</v>
      </c>
      <c r="E9" s="11">
        <v>150</v>
      </c>
      <c r="F9" s="20">
        <v>416.14780000000002</v>
      </c>
      <c r="G9" s="11">
        <v>0.5</v>
      </c>
      <c r="H9" s="11">
        <f t="shared" si="0"/>
        <v>208.07390000000001</v>
      </c>
      <c r="I9" s="11">
        <f t="shared" si="1"/>
        <v>2</v>
      </c>
      <c r="J9" s="11">
        <f t="shared" si="2"/>
        <v>300</v>
      </c>
      <c r="K9" s="376">
        <f t="shared" si="3"/>
        <v>91.926099999999991</v>
      </c>
      <c r="L9" s="12">
        <f t="shared" si="4"/>
        <v>69.35796666666667</v>
      </c>
      <c r="P9" s="1"/>
    </row>
    <row r="10" spans="1:23">
      <c r="A10" s="5" t="s">
        <v>9</v>
      </c>
      <c r="B10" s="10" t="s">
        <v>49</v>
      </c>
      <c r="C10" s="11">
        <v>72.555000000000007</v>
      </c>
      <c r="D10" s="11" t="s">
        <v>78</v>
      </c>
      <c r="E10" s="11">
        <v>300</v>
      </c>
      <c r="F10" s="11">
        <v>249.06020000000001</v>
      </c>
      <c r="G10" s="11">
        <v>0.5</v>
      </c>
      <c r="H10" s="11">
        <f t="shared" si="0"/>
        <v>124.5301</v>
      </c>
      <c r="I10" s="11">
        <f t="shared" si="1"/>
        <v>1</v>
      </c>
      <c r="J10" s="11">
        <f t="shared" si="2"/>
        <v>300</v>
      </c>
      <c r="K10" s="376">
        <f t="shared" si="3"/>
        <v>175.4699</v>
      </c>
      <c r="L10" s="12">
        <f t="shared" si="4"/>
        <v>41.510033333333332</v>
      </c>
      <c r="P10" s="1"/>
    </row>
    <row r="11" spans="1:23">
      <c r="A11" s="5" t="s">
        <v>10</v>
      </c>
      <c r="B11" s="10" t="s">
        <v>50</v>
      </c>
      <c r="C11" s="11">
        <v>894.93</v>
      </c>
      <c r="D11" s="13" t="s">
        <v>75</v>
      </c>
      <c r="E11" s="11">
        <v>150</v>
      </c>
      <c r="F11" s="11">
        <v>185.4342</v>
      </c>
      <c r="G11" s="11">
        <v>0.5</v>
      </c>
      <c r="H11" s="11">
        <f t="shared" si="0"/>
        <v>92.717100000000002</v>
      </c>
      <c r="I11" s="11">
        <f t="shared" si="1"/>
        <v>1</v>
      </c>
      <c r="J11" s="11">
        <f t="shared" si="2"/>
        <v>150</v>
      </c>
      <c r="K11" s="376">
        <f t="shared" si="3"/>
        <v>57.282899999999998</v>
      </c>
      <c r="L11" s="12">
        <f t="shared" si="4"/>
        <v>61.811400000000006</v>
      </c>
      <c r="P11" s="1"/>
    </row>
    <row r="12" spans="1:23">
      <c r="A12" s="5" t="s">
        <v>11</v>
      </c>
      <c r="B12" s="10" t="s">
        <v>51</v>
      </c>
      <c r="C12" s="11">
        <v>839.23</v>
      </c>
      <c r="D12" s="13" t="s">
        <v>75</v>
      </c>
      <c r="E12" s="11">
        <v>150</v>
      </c>
      <c r="F12" s="11">
        <v>213.84829999999999</v>
      </c>
      <c r="G12" s="11">
        <v>0.5</v>
      </c>
      <c r="H12" s="11">
        <f t="shared" si="0"/>
        <v>106.92415</v>
      </c>
      <c r="I12" s="11">
        <f t="shared" si="1"/>
        <v>1</v>
      </c>
      <c r="J12" s="11">
        <f t="shared" si="2"/>
        <v>150</v>
      </c>
      <c r="K12" s="376">
        <f t="shared" si="3"/>
        <v>43.075850000000003</v>
      </c>
      <c r="L12" s="12">
        <f t="shared" si="4"/>
        <v>71.28276666666666</v>
      </c>
      <c r="P12" s="1"/>
    </row>
    <row r="13" spans="1:23">
      <c r="A13" s="5" t="s">
        <v>12</v>
      </c>
      <c r="B13" s="10" t="s">
        <v>52</v>
      </c>
      <c r="C13" s="11">
        <v>428.91</v>
      </c>
      <c r="D13" s="13" t="s">
        <v>76</v>
      </c>
      <c r="E13" s="11">
        <v>200</v>
      </c>
      <c r="F13" s="11">
        <v>320.7817</v>
      </c>
      <c r="G13" s="11">
        <v>0.5</v>
      </c>
      <c r="H13" s="11">
        <f t="shared" si="0"/>
        <v>160.39085</v>
      </c>
      <c r="I13" s="11">
        <f t="shared" si="1"/>
        <v>1</v>
      </c>
      <c r="J13" s="11">
        <f t="shared" si="2"/>
        <v>200</v>
      </c>
      <c r="K13" s="376">
        <f t="shared" si="3"/>
        <v>39.60915</v>
      </c>
      <c r="L13" s="12">
        <f t="shared" si="4"/>
        <v>80.195425</v>
      </c>
      <c r="P13" s="1"/>
    </row>
    <row r="14" spans="1:23">
      <c r="A14" s="5" t="s">
        <v>13</v>
      </c>
      <c r="B14" s="10" t="s">
        <v>53</v>
      </c>
      <c r="C14" s="11">
        <v>370.31</v>
      </c>
      <c r="D14" s="11" t="s">
        <v>76</v>
      </c>
      <c r="E14" s="11">
        <v>200</v>
      </c>
      <c r="F14" s="11">
        <v>24.103169999999999</v>
      </c>
      <c r="G14" s="11">
        <v>0.5</v>
      </c>
      <c r="H14" s="11">
        <f t="shared" si="0"/>
        <v>12.051584999999999</v>
      </c>
      <c r="I14" s="11">
        <f t="shared" si="1"/>
        <v>1</v>
      </c>
      <c r="J14" s="11">
        <f t="shared" si="2"/>
        <v>200</v>
      </c>
      <c r="K14" s="376">
        <f t="shared" si="3"/>
        <v>187.94841500000001</v>
      </c>
      <c r="L14" s="12">
        <f t="shared" si="4"/>
        <v>6.0257924999999997</v>
      </c>
    </row>
    <row r="15" spans="1:23">
      <c r="A15" s="5" t="s">
        <v>14</v>
      </c>
      <c r="B15" s="10" t="s">
        <v>54</v>
      </c>
      <c r="C15" s="11">
        <v>391.72</v>
      </c>
      <c r="D15" s="11" t="s">
        <v>76</v>
      </c>
      <c r="E15" s="11">
        <v>200</v>
      </c>
      <c r="F15" s="11">
        <v>664.51419999999996</v>
      </c>
      <c r="G15" s="11">
        <v>0.5</v>
      </c>
      <c r="H15" s="11">
        <f t="shared" si="0"/>
        <v>332.25709999999998</v>
      </c>
      <c r="I15" s="11">
        <f t="shared" si="1"/>
        <v>2</v>
      </c>
      <c r="J15" s="11">
        <f t="shared" si="2"/>
        <v>400</v>
      </c>
      <c r="K15" s="376">
        <f t="shared" si="3"/>
        <v>67.74290000000002</v>
      </c>
      <c r="L15" s="12">
        <f t="shared" si="4"/>
        <v>83.064274999999995</v>
      </c>
    </row>
    <row r="16" spans="1:23">
      <c r="A16" s="5" t="s">
        <v>15</v>
      </c>
      <c r="B16" s="10" t="s">
        <v>55</v>
      </c>
      <c r="C16" s="11">
        <v>566.26</v>
      </c>
      <c r="D16" s="13" t="s">
        <v>75</v>
      </c>
      <c r="E16" s="11">
        <v>150</v>
      </c>
      <c r="F16" s="11">
        <v>424.66829999999999</v>
      </c>
      <c r="G16" s="11">
        <v>0.5</v>
      </c>
      <c r="H16" s="11">
        <f t="shared" si="0"/>
        <v>212.33414999999999</v>
      </c>
      <c r="I16" s="11">
        <f t="shared" si="1"/>
        <v>2</v>
      </c>
      <c r="J16" s="11">
        <f t="shared" si="2"/>
        <v>300</v>
      </c>
      <c r="K16" s="376">
        <f t="shared" si="3"/>
        <v>87.665850000000006</v>
      </c>
      <c r="L16" s="12">
        <f t="shared" si="4"/>
        <v>70.778050000000007</v>
      </c>
    </row>
    <row r="17" spans="1:12">
      <c r="A17" s="5" t="s">
        <v>16</v>
      </c>
      <c r="B17" s="10" t="s">
        <v>56</v>
      </c>
      <c r="C17" s="11">
        <v>268.91000000000003</v>
      </c>
      <c r="D17" s="11" t="s">
        <v>77</v>
      </c>
      <c r="E17" s="11">
        <v>250</v>
      </c>
      <c r="F17" s="11">
        <v>277.57420000000002</v>
      </c>
      <c r="G17" s="11">
        <v>0.5</v>
      </c>
      <c r="H17" s="11">
        <f t="shared" si="0"/>
        <v>138.78710000000001</v>
      </c>
      <c r="I17" s="11">
        <f t="shared" si="1"/>
        <v>1</v>
      </c>
      <c r="J17" s="11">
        <f t="shared" si="2"/>
        <v>250</v>
      </c>
      <c r="K17" s="376">
        <f t="shared" si="3"/>
        <v>111.21289999999999</v>
      </c>
      <c r="L17" s="12">
        <f t="shared" si="4"/>
        <v>55.51484</v>
      </c>
    </row>
    <row r="18" spans="1:12">
      <c r="A18" s="5" t="s">
        <v>17</v>
      </c>
      <c r="B18" s="10" t="s">
        <v>57</v>
      </c>
      <c r="C18" s="11">
        <v>553.46500000000003</v>
      </c>
      <c r="D18" s="13" t="s">
        <v>75</v>
      </c>
      <c r="E18" s="11">
        <v>150</v>
      </c>
      <c r="F18" s="11">
        <v>491.47570000000002</v>
      </c>
      <c r="G18" s="11">
        <v>0.5</v>
      </c>
      <c r="H18" s="11">
        <f t="shared" si="0"/>
        <v>245.73785000000001</v>
      </c>
      <c r="I18" s="11">
        <f t="shared" si="1"/>
        <v>2</v>
      </c>
      <c r="J18" s="11">
        <f t="shared" si="2"/>
        <v>300</v>
      </c>
      <c r="K18" s="376">
        <f t="shared" si="3"/>
        <v>54.262149999999991</v>
      </c>
      <c r="L18" s="12">
        <f t="shared" si="4"/>
        <v>81.912616666666665</v>
      </c>
    </row>
    <row r="19" spans="1:12">
      <c r="A19" s="5" t="s">
        <v>18</v>
      </c>
      <c r="B19" s="10" t="s">
        <v>58</v>
      </c>
      <c r="C19" s="11">
        <v>497.76499999999999</v>
      </c>
      <c r="D19" s="13" t="s">
        <v>76</v>
      </c>
      <c r="E19" s="11">
        <v>200</v>
      </c>
      <c r="F19" s="20">
        <v>1151.328</v>
      </c>
      <c r="G19" s="11">
        <v>0.5</v>
      </c>
      <c r="H19" s="11">
        <f t="shared" si="0"/>
        <v>575.66399999999999</v>
      </c>
      <c r="I19" s="11">
        <f t="shared" si="1"/>
        <v>4</v>
      </c>
      <c r="J19" s="11">
        <f t="shared" si="2"/>
        <v>800</v>
      </c>
      <c r="K19" s="376">
        <f t="shared" si="3"/>
        <v>224.33600000000001</v>
      </c>
      <c r="L19" s="12">
        <f t="shared" si="4"/>
        <v>71.957999999999998</v>
      </c>
    </row>
    <row r="20" spans="1:12">
      <c r="A20" s="5" t="s">
        <v>19</v>
      </c>
      <c r="B20" s="10" t="s">
        <v>59</v>
      </c>
      <c r="C20" s="11">
        <v>285.27999999999997</v>
      </c>
      <c r="D20" s="11" t="s">
        <v>77</v>
      </c>
      <c r="E20" s="11">
        <v>250</v>
      </c>
      <c r="F20" s="11">
        <v>779.52329999999995</v>
      </c>
      <c r="G20" s="11">
        <v>0.5</v>
      </c>
      <c r="H20" s="11">
        <f t="shared" si="0"/>
        <v>389.76164999999997</v>
      </c>
      <c r="I20" s="11">
        <f t="shared" si="1"/>
        <v>2</v>
      </c>
      <c r="J20" s="11">
        <f t="shared" si="2"/>
        <v>500</v>
      </c>
      <c r="K20" s="376">
        <f t="shared" si="3"/>
        <v>110.23835000000003</v>
      </c>
      <c r="L20" s="12">
        <f t="shared" si="4"/>
        <v>77.952329999999989</v>
      </c>
    </row>
    <row r="21" spans="1:12">
      <c r="A21" s="5" t="s">
        <v>20</v>
      </c>
      <c r="B21" s="10" t="s">
        <v>60</v>
      </c>
      <c r="C21" s="11">
        <v>239.47</v>
      </c>
      <c r="D21" s="11" t="s">
        <v>77</v>
      </c>
      <c r="E21" s="11">
        <v>250</v>
      </c>
      <c r="F21" s="11">
        <v>886.15449999999998</v>
      </c>
      <c r="G21" s="11">
        <v>0.5</v>
      </c>
      <c r="H21" s="11">
        <f t="shared" si="0"/>
        <v>443.07724999999999</v>
      </c>
      <c r="I21" s="11">
        <f t="shared" si="1"/>
        <v>3</v>
      </c>
      <c r="J21" s="11">
        <f t="shared" si="2"/>
        <v>750</v>
      </c>
      <c r="K21" s="376">
        <f t="shared" si="3"/>
        <v>306.92275000000001</v>
      </c>
      <c r="L21" s="12">
        <f t="shared" si="4"/>
        <v>59.076966666666664</v>
      </c>
    </row>
    <row r="22" spans="1:12">
      <c r="A22" s="5" t="s">
        <v>21</v>
      </c>
      <c r="B22" s="10" t="s">
        <v>61</v>
      </c>
      <c r="C22" s="11">
        <v>381.34</v>
      </c>
      <c r="D22" s="11" t="s">
        <v>76</v>
      </c>
      <c r="E22" s="11">
        <v>200</v>
      </c>
      <c r="F22" s="11">
        <v>233.80699999999999</v>
      </c>
      <c r="G22" s="11">
        <v>0.5</v>
      </c>
      <c r="H22" s="11">
        <f t="shared" si="0"/>
        <v>116.90349999999999</v>
      </c>
      <c r="I22" s="11">
        <f t="shared" si="1"/>
        <v>1</v>
      </c>
      <c r="J22" s="11">
        <f t="shared" si="2"/>
        <v>200</v>
      </c>
      <c r="K22" s="376">
        <f t="shared" si="3"/>
        <v>83.096500000000006</v>
      </c>
      <c r="L22" s="12">
        <f t="shared" si="4"/>
        <v>58.451750000000004</v>
      </c>
    </row>
    <row r="23" spans="1:12">
      <c r="A23" s="5" t="s">
        <v>22</v>
      </c>
      <c r="B23" s="10" t="s">
        <v>62</v>
      </c>
      <c r="C23" s="11">
        <v>174.54</v>
      </c>
      <c r="D23" s="11" t="s">
        <v>77</v>
      </c>
      <c r="E23" s="11">
        <v>250</v>
      </c>
      <c r="F23" s="11">
        <v>80.336669999999998</v>
      </c>
      <c r="G23" s="11">
        <v>0.5</v>
      </c>
      <c r="H23" s="11">
        <f t="shared" si="0"/>
        <v>40.168334999999999</v>
      </c>
      <c r="I23" s="11">
        <f t="shared" si="1"/>
        <v>1</v>
      </c>
      <c r="J23" s="11">
        <f t="shared" si="2"/>
        <v>250</v>
      </c>
      <c r="K23" s="376">
        <f t="shared" si="3"/>
        <v>209.83166499999999</v>
      </c>
      <c r="L23" s="12">
        <f t="shared" si="4"/>
        <v>16.067333999999999</v>
      </c>
    </row>
    <row r="24" spans="1:12">
      <c r="A24" s="5" t="s">
        <v>23</v>
      </c>
      <c r="B24" s="10" t="s">
        <v>63</v>
      </c>
      <c r="C24" s="11">
        <v>530.30999999999995</v>
      </c>
      <c r="D24" s="13" t="s">
        <v>76</v>
      </c>
      <c r="E24" s="11">
        <v>200</v>
      </c>
      <c r="F24" s="11">
        <v>22.350670000000001</v>
      </c>
      <c r="G24" s="11">
        <v>0.5</v>
      </c>
      <c r="H24" s="11">
        <f t="shared" si="0"/>
        <v>11.175335</v>
      </c>
      <c r="I24" s="11">
        <f t="shared" si="1"/>
        <v>1</v>
      </c>
      <c r="J24" s="11">
        <f t="shared" si="2"/>
        <v>200</v>
      </c>
      <c r="K24" s="376">
        <f t="shared" si="3"/>
        <v>188.82466500000001</v>
      </c>
      <c r="L24" s="12">
        <f t="shared" si="4"/>
        <v>5.5876675000000002</v>
      </c>
    </row>
    <row r="25" spans="1:12">
      <c r="A25" s="5" t="s">
        <v>24</v>
      </c>
      <c r="B25" s="10" t="s">
        <v>64</v>
      </c>
      <c r="C25" s="11">
        <v>517.28</v>
      </c>
      <c r="D25" s="13" t="s">
        <v>76</v>
      </c>
      <c r="E25" s="11">
        <v>200</v>
      </c>
      <c r="F25" s="11">
        <v>67.241829999999993</v>
      </c>
      <c r="G25" s="11">
        <v>0.5</v>
      </c>
      <c r="H25" s="11">
        <f t="shared" si="0"/>
        <v>33.620914999999997</v>
      </c>
      <c r="I25" s="11">
        <f t="shared" si="1"/>
        <v>1</v>
      </c>
      <c r="J25" s="11">
        <f t="shared" si="2"/>
        <v>200</v>
      </c>
      <c r="K25" s="376">
        <f t="shared" si="3"/>
        <v>166.379085</v>
      </c>
      <c r="L25" s="12">
        <f t="shared" si="4"/>
        <v>16.810457499999998</v>
      </c>
    </row>
    <row r="26" spans="1:12">
      <c r="A26" s="5" t="s">
        <v>25</v>
      </c>
      <c r="B26" s="10" t="s">
        <v>65</v>
      </c>
      <c r="C26" s="11">
        <v>645.40499999999997</v>
      </c>
      <c r="D26" s="13" t="s">
        <v>75</v>
      </c>
      <c r="E26" s="11">
        <v>150</v>
      </c>
      <c r="F26" s="11">
        <v>101.52370000000001</v>
      </c>
      <c r="G26" s="11">
        <v>0.5</v>
      </c>
      <c r="H26" s="11">
        <f t="shared" si="0"/>
        <v>50.761850000000003</v>
      </c>
      <c r="I26" s="11">
        <f t="shared" si="1"/>
        <v>1</v>
      </c>
      <c r="J26" s="11">
        <f t="shared" si="2"/>
        <v>150</v>
      </c>
      <c r="K26" s="376">
        <f t="shared" si="3"/>
        <v>99.23814999999999</v>
      </c>
      <c r="L26" s="12">
        <f t="shared" si="4"/>
        <v>33.841233333333335</v>
      </c>
    </row>
    <row r="27" spans="1:12">
      <c r="A27" s="5" t="s">
        <v>26</v>
      </c>
      <c r="B27" s="10" t="s">
        <v>66</v>
      </c>
      <c r="C27" s="11">
        <v>592.98500000000001</v>
      </c>
      <c r="D27" s="13" t="s">
        <v>75</v>
      </c>
      <c r="E27" s="11">
        <v>150</v>
      </c>
      <c r="F27" s="11">
        <v>175.91919999999999</v>
      </c>
      <c r="G27" s="11">
        <v>0.5</v>
      </c>
      <c r="H27" s="11">
        <f t="shared" si="0"/>
        <v>87.959599999999995</v>
      </c>
      <c r="I27" s="11">
        <f t="shared" si="1"/>
        <v>1</v>
      </c>
      <c r="J27" s="11">
        <f t="shared" si="2"/>
        <v>150</v>
      </c>
      <c r="K27" s="376">
        <f t="shared" si="3"/>
        <v>62.040400000000005</v>
      </c>
      <c r="L27" s="12">
        <f t="shared" si="4"/>
        <v>58.639733333333332</v>
      </c>
    </row>
    <row r="28" spans="1:12">
      <c r="A28" s="5" t="s">
        <v>27</v>
      </c>
      <c r="B28" s="10" t="s">
        <v>67</v>
      </c>
      <c r="C28" s="11">
        <v>374.84</v>
      </c>
      <c r="D28" s="11" t="s">
        <v>76</v>
      </c>
      <c r="E28" s="11">
        <v>200</v>
      </c>
      <c r="F28" s="11">
        <v>115.1143</v>
      </c>
      <c r="G28" s="11">
        <v>0.5</v>
      </c>
      <c r="H28" s="11">
        <f t="shared" si="0"/>
        <v>57.55715</v>
      </c>
      <c r="I28" s="11">
        <f t="shared" si="1"/>
        <v>1</v>
      </c>
      <c r="J28" s="11">
        <f t="shared" si="2"/>
        <v>200</v>
      </c>
      <c r="K28" s="376">
        <f t="shared" si="3"/>
        <v>142.44284999999999</v>
      </c>
      <c r="L28" s="12">
        <f t="shared" si="4"/>
        <v>28.778575</v>
      </c>
    </row>
    <row r="29" spans="1:12">
      <c r="A29" s="5" t="s">
        <v>28</v>
      </c>
      <c r="B29" s="10" t="s">
        <v>68</v>
      </c>
      <c r="C29" s="11">
        <v>675.17499999999995</v>
      </c>
      <c r="D29" s="13" t="s">
        <v>75</v>
      </c>
      <c r="E29" s="11">
        <v>150</v>
      </c>
      <c r="F29" s="11">
        <v>87.5685</v>
      </c>
      <c r="G29" s="11">
        <v>0.5</v>
      </c>
      <c r="H29" s="11">
        <f t="shared" si="0"/>
        <v>43.78425</v>
      </c>
      <c r="I29" s="11">
        <f t="shared" si="1"/>
        <v>1</v>
      </c>
      <c r="J29" s="11">
        <f t="shared" si="2"/>
        <v>150</v>
      </c>
      <c r="K29" s="376">
        <f t="shared" si="3"/>
        <v>106.21575</v>
      </c>
      <c r="L29" s="12">
        <f t="shared" si="4"/>
        <v>29.189500000000002</v>
      </c>
    </row>
    <row r="30" spans="1:12">
      <c r="A30" s="5" t="s">
        <v>29</v>
      </c>
      <c r="B30" s="10" t="s">
        <v>69</v>
      </c>
      <c r="C30" s="11">
        <v>768.38499999999999</v>
      </c>
      <c r="D30" s="13" t="s">
        <v>75</v>
      </c>
      <c r="E30" s="11">
        <v>150</v>
      </c>
      <c r="F30" s="11">
        <v>46.164000000000001</v>
      </c>
      <c r="G30" s="11">
        <v>0.5</v>
      </c>
      <c r="H30" s="11">
        <f t="shared" si="0"/>
        <v>23.082000000000001</v>
      </c>
      <c r="I30" s="11">
        <f t="shared" si="1"/>
        <v>1</v>
      </c>
      <c r="J30" s="11">
        <f t="shared" si="2"/>
        <v>150</v>
      </c>
      <c r="K30" s="376">
        <f t="shared" si="3"/>
        <v>126.91800000000001</v>
      </c>
      <c r="L30" s="12">
        <f t="shared" si="4"/>
        <v>15.388000000000002</v>
      </c>
    </row>
    <row r="31" spans="1:12">
      <c r="A31" s="5" t="s">
        <v>30</v>
      </c>
      <c r="B31" s="10" t="s">
        <v>70</v>
      </c>
      <c r="C31" s="11">
        <v>317.27</v>
      </c>
      <c r="D31" s="11" t="s">
        <v>76</v>
      </c>
      <c r="E31" s="11">
        <v>200</v>
      </c>
      <c r="F31" s="11">
        <v>136.87530000000001</v>
      </c>
      <c r="G31" s="11">
        <v>0.5</v>
      </c>
      <c r="H31" s="11">
        <f t="shared" si="0"/>
        <v>68.437650000000005</v>
      </c>
      <c r="I31" s="11">
        <f t="shared" si="1"/>
        <v>1</v>
      </c>
      <c r="J31" s="11">
        <f t="shared" si="2"/>
        <v>200</v>
      </c>
      <c r="K31" s="376">
        <f t="shared" si="3"/>
        <v>131.56234999999998</v>
      </c>
      <c r="L31" s="12">
        <f t="shared" si="4"/>
        <v>34.218825000000002</v>
      </c>
    </row>
    <row r="32" spans="1:12">
      <c r="A32" s="5" t="s">
        <v>31</v>
      </c>
      <c r="B32" s="14" t="s">
        <v>71</v>
      </c>
      <c r="C32" s="19">
        <v>300.33499999999998</v>
      </c>
      <c r="D32" s="15" t="s">
        <v>76</v>
      </c>
      <c r="E32" s="15">
        <v>200</v>
      </c>
      <c r="F32" s="15">
        <v>33.29833</v>
      </c>
      <c r="G32" s="15">
        <v>0.5</v>
      </c>
      <c r="H32" s="15">
        <f t="shared" si="0"/>
        <v>16.649165</v>
      </c>
      <c r="I32" s="15">
        <f t="shared" si="1"/>
        <v>1</v>
      </c>
      <c r="J32" s="15">
        <f t="shared" si="2"/>
        <v>200</v>
      </c>
      <c r="K32" s="15">
        <f t="shared" si="3"/>
        <v>183.35083499999999</v>
      </c>
      <c r="L32" s="21">
        <f t="shared" si="4"/>
        <v>8.3245825</v>
      </c>
    </row>
    <row r="33" spans="1:12">
      <c r="A33" s="5"/>
      <c r="B33" s="5"/>
      <c r="C33" s="5"/>
      <c r="D33" s="16" t="s">
        <v>36</v>
      </c>
      <c r="E33" s="17">
        <f>SUM(E2:E32)</f>
        <v>6150</v>
      </c>
      <c r="F33" s="17">
        <f>SUM(F2:F32)</f>
        <v>9100.1149700000005</v>
      </c>
      <c r="G33" s="11"/>
      <c r="H33" s="11"/>
      <c r="I33" s="18" t="s">
        <v>517</v>
      </c>
      <c r="J33" s="18">
        <f>SUM(J2:J32)</f>
        <v>8650</v>
      </c>
      <c r="K33" s="376">
        <f t="shared" si="3"/>
        <v>8650</v>
      </c>
      <c r="L33" s="11"/>
    </row>
    <row r="34" spans="1:12">
      <c r="A34" s="5"/>
      <c r="B34" s="5"/>
      <c r="C34" s="5"/>
      <c r="D34" s="4" t="s">
        <v>80</v>
      </c>
      <c r="E34" s="17">
        <f>F33/J33</f>
        <v>1.052036412716763</v>
      </c>
      <c r="F34" s="5"/>
      <c r="G34" s="11"/>
      <c r="H34" s="11"/>
      <c r="I34" s="5"/>
      <c r="J34" s="5"/>
      <c r="K34" s="5"/>
      <c r="L34" s="5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79"/>
  <sheetViews>
    <sheetView topLeftCell="Q17" zoomScaleNormal="100" workbookViewId="0">
      <selection activeCell="Y27" sqref="Y27"/>
    </sheetView>
  </sheetViews>
  <sheetFormatPr defaultColWidth="9" defaultRowHeight="12.75"/>
  <cols>
    <col min="1" max="1" width="13.42578125" style="5" customWidth="1"/>
    <col min="2" max="2" width="22.7109375" style="63" customWidth="1"/>
    <col min="3" max="3" width="26.7109375" style="59" customWidth="1"/>
    <col min="4" max="4" width="16.85546875" style="59" customWidth="1"/>
    <col min="5" max="5" width="16.7109375" style="62" customWidth="1"/>
    <col min="6" max="8" width="23.7109375" style="61" customWidth="1"/>
    <col min="9" max="9" width="16.140625" style="59" customWidth="1"/>
    <col min="10" max="10" width="28.85546875" style="59" customWidth="1"/>
    <col min="11" max="11" width="17.7109375" style="59" customWidth="1"/>
    <col min="12" max="12" width="16.140625" style="59" customWidth="1"/>
    <col min="13" max="13" width="17.7109375" style="59" customWidth="1"/>
    <col min="14" max="14" width="23.28515625" style="59" customWidth="1"/>
    <col min="15" max="15" width="26.42578125" style="59" customWidth="1"/>
    <col min="16" max="16" width="30.7109375" style="59" customWidth="1"/>
    <col min="17" max="17" width="23" style="58" customWidth="1"/>
    <col min="18" max="18" width="22.85546875" style="5" customWidth="1"/>
    <col min="19" max="19" width="23.7109375" style="5" customWidth="1"/>
    <col min="20" max="20" width="21.5703125" style="5" customWidth="1"/>
    <col min="21" max="27" width="9" style="5"/>
    <col min="28" max="28" width="14" style="5" customWidth="1"/>
    <col min="29" max="29" width="13.28515625" style="5" customWidth="1"/>
    <col min="30" max="30" width="11.85546875" style="5" customWidth="1"/>
    <col min="31" max="31" width="13.7109375" style="5" customWidth="1"/>
    <col min="32" max="32" width="12.5703125" style="5" customWidth="1"/>
    <col min="33" max="33" width="12" style="5" customWidth="1"/>
    <col min="34" max="16384" width="9" style="5"/>
  </cols>
  <sheetData>
    <row r="1" spans="1:24" ht="14.25" customHeight="1">
      <c r="A1" s="199"/>
      <c r="B1" s="200"/>
      <c r="C1" s="516" t="s">
        <v>453</v>
      </c>
      <c r="D1" s="517"/>
      <c r="E1" s="517"/>
      <c r="F1" s="517"/>
      <c r="G1" s="517"/>
      <c r="H1" s="517"/>
      <c r="I1" s="518"/>
      <c r="J1" s="521" t="s">
        <v>452</v>
      </c>
      <c r="K1" s="522"/>
      <c r="L1" s="522"/>
      <c r="M1" s="522"/>
      <c r="N1" s="522"/>
      <c r="O1" s="530" t="s">
        <v>513</v>
      </c>
      <c r="P1" s="531"/>
      <c r="R1" s="523" t="s">
        <v>513</v>
      </c>
      <c r="S1" s="524"/>
      <c r="T1" s="525"/>
    </row>
    <row r="2" spans="1:24" ht="14.25" customHeight="1" thickBot="1">
      <c r="A2" s="199" t="s">
        <v>451</v>
      </c>
      <c r="B2" s="198" t="s">
        <v>450</v>
      </c>
      <c r="C2" s="197" t="s">
        <v>449</v>
      </c>
      <c r="D2" s="196" t="s">
        <v>34</v>
      </c>
      <c r="E2" s="196" t="s">
        <v>33</v>
      </c>
      <c r="F2" s="196" t="s">
        <v>448</v>
      </c>
      <c r="G2" s="196" t="s">
        <v>460</v>
      </c>
      <c r="H2" s="196" t="s">
        <v>461</v>
      </c>
      <c r="I2" s="195" t="s">
        <v>445</v>
      </c>
      <c r="J2" s="194" t="s">
        <v>447</v>
      </c>
      <c r="K2" s="194" t="s">
        <v>34</v>
      </c>
      <c r="L2" s="194" t="s">
        <v>33</v>
      </c>
      <c r="M2" s="193" t="s">
        <v>446</v>
      </c>
      <c r="N2" s="192" t="s">
        <v>445</v>
      </c>
      <c r="O2" s="191" t="s">
        <v>444</v>
      </c>
      <c r="P2" s="190" t="s">
        <v>443</v>
      </c>
      <c r="R2" s="90"/>
      <c r="S2" s="319"/>
      <c r="T2" s="99"/>
      <c r="V2" s="335" t="s">
        <v>476</v>
      </c>
      <c r="W2" s="335" t="s">
        <v>477</v>
      </c>
      <c r="X2" s="345" t="s">
        <v>485</v>
      </c>
    </row>
    <row r="3" spans="1:24" ht="15" customHeight="1" thickBot="1">
      <c r="A3" s="164" t="s">
        <v>439</v>
      </c>
      <c r="B3" s="186" t="s">
        <v>438</v>
      </c>
      <c r="C3" s="185" t="s">
        <v>437</v>
      </c>
      <c r="D3" s="184">
        <v>386.9</v>
      </c>
      <c r="E3" s="184">
        <v>200</v>
      </c>
      <c r="F3" s="184">
        <v>131.95400000000001</v>
      </c>
      <c r="G3" s="184">
        <v>0.5</v>
      </c>
      <c r="H3" s="184">
        <f>G3*F3</f>
        <v>65.977000000000004</v>
      </c>
      <c r="I3" s="183">
        <f>E3-H3</f>
        <v>134.023</v>
      </c>
      <c r="J3" s="182" t="s">
        <v>436</v>
      </c>
      <c r="K3" s="182">
        <v>598.85</v>
      </c>
      <c r="L3" s="182">
        <v>150</v>
      </c>
      <c r="M3" s="181">
        <f t="shared" ref="M3:M13" si="0">F3</f>
        <v>131.95400000000001</v>
      </c>
      <c r="N3" s="180">
        <f>L3-H3</f>
        <v>84.022999999999996</v>
      </c>
      <c r="O3" s="512" t="s">
        <v>351</v>
      </c>
      <c r="P3" s="513"/>
      <c r="R3" s="138" t="s">
        <v>390</v>
      </c>
      <c r="S3" s="137" t="s">
        <v>389</v>
      </c>
      <c r="T3" s="325" t="s">
        <v>388</v>
      </c>
      <c r="V3" s="61" t="s">
        <v>471</v>
      </c>
      <c r="W3" s="61">
        <v>100</v>
      </c>
      <c r="X3" s="62">
        <v>15</v>
      </c>
    </row>
    <row r="4" spans="1:24" ht="15" customHeight="1" thickBot="1">
      <c r="A4" s="497" t="s">
        <v>44</v>
      </c>
      <c r="B4" s="179" t="s">
        <v>3</v>
      </c>
      <c r="C4" s="178" t="s">
        <v>44</v>
      </c>
      <c r="D4" s="177">
        <v>424.31</v>
      </c>
      <c r="E4" s="177">
        <v>200</v>
      </c>
      <c r="F4" s="177">
        <v>79.758499999999998</v>
      </c>
      <c r="G4" s="184">
        <v>0.5</v>
      </c>
      <c r="H4" s="184">
        <f t="shared" ref="H4:H56" si="1">G4*F4</f>
        <v>39.879249999999999</v>
      </c>
      <c r="I4" s="183">
        <f t="shared" ref="I4:I13" si="2">E4-H4</f>
        <v>160.12074999999999</v>
      </c>
      <c r="J4" s="176" t="s">
        <v>435</v>
      </c>
      <c r="K4" s="176">
        <v>561.44000000000005</v>
      </c>
      <c r="L4" s="176">
        <v>150</v>
      </c>
      <c r="M4" s="175">
        <f t="shared" si="0"/>
        <v>79.758499999999998</v>
      </c>
      <c r="N4" s="180">
        <f t="shared" ref="N4:N13" si="3">L4-H4</f>
        <v>110.12075</v>
      </c>
      <c r="O4" s="508" t="s">
        <v>351</v>
      </c>
      <c r="P4" s="509"/>
      <c r="R4" s="275" t="s">
        <v>12</v>
      </c>
      <c r="S4" s="322">
        <v>137</v>
      </c>
      <c r="T4" s="62">
        <f>S4/E12*100</f>
        <v>68.5</v>
      </c>
      <c r="V4" s="346" t="s">
        <v>472</v>
      </c>
      <c r="W4" s="346">
        <v>150</v>
      </c>
      <c r="X4" s="60">
        <v>16.3689</v>
      </c>
    </row>
    <row r="5" spans="1:24" ht="14.25" customHeight="1" thickBot="1">
      <c r="A5" s="498"/>
      <c r="B5" s="174" t="s">
        <v>25</v>
      </c>
      <c r="C5" s="114" t="s">
        <v>65</v>
      </c>
      <c r="D5" s="94">
        <v>645.40499999999997</v>
      </c>
      <c r="E5" s="94">
        <v>150</v>
      </c>
      <c r="F5" s="93">
        <v>101.52370000000001</v>
      </c>
      <c r="G5" s="184">
        <v>0.5</v>
      </c>
      <c r="H5" s="184">
        <f t="shared" si="1"/>
        <v>50.761850000000003</v>
      </c>
      <c r="I5" s="183">
        <f t="shared" si="2"/>
        <v>99.23814999999999</v>
      </c>
      <c r="J5" s="92" t="s">
        <v>430</v>
      </c>
      <c r="K5" s="92">
        <v>691.82</v>
      </c>
      <c r="L5" s="92">
        <v>150</v>
      </c>
      <c r="M5" s="91">
        <f t="shared" si="0"/>
        <v>101.52370000000001</v>
      </c>
      <c r="N5" s="180">
        <f t="shared" si="3"/>
        <v>99.23814999999999</v>
      </c>
      <c r="O5" s="512"/>
      <c r="P5" s="513"/>
      <c r="R5" s="275" t="s">
        <v>505</v>
      </c>
      <c r="S5" s="322">
        <v>25</v>
      </c>
      <c r="T5" s="62">
        <f>S5/E32*100</f>
        <v>10</v>
      </c>
      <c r="V5" s="346" t="s">
        <v>473</v>
      </c>
      <c r="W5" s="346">
        <v>200</v>
      </c>
      <c r="X5" s="60">
        <v>16.746700000000001</v>
      </c>
    </row>
    <row r="6" spans="1:24" ht="14.25" customHeight="1" thickBot="1">
      <c r="A6" s="497" t="s">
        <v>434</v>
      </c>
      <c r="B6" s="87" t="s">
        <v>433</v>
      </c>
      <c r="C6" s="86" t="s">
        <v>392</v>
      </c>
      <c r="D6" s="85">
        <v>774.56</v>
      </c>
      <c r="E6" s="85">
        <v>450</v>
      </c>
      <c r="F6" s="85">
        <v>593.39</v>
      </c>
      <c r="G6" s="184">
        <v>0.5</v>
      </c>
      <c r="H6" s="184">
        <f t="shared" si="1"/>
        <v>296.69499999999999</v>
      </c>
      <c r="I6" s="183">
        <f t="shared" si="2"/>
        <v>153.30500000000001</v>
      </c>
      <c r="J6" s="83" t="s">
        <v>432</v>
      </c>
      <c r="K6" s="83">
        <v>778.62</v>
      </c>
      <c r="L6" s="83">
        <v>450</v>
      </c>
      <c r="M6" s="82">
        <f t="shared" si="0"/>
        <v>593.39</v>
      </c>
      <c r="N6" s="180">
        <f t="shared" si="3"/>
        <v>153.30500000000001</v>
      </c>
      <c r="O6" s="508" t="s">
        <v>351</v>
      </c>
      <c r="P6" s="509"/>
      <c r="R6" s="5" t="s">
        <v>488</v>
      </c>
      <c r="S6" s="5">
        <v>110</v>
      </c>
      <c r="T6" s="5">
        <f>S6/E29*100</f>
        <v>73.333333333333329</v>
      </c>
      <c r="V6" s="346" t="s">
        <v>474</v>
      </c>
      <c r="W6" s="346">
        <v>250</v>
      </c>
      <c r="X6" s="60">
        <v>16.886600000000001</v>
      </c>
    </row>
    <row r="7" spans="1:24" ht="14.25" customHeight="1" thickBot="1">
      <c r="A7" s="499"/>
      <c r="B7" s="96" t="s">
        <v>4</v>
      </c>
      <c r="C7" s="95" t="s">
        <v>45</v>
      </c>
      <c r="D7" s="108">
        <v>221.095</v>
      </c>
      <c r="E7" s="108">
        <v>250</v>
      </c>
      <c r="F7" s="108">
        <v>165.54</v>
      </c>
      <c r="G7" s="184">
        <v>0.5</v>
      </c>
      <c r="H7" s="184">
        <f t="shared" si="1"/>
        <v>82.77</v>
      </c>
      <c r="I7" s="183">
        <f t="shared" si="2"/>
        <v>167.23000000000002</v>
      </c>
      <c r="J7" s="106" t="s">
        <v>431</v>
      </c>
      <c r="K7" s="106">
        <v>904.18</v>
      </c>
      <c r="L7" s="106">
        <v>150</v>
      </c>
      <c r="M7" s="105">
        <f t="shared" si="0"/>
        <v>165.54</v>
      </c>
      <c r="N7" s="180">
        <f t="shared" si="3"/>
        <v>67.23</v>
      </c>
      <c r="O7" s="510"/>
      <c r="P7" s="511"/>
      <c r="R7" s="5" t="s">
        <v>489</v>
      </c>
      <c r="S7" s="5">
        <v>265</v>
      </c>
      <c r="T7" s="5">
        <f>S7/E26*100</f>
        <v>66.25</v>
      </c>
      <c r="V7" s="347" t="s">
        <v>475</v>
      </c>
      <c r="W7" s="347">
        <v>400</v>
      </c>
      <c r="X7" s="326">
        <v>17</v>
      </c>
    </row>
    <row r="8" spans="1:24" ht="14.25" customHeight="1" thickBot="1">
      <c r="A8" s="499"/>
      <c r="B8" s="96" t="s">
        <v>25</v>
      </c>
      <c r="C8" s="95" t="s">
        <v>65</v>
      </c>
      <c r="D8" s="94">
        <v>645.40499999999997</v>
      </c>
      <c r="E8" s="94">
        <v>150</v>
      </c>
      <c r="F8" s="94">
        <v>101.52370000000001</v>
      </c>
      <c r="G8" s="184">
        <v>0.5</v>
      </c>
      <c r="H8" s="184">
        <f t="shared" si="1"/>
        <v>50.761850000000003</v>
      </c>
      <c r="I8" s="183">
        <f t="shared" si="2"/>
        <v>99.23814999999999</v>
      </c>
      <c r="J8" s="92" t="s">
        <v>430</v>
      </c>
      <c r="K8" s="92">
        <v>691.82</v>
      </c>
      <c r="L8" s="92">
        <v>150</v>
      </c>
      <c r="M8" s="91">
        <f t="shared" si="0"/>
        <v>101.52370000000001</v>
      </c>
      <c r="N8" s="180">
        <f t="shared" si="3"/>
        <v>99.23814999999999</v>
      </c>
      <c r="O8" s="512"/>
      <c r="P8" s="513"/>
      <c r="R8" s="322" t="s">
        <v>490</v>
      </c>
      <c r="S8" s="322">
        <v>27</v>
      </c>
      <c r="T8" s="322">
        <f>S8/E45*100</f>
        <v>18</v>
      </c>
    </row>
    <row r="9" spans="1:24" ht="14.25" customHeight="1" thickBot="1">
      <c r="A9" s="497" t="s">
        <v>46</v>
      </c>
      <c r="B9" s="87" t="s">
        <v>5</v>
      </c>
      <c r="C9" s="86" t="s">
        <v>46</v>
      </c>
      <c r="D9" s="85">
        <v>87.444999999999993</v>
      </c>
      <c r="E9" s="85">
        <v>300</v>
      </c>
      <c r="F9" s="85">
        <v>330.03719999999998</v>
      </c>
      <c r="G9" s="184">
        <v>0.5</v>
      </c>
      <c r="H9" s="184">
        <f t="shared" si="1"/>
        <v>165.01859999999999</v>
      </c>
      <c r="I9" s="183">
        <f t="shared" si="2"/>
        <v>134.98140000000001</v>
      </c>
      <c r="J9" s="83" t="s">
        <v>429</v>
      </c>
      <c r="K9" s="83">
        <v>243.73500000000001</v>
      </c>
      <c r="L9" s="83">
        <v>250</v>
      </c>
      <c r="M9" s="82">
        <f t="shared" si="0"/>
        <v>330.03719999999998</v>
      </c>
      <c r="N9" s="180">
        <f t="shared" si="3"/>
        <v>84.981400000000008</v>
      </c>
      <c r="O9" s="80"/>
      <c r="P9" s="123"/>
      <c r="R9" s="5" t="s">
        <v>506</v>
      </c>
      <c r="S9" s="5">
        <v>297</v>
      </c>
      <c r="T9" s="5">
        <f>S9/E35*100</f>
        <v>99</v>
      </c>
    </row>
    <row r="10" spans="1:24" ht="14.25" customHeight="1" thickBot="1">
      <c r="A10" s="499"/>
      <c r="B10" s="96" t="s">
        <v>7</v>
      </c>
      <c r="C10" s="95" t="s">
        <v>48</v>
      </c>
      <c r="D10" s="108">
        <v>457.755</v>
      </c>
      <c r="E10" s="108">
        <v>200</v>
      </c>
      <c r="F10" s="108">
        <v>200.11</v>
      </c>
      <c r="G10" s="184">
        <v>0.5</v>
      </c>
      <c r="H10" s="184">
        <f t="shared" si="1"/>
        <v>100.05500000000001</v>
      </c>
      <c r="I10" s="183">
        <f t="shared" si="2"/>
        <v>99.944999999999993</v>
      </c>
      <c r="J10" s="106" t="s">
        <v>428</v>
      </c>
      <c r="K10" s="106">
        <v>614.06500000000005</v>
      </c>
      <c r="L10" s="106">
        <v>150</v>
      </c>
      <c r="M10" s="105">
        <f t="shared" si="0"/>
        <v>200.11</v>
      </c>
      <c r="N10" s="180">
        <f t="shared" si="3"/>
        <v>49.944999999999993</v>
      </c>
      <c r="O10" s="151"/>
      <c r="P10" s="150"/>
      <c r="R10" s="5" t="s">
        <v>507</v>
      </c>
      <c r="S10" s="5">
        <v>70</v>
      </c>
      <c r="T10" s="5">
        <f>S10/E46*100</f>
        <v>35</v>
      </c>
    </row>
    <row r="11" spans="1:24" ht="14.25" customHeight="1" thickBot="1">
      <c r="A11" s="499"/>
      <c r="B11" s="96" t="s">
        <v>8</v>
      </c>
      <c r="C11" s="95" t="s">
        <v>74</v>
      </c>
      <c r="D11" s="108">
        <v>632.29</v>
      </c>
      <c r="E11" s="108">
        <v>300</v>
      </c>
      <c r="F11" s="108">
        <v>416.14780000000002</v>
      </c>
      <c r="G11" s="184">
        <v>0.5</v>
      </c>
      <c r="H11" s="184">
        <f t="shared" si="1"/>
        <v>208.07390000000001</v>
      </c>
      <c r="I11" s="183">
        <f t="shared" si="2"/>
        <v>91.926099999999991</v>
      </c>
      <c r="J11" s="106" t="s">
        <v>427</v>
      </c>
      <c r="K11" s="106">
        <v>692.19500000000005</v>
      </c>
      <c r="L11" s="106">
        <v>300</v>
      </c>
      <c r="M11" s="105">
        <f t="shared" si="0"/>
        <v>416.14780000000002</v>
      </c>
      <c r="N11" s="180">
        <f t="shared" si="3"/>
        <v>91.926099999999991</v>
      </c>
      <c r="O11" s="151" t="s">
        <v>12</v>
      </c>
      <c r="P11" s="150">
        <v>125</v>
      </c>
      <c r="R11" s="5" t="s">
        <v>508</v>
      </c>
      <c r="S11" s="5">
        <v>68</v>
      </c>
      <c r="T11" s="5">
        <f>S11/E38*100</f>
        <v>13.600000000000001</v>
      </c>
      <c r="U11" s="330"/>
      <c r="V11" s="330"/>
      <c r="W11" s="330"/>
      <c r="X11" s="330"/>
    </row>
    <row r="12" spans="1:24" ht="14.25" customHeight="1" thickBot="1">
      <c r="A12" s="499"/>
      <c r="B12" s="96" t="s">
        <v>12</v>
      </c>
      <c r="C12" s="95" t="s">
        <v>52</v>
      </c>
      <c r="D12" s="108">
        <v>428.91</v>
      </c>
      <c r="E12" s="108">
        <v>200</v>
      </c>
      <c r="F12" s="108">
        <v>320.77999999999997</v>
      </c>
      <c r="G12" s="184">
        <v>0.5</v>
      </c>
      <c r="H12" s="184">
        <f t="shared" si="1"/>
        <v>160.38999999999999</v>
      </c>
      <c r="I12" s="183">
        <f t="shared" si="2"/>
        <v>39.610000000000014</v>
      </c>
      <c r="J12" s="106" t="s">
        <v>421</v>
      </c>
      <c r="K12" s="106">
        <v>440.09</v>
      </c>
      <c r="L12" s="106">
        <v>200</v>
      </c>
      <c r="M12" s="105">
        <f t="shared" si="0"/>
        <v>320.77999999999997</v>
      </c>
      <c r="N12" s="180">
        <f t="shared" si="3"/>
        <v>39.610000000000014</v>
      </c>
      <c r="O12" s="151"/>
      <c r="P12" s="150"/>
      <c r="R12" s="5" t="s">
        <v>509</v>
      </c>
      <c r="S12" s="5">
        <v>57</v>
      </c>
      <c r="T12" s="5">
        <f>S12/E47*100</f>
        <v>38</v>
      </c>
    </row>
    <row r="13" spans="1:24" ht="14.25" customHeight="1" thickBot="1">
      <c r="A13" s="499"/>
      <c r="B13" s="96" t="s">
        <v>397</v>
      </c>
      <c r="C13" s="95" t="s">
        <v>63</v>
      </c>
      <c r="D13" s="94">
        <v>530.30999999999995</v>
      </c>
      <c r="E13" s="94">
        <v>200</v>
      </c>
      <c r="F13" s="94">
        <v>22.35</v>
      </c>
      <c r="G13" s="184">
        <v>0.5</v>
      </c>
      <c r="H13" s="184">
        <f t="shared" si="1"/>
        <v>11.175000000000001</v>
      </c>
      <c r="I13" s="183">
        <f t="shared" si="2"/>
        <v>188.82499999999999</v>
      </c>
      <c r="J13" s="92" t="s">
        <v>419</v>
      </c>
      <c r="K13" s="92">
        <v>541.49</v>
      </c>
      <c r="L13" s="92">
        <v>150</v>
      </c>
      <c r="M13" s="91">
        <f t="shared" si="0"/>
        <v>22.35</v>
      </c>
      <c r="N13" s="180">
        <f t="shared" si="3"/>
        <v>138.82499999999999</v>
      </c>
      <c r="O13" s="70"/>
      <c r="P13" s="118"/>
      <c r="R13" s="5" t="s">
        <v>510</v>
      </c>
      <c r="S13" s="5">
        <v>15</v>
      </c>
      <c r="T13" s="5">
        <f>S13/E52*100</f>
        <v>7.5</v>
      </c>
    </row>
    <row r="14" spans="1:24" ht="13.5" thickBot="1">
      <c r="A14" s="112" t="s">
        <v>427</v>
      </c>
      <c r="B14" s="87" t="s">
        <v>351</v>
      </c>
      <c r="C14" s="163"/>
      <c r="D14" s="85"/>
      <c r="E14" s="85"/>
      <c r="F14" s="85"/>
      <c r="G14" s="184">
        <v>0.5</v>
      </c>
      <c r="H14" s="184">
        <f t="shared" si="1"/>
        <v>0</v>
      </c>
      <c r="I14" s="84"/>
      <c r="J14" s="83"/>
      <c r="K14" s="83"/>
      <c r="L14" s="83"/>
      <c r="M14" s="82"/>
      <c r="N14" s="100"/>
      <c r="O14" s="162"/>
      <c r="P14" s="109"/>
      <c r="R14" s="324" t="s">
        <v>418</v>
      </c>
      <c r="S14" s="319">
        <f>SUM(S4:S13)</f>
        <v>1071</v>
      </c>
      <c r="T14" s="60">
        <f>S14/8650*100</f>
        <v>12.38150289017341</v>
      </c>
    </row>
    <row r="15" spans="1:24" ht="14.25" customHeight="1" thickBot="1">
      <c r="A15" s="497" t="s">
        <v>49</v>
      </c>
      <c r="B15" s="87" t="s">
        <v>426</v>
      </c>
      <c r="C15" s="86" t="s">
        <v>47</v>
      </c>
      <c r="D15" s="85">
        <v>341.36500000000001</v>
      </c>
      <c r="E15" s="85">
        <v>400</v>
      </c>
      <c r="F15" s="85">
        <v>414.50749999999999</v>
      </c>
      <c r="G15" s="184">
        <v>0.5</v>
      </c>
      <c r="H15" s="184">
        <f t="shared" si="1"/>
        <v>207.25375</v>
      </c>
      <c r="I15" s="84">
        <f>E15-H15</f>
        <v>192.74625</v>
      </c>
      <c r="J15" s="83" t="s">
        <v>425</v>
      </c>
      <c r="K15" s="83">
        <v>527.53499999999997</v>
      </c>
      <c r="L15" s="83">
        <v>600</v>
      </c>
      <c r="M15" s="82">
        <f t="shared" ref="M15:M24" si="4">F15</f>
        <v>414.50749999999999</v>
      </c>
      <c r="N15" s="100">
        <f>L15-H15</f>
        <v>392.74625000000003</v>
      </c>
      <c r="O15" s="171"/>
      <c r="P15" s="123"/>
      <c r="R15" s="126" t="s">
        <v>365</v>
      </c>
      <c r="S15" s="241">
        <f>(S14/8650)*100</f>
        <v>12.38150289017341</v>
      </c>
      <c r="T15" s="326"/>
    </row>
    <row r="16" spans="1:24" ht="14.25" customHeight="1" thickBot="1">
      <c r="A16" s="499"/>
      <c r="B16" s="96" t="s">
        <v>9</v>
      </c>
      <c r="C16" s="95" t="s">
        <v>424</v>
      </c>
      <c r="D16" s="108">
        <v>72.555000000000007</v>
      </c>
      <c r="E16" s="108">
        <v>300</v>
      </c>
      <c r="F16" s="108">
        <v>249.06020000000001</v>
      </c>
      <c r="G16" s="184">
        <v>0.5</v>
      </c>
      <c r="H16" s="184">
        <f t="shared" si="1"/>
        <v>124.5301</v>
      </c>
      <c r="I16" s="84">
        <f t="shared" ref="I16:I24" si="5">E16-H16</f>
        <v>175.4699</v>
      </c>
      <c r="J16" s="106" t="s">
        <v>423</v>
      </c>
      <c r="K16" s="106">
        <v>258.625</v>
      </c>
      <c r="L16" s="106">
        <v>250</v>
      </c>
      <c r="M16" s="105">
        <f t="shared" si="4"/>
        <v>249.06020000000001</v>
      </c>
      <c r="N16" s="100">
        <f t="shared" ref="N16:N24" si="6">L16-H16</f>
        <v>125.4699</v>
      </c>
      <c r="O16" s="170"/>
      <c r="P16" s="147"/>
    </row>
    <row r="17" spans="1:33" ht="14.25" customHeight="1" thickBot="1">
      <c r="A17" s="499"/>
      <c r="B17" s="96" t="s">
        <v>10</v>
      </c>
      <c r="C17" s="95" t="s">
        <v>386</v>
      </c>
      <c r="D17" s="108">
        <v>894.93</v>
      </c>
      <c r="E17" s="108">
        <v>150</v>
      </c>
      <c r="F17" s="108">
        <v>185.4342</v>
      </c>
      <c r="G17" s="184">
        <v>0.5</v>
      </c>
      <c r="H17" s="184">
        <f t="shared" si="1"/>
        <v>92.717100000000002</v>
      </c>
      <c r="I17" s="84">
        <f t="shared" si="5"/>
        <v>57.282899999999998</v>
      </c>
      <c r="J17" s="106" t="s">
        <v>385</v>
      </c>
      <c r="K17" s="106">
        <v>975.03499999999997</v>
      </c>
      <c r="L17" s="106">
        <v>150</v>
      </c>
      <c r="M17" s="105">
        <f t="shared" si="4"/>
        <v>185.4342</v>
      </c>
      <c r="N17" s="100">
        <f t="shared" si="6"/>
        <v>57.282899999999998</v>
      </c>
      <c r="O17" s="170" t="s">
        <v>396</v>
      </c>
      <c r="P17" s="147">
        <v>25</v>
      </c>
    </row>
    <row r="18" spans="1:33" ht="14.25" customHeight="1" thickBot="1">
      <c r="A18" s="499"/>
      <c r="B18" s="96" t="s">
        <v>11</v>
      </c>
      <c r="C18" s="95" t="s">
        <v>378</v>
      </c>
      <c r="D18" s="108">
        <v>839.23</v>
      </c>
      <c r="E18" s="108">
        <v>150</v>
      </c>
      <c r="F18" s="108">
        <v>213.84829999999999</v>
      </c>
      <c r="G18" s="184">
        <v>0.5</v>
      </c>
      <c r="H18" s="184">
        <f t="shared" si="1"/>
        <v>106.92415</v>
      </c>
      <c r="I18" s="84">
        <f t="shared" si="5"/>
        <v>43.075850000000003</v>
      </c>
      <c r="J18" s="106" t="s">
        <v>422</v>
      </c>
      <c r="K18" s="106">
        <v>1025.3</v>
      </c>
      <c r="L18" s="106">
        <v>150</v>
      </c>
      <c r="M18" s="105">
        <f t="shared" si="4"/>
        <v>213.84829999999999</v>
      </c>
      <c r="N18" s="100">
        <f t="shared" si="6"/>
        <v>43.075850000000003</v>
      </c>
      <c r="O18" s="131"/>
      <c r="P18" s="147"/>
    </row>
    <row r="19" spans="1:33" ht="14.25" customHeight="1" thickBot="1">
      <c r="A19" s="499"/>
      <c r="B19" s="96" t="s">
        <v>12</v>
      </c>
      <c r="C19" s="95" t="s">
        <v>52</v>
      </c>
      <c r="D19" s="108">
        <v>428.91</v>
      </c>
      <c r="E19" s="108">
        <v>200</v>
      </c>
      <c r="F19" s="108">
        <v>320.7817</v>
      </c>
      <c r="G19" s="184">
        <v>0.5</v>
      </c>
      <c r="H19" s="184">
        <f t="shared" si="1"/>
        <v>160.39085</v>
      </c>
      <c r="I19" s="84">
        <f t="shared" si="5"/>
        <v>39.60915</v>
      </c>
      <c r="J19" s="106" t="s">
        <v>421</v>
      </c>
      <c r="K19" s="106">
        <v>440.09</v>
      </c>
      <c r="L19" s="106">
        <v>200</v>
      </c>
      <c r="M19" s="105">
        <f t="shared" si="4"/>
        <v>320.7817</v>
      </c>
      <c r="N19" s="100">
        <f t="shared" si="6"/>
        <v>39.60915</v>
      </c>
      <c r="O19" s="131"/>
      <c r="P19" s="147"/>
      <c r="R19" s="494" t="s">
        <v>535</v>
      </c>
      <c r="S19" s="495"/>
      <c r="T19" s="495"/>
      <c r="U19" s="495"/>
      <c r="V19" s="495"/>
      <c r="W19" s="496"/>
      <c r="X19" s="166"/>
    </row>
    <row r="20" spans="1:33" ht="14.25" customHeight="1" thickBot="1">
      <c r="A20" s="499"/>
      <c r="B20" s="96" t="s">
        <v>420</v>
      </c>
      <c r="C20" s="95" t="s">
        <v>412</v>
      </c>
      <c r="D20" s="94">
        <v>530.30999999999995</v>
      </c>
      <c r="E20" s="94">
        <v>200</v>
      </c>
      <c r="F20" s="94">
        <v>22.35</v>
      </c>
      <c r="G20" s="184">
        <v>0.5</v>
      </c>
      <c r="H20" s="184">
        <f t="shared" si="1"/>
        <v>11.175000000000001</v>
      </c>
      <c r="I20" s="84">
        <f t="shared" si="5"/>
        <v>188.82499999999999</v>
      </c>
      <c r="J20" s="92" t="s">
        <v>419</v>
      </c>
      <c r="K20" s="92">
        <v>541.49</v>
      </c>
      <c r="L20" s="92">
        <v>150</v>
      </c>
      <c r="M20" s="91">
        <f t="shared" si="4"/>
        <v>22.35</v>
      </c>
      <c r="N20" s="100">
        <f t="shared" si="6"/>
        <v>138.82499999999999</v>
      </c>
      <c r="O20" s="167"/>
      <c r="P20" s="118"/>
      <c r="R20" s="336" t="s">
        <v>470</v>
      </c>
      <c r="S20" s="337" t="s">
        <v>471</v>
      </c>
      <c r="T20" s="337" t="s">
        <v>472</v>
      </c>
      <c r="U20" s="337" t="s">
        <v>473</v>
      </c>
      <c r="V20" s="338" t="s">
        <v>474</v>
      </c>
      <c r="W20" s="339" t="s">
        <v>527</v>
      </c>
      <c r="X20" s="340" t="s">
        <v>418</v>
      </c>
    </row>
    <row r="21" spans="1:33" ht="14.25" customHeight="1" thickBot="1">
      <c r="A21" s="497" t="s">
        <v>414</v>
      </c>
      <c r="B21" s="87" t="s">
        <v>7</v>
      </c>
      <c r="C21" s="86" t="s">
        <v>48</v>
      </c>
      <c r="D21" s="85">
        <v>457.755</v>
      </c>
      <c r="E21" s="85">
        <v>200</v>
      </c>
      <c r="F21" s="85">
        <v>200.1122</v>
      </c>
      <c r="G21" s="184">
        <v>0.5</v>
      </c>
      <c r="H21" s="184">
        <f t="shared" si="1"/>
        <v>100.0561</v>
      </c>
      <c r="I21" s="84">
        <f t="shared" si="5"/>
        <v>99.943899999999999</v>
      </c>
      <c r="J21" s="83" t="s">
        <v>417</v>
      </c>
      <c r="K21" s="83">
        <v>733.18499999999995</v>
      </c>
      <c r="L21" s="83">
        <v>150</v>
      </c>
      <c r="M21" s="82">
        <f t="shared" si="4"/>
        <v>200.1122</v>
      </c>
      <c r="N21" s="100">
        <f t="shared" si="6"/>
        <v>49.943899999999999</v>
      </c>
      <c r="O21" s="508" t="s">
        <v>351</v>
      </c>
      <c r="P21" s="509"/>
      <c r="R21" s="60" t="s">
        <v>84</v>
      </c>
      <c r="S21" s="341">
        <v>0</v>
      </c>
      <c r="T21" s="341">
        <v>0</v>
      </c>
      <c r="U21" s="342">
        <v>0</v>
      </c>
      <c r="V21" s="342">
        <v>0</v>
      </c>
      <c r="W21" s="343">
        <v>0</v>
      </c>
      <c r="X21" s="344">
        <f>SUM(S21:W21)</f>
        <v>0</v>
      </c>
    </row>
    <row r="22" spans="1:33" ht="14.25" customHeight="1" thickBot="1">
      <c r="A22" s="499"/>
      <c r="B22" s="96" t="s">
        <v>416</v>
      </c>
      <c r="C22" s="95" t="s">
        <v>74</v>
      </c>
      <c r="D22" s="108">
        <v>632.29</v>
      </c>
      <c r="E22" s="108">
        <v>300</v>
      </c>
      <c r="F22" s="108">
        <v>416.14780000000002</v>
      </c>
      <c r="G22" s="184">
        <v>0.5</v>
      </c>
      <c r="H22" s="184">
        <f t="shared" si="1"/>
        <v>208.07390000000001</v>
      </c>
      <c r="I22" s="84">
        <f t="shared" si="5"/>
        <v>91.926099999999991</v>
      </c>
      <c r="J22" s="106" t="s">
        <v>361</v>
      </c>
      <c r="K22" s="106">
        <v>692.19500000000005</v>
      </c>
      <c r="L22" s="106">
        <v>300</v>
      </c>
      <c r="M22" s="105">
        <f t="shared" si="4"/>
        <v>416.14780000000002</v>
      </c>
      <c r="N22" s="100">
        <f t="shared" si="6"/>
        <v>91.926099999999991</v>
      </c>
      <c r="O22" s="510"/>
      <c r="P22" s="511"/>
      <c r="R22" s="60" t="s">
        <v>85</v>
      </c>
      <c r="S22" s="341">
        <v>0</v>
      </c>
      <c r="T22" s="341">
        <v>1</v>
      </c>
      <c r="U22" s="341">
        <v>0</v>
      </c>
      <c r="V22" s="341">
        <v>0</v>
      </c>
      <c r="W22" s="343">
        <v>0</v>
      </c>
      <c r="X22" s="60">
        <f t="shared" ref="X22:X32" si="7">SUM(S22:W22)</f>
        <v>1</v>
      </c>
    </row>
    <row r="23" spans="1:33" ht="14.25" customHeight="1" thickBot="1">
      <c r="A23" s="499"/>
      <c r="B23" s="96" t="s">
        <v>415</v>
      </c>
      <c r="C23" s="95" t="s">
        <v>414</v>
      </c>
      <c r="D23" s="108">
        <v>370.31</v>
      </c>
      <c r="E23" s="108">
        <v>200</v>
      </c>
      <c r="F23" s="108">
        <v>24.103000000000002</v>
      </c>
      <c r="G23" s="184">
        <v>0.5</v>
      </c>
      <c r="H23" s="184">
        <f t="shared" si="1"/>
        <v>12.051500000000001</v>
      </c>
      <c r="I23" s="84">
        <f t="shared" si="5"/>
        <v>187.9485</v>
      </c>
      <c r="J23" s="106" t="s">
        <v>413</v>
      </c>
      <c r="K23" s="106">
        <v>820.63</v>
      </c>
      <c r="L23" s="106">
        <v>150</v>
      </c>
      <c r="M23" s="105">
        <f t="shared" si="4"/>
        <v>24.103000000000002</v>
      </c>
      <c r="N23" s="100">
        <f t="shared" si="6"/>
        <v>137.9485</v>
      </c>
      <c r="O23" s="510"/>
      <c r="P23" s="511"/>
      <c r="R23" s="60" t="s">
        <v>86</v>
      </c>
      <c r="S23" s="341">
        <v>0</v>
      </c>
      <c r="T23" s="341">
        <v>1</v>
      </c>
      <c r="U23" s="341">
        <v>0</v>
      </c>
      <c r="V23" s="341">
        <v>0</v>
      </c>
      <c r="W23" s="343">
        <v>0</v>
      </c>
      <c r="X23" s="60">
        <f t="shared" si="7"/>
        <v>1</v>
      </c>
      <c r="AA23" s="405" t="s">
        <v>476</v>
      </c>
      <c r="AB23" s="405" t="s">
        <v>477</v>
      </c>
      <c r="AC23" s="345" t="s">
        <v>478</v>
      </c>
    </row>
    <row r="24" spans="1:33" ht="14.25" customHeight="1" thickBot="1">
      <c r="A24" s="499"/>
      <c r="B24" s="96" t="s">
        <v>397</v>
      </c>
      <c r="C24" s="95" t="s">
        <v>412</v>
      </c>
      <c r="D24" s="94">
        <v>530.30999999999995</v>
      </c>
      <c r="E24" s="94">
        <v>200</v>
      </c>
      <c r="F24" s="94">
        <v>22.35</v>
      </c>
      <c r="G24" s="184">
        <v>0.5</v>
      </c>
      <c r="H24" s="184">
        <f t="shared" si="1"/>
        <v>11.175000000000001</v>
      </c>
      <c r="I24" s="84">
        <f t="shared" si="5"/>
        <v>188.82499999999999</v>
      </c>
      <c r="J24" s="92" t="s">
        <v>411</v>
      </c>
      <c r="K24" s="92">
        <v>660.63</v>
      </c>
      <c r="L24" s="92">
        <v>150</v>
      </c>
      <c r="M24" s="91">
        <f t="shared" si="4"/>
        <v>22.35</v>
      </c>
      <c r="N24" s="100">
        <f t="shared" si="6"/>
        <v>138.82499999999999</v>
      </c>
      <c r="O24" s="512"/>
      <c r="P24" s="513"/>
      <c r="R24" s="60" t="s">
        <v>87</v>
      </c>
      <c r="S24" s="341">
        <v>3</v>
      </c>
      <c r="T24" s="341">
        <v>0</v>
      </c>
      <c r="U24" s="341">
        <v>0</v>
      </c>
      <c r="V24" s="341">
        <v>0</v>
      </c>
      <c r="W24" s="343">
        <v>0</v>
      </c>
      <c r="X24" s="60">
        <f t="shared" si="7"/>
        <v>3</v>
      </c>
      <c r="AA24" s="61" t="s">
        <v>471</v>
      </c>
      <c r="AB24" s="61">
        <v>100</v>
      </c>
      <c r="AC24" s="413">
        <v>15</v>
      </c>
    </row>
    <row r="25" spans="1:33" ht="15" customHeight="1" thickBot="1">
      <c r="A25" s="164" t="s">
        <v>410</v>
      </c>
      <c r="B25" s="87" t="s">
        <v>409</v>
      </c>
      <c r="C25" s="163"/>
      <c r="D25" s="85"/>
      <c r="E25" s="85"/>
      <c r="F25" s="85"/>
      <c r="G25" s="184">
        <v>0.5</v>
      </c>
      <c r="H25" s="184">
        <f t="shared" si="1"/>
        <v>0</v>
      </c>
      <c r="I25" s="84"/>
      <c r="J25" s="83"/>
      <c r="K25" s="83"/>
      <c r="L25" s="83"/>
      <c r="M25" s="82"/>
      <c r="N25" s="100"/>
      <c r="O25" s="162"/>
      <c r="P25" s="109"/>
      <c r="R25" s="60" t="s">
        <v>88</v>
      </c>
      <c r="S25" s="341">
        <v>1</v>
      </c>
      <c r="T25" s="341">
        <v>0</v>
      </c>
      <c r="U25" s="341">
        <v>1</v>
      </c>
      <c r="V25" s="341">
        <v>0</v>
      </c>
      <c r="W25" s="343">
        <v>0</v>
      </c>
      <c r="X25" s="60">
        <f t="shared" si="7"/>
        <v>2</v>
      </c>
      <c r="AA25" s="346" t="s">
        <v>472</v>
      </c>
      <c r="AB25" s="346">
        <v>150</v>
      </c>
      <c r="AC25" s="414">
        <v>16.3689</v>
      </c>
    </row>
    <row r="26" spans="1:33" ht="13.5" thickBot="1">
      <c r="A26" s="519" t="s">
        <v>408</v>
      </c>
      <c r="B26" s="160" t="s">
        <v>14</v>
      </c>
      <c r="C26" s="86" t="s">
        <v>407</v>
      </c>
      <c r="D26" s="85">
        <v>391.72</v>
      </c>
      <c r="E26" s="84">
        <v>400</v>
      </c>
      <c r="F26" s="85">
        <v>664.51419999999996</v>
      </c>
      <c r="G26" s="184">
        <v>0.5</v>
      </c>
      <c r="H26" s="184">
        <f t="shared" si="1"/>
        <v>332.25709999999998</v>
      </c>
      <c r="I26" s="84">
        <f>E26-H26</f>
        <v>67.74290000000002</v>
      </c>
      <c r="J26" s="83" t="s">
        <v>406</v>
      </c>
      <c r="K26" s="83">
        <v>799.22</v>
      </c>
      <c r="L26" s="83">
        <v>300</v>
      </c>
      <c r="M26" s="82">
        <f t="shared" ref="M26:M56" si="8">F26</f>
        <v>664.51419999999996</v>
      </c>
      <c r="N26" s="81">
        <f>L26-H26</f>
        <v>-32.25709999999998</v>
      </c>
      <c r="O26" s="80" t="s">
        <v>487</v>
      </c>
      <c r="P26" s="123">
        <v>12</v>
      </c>
      <c r="R26" s="60" t="s">
        <v>89</v>
      </c>
      <c r="S26" s="341">
        <v>0</v>
      </c>
      <c r="T26" s="341">
        <v>0</v>
      </c>
      <c r="U26" s="341">
        <v>0</v>
      </c>
      <c r="V26" s="341">
        <v>0</v>
      </c>
      <c r="W26" s="343">
        <v>0</v>
      </c>
      <c r="X26" s="60">
        <f t="shared" si="7"/>
        <v>0</v>
      </c>
      <c r="AA26" s="346" t="s">
        <v>473</v>
      </c>
      <c r="AB26" s="346">
        <v>200</v>
      </c>
      <c r="AC26" s="414">
        <v>16.746700000000001</v>
      </c>
    </row>
    <row r="27" spans="1:33" ht="14.25" customHeight="1" thickBot="1">
      <c r="A27" s="520"/>
      <c r="B27" s="75" t="s">
        <v>360</v>
      </c>
      <c r="C27" s="74" t="s">
        <v>55</v>
      </c>
      <c r="D27" s="157">
        <v>566.26</v>
      </c>
      <c r="E27" s="157">
        <v>300</v>
      </c>
      <c r="F27" s="157">
        <v>424.66829999999999</v>
      </c>
      <c r="G27" s="184">
        <v>0.5</v>
      </c>
      <c r="H27" s="184">
        <f t="shared" si="1"/>
        <v>212.33414999999999</v>
      </c>
      <c r="I27" s="84">
        <f t="shared" ref="I27:I56" si="9">E27-H27</f>
        <v>87.665850000000006</v>
      </c>
      <c r="J27" s="156" t="s">
        <v>405</v>
      </c>
      <c r="K27" s="156">
        <v>973.76</v>
      </c>
      <c r="L27" s="156">
        <v>300</v>
      </c>
      <c r="M27" s="71">
        <f t="shared" si="8"/>
        <v>424.66829999999999</v>
      </c>
      <c r="N27" s="81">
        <f t="shared" ref="N27:N56" si="10">L27-H27</f>
        <v>87.665850000000006</v>
      </c>
      <c r="O27" s="155"/>
      <c r="P27" s="154"/>
      <c r="R27" s="60" t="s">
        <v>90</v>
      </c>
      <c r="S27" s="341">
        <v>1</v>
      </c>
      <c r="T27" s="341">
        <v>0</v>
      </c>
      <c r="U27" s="341">
        <v>0</v>
      </c>
      <c r="V27" s="341">
        <v>0</v>
      </c>
      <c r="W27" s="343">
        <v>0</v>
      </c>
      <c r="X27" s="60">
        <f t="shared" si="7"/>
        <v>1</v>
      </c>
      <c r="AA27" s="346" t="s">
        <v>474</v>
      </c>
      <c r="AB27" s="346">
        <v>250</v>
      </c>
      <c r="AC27" s="414">
        <v>16.886600000000001</v>
      </c>
    </row>
    <row r="28" spans="1:33" ht="13.5" thickBot="1">
      <c r="A28" s="499" t="s">
        <v>404</v>
      </c>
      <c r="B28" s="63" t="s">
        <v>6</v>
      </c>
      <c r="C28" s="114" t="s">
        <v>47</v>
      </c>
      <c r="D28" s="94">
        <v>341.46499999999997</v>
      </c>
      <c r="E28" s="93">
        <v>400</v>
      </c>
      <c r="F28" s="94">
        <v>414.50749999999999</v>
      </c>
      <c r="G28" s="184">
        <v>0.5</v>
      </c>
      <c r="H28" s="184">
        <f t="shared" si="1"/>
        <v>207.25375</v>
      </c>
      <c r="I28" s="84">
        <f t="shared" si="9"/>
        <v>192.74625</v>
      </c>
      <c r="J28" s="92" t="s">
        <v>403</v>
      </c>
      <c r="K28" s="92">
        <v>849.47500000000002</v>
      </c>
      <c r="L28" s="92">
        <v>400</v>
      </c>
      <c r="M28" s="91">
        <f t="shared" si="8"/>
        <v>414.50749999999999</v>
      </c>
      <c r="N28" s="81">
        <f t="shared" si="10"/>
        <v>192.74625</v>
      </c>
      <c r="O28" s="80" t="s">
        <v>488</v>
      </c>
      <c r="P28" s="123">
        <v>110</v>
      </c>
      <c r="R28" s="60" t="s">
        <v>91</v>
      </c>
      <c r="S28" s="341">
        <v>3</v>
      </c>
      <c r="T28" s="341">
        <v>0</v>
      </c>
      <c r="U28" s="343">
        <v>0</v>
      </c>
      <c r="V28" s="343">
        <v>0</v>
      </c>
      <c r="W28" s="343">
        <v>0</v>
      </c>
      <c r="X28" s="60">
        <f t="shared" si="7"/>
        <v>3</v>
      </c>
      <c r="AA28" s="347" t="s">
        <v>527</v>
      </c>
      <c r="AB28" s="347">
        <v>300</v>
      </c>
      <c r="AC28" s="415">
        <v>17</v>
      </c>
    </row>
    <row r="29" spans="1:33" ht="14.25" customHeight="1" thickBot="1">
      <c r="A29" s="499"/>
      <c r="B29" s="63" t="s">
        <v>402</v>
      </c>
      <c r="C29" s="114" t="s">
        <v>386</v>
      </c>
      <c r="D29" s="94">
        <v>894.93</v>
      </c>
      <c r="E29" s="93">
        <v>150</v>
      </c>
      <c r="F29" s="94">
        <v>185.4342</v>
      </c>
      <c r="G29" s="184">
        <v>0.5</v>
      </c>
      <c r="H29" s="184">
        <f t="shared" si="1"/>
        <v>92.717100000000002</v>
      </c>
      <c r="I29" s="84">
        <f t="shared" si="9"/>
        <v>57.282899999999998</v>
      </c>
      <c r="J29" s="92" t="s">
        <v>385</v>
      </c>
      <c r="K29" s="92">
        <v>975.03499999999997</v>
      </c>
      <c r="L29" s="92">
        <v>150</v>
      </c>
      <c r="M29" s="91">
        <f t="shared" si="8"/>
        <v>185.4342</v>
      </c>
      <c r="N29" s="81">
        <f t="shared" si="10"/>
        <v>57.282899999999998</v>
      </c>
      <c r="O29" s="131" t="s">
        <v>489</v>
      </c>
      <c r="P29" s="147">
        <v>265</v>
      </c>
      <c r="R29" s="60" t="s">
        <v>92</v>
      </c>
      <c r="S29" s="343">
        <v>1</v>
      </c>
      <c r="T29" s="343">
        <v>0</v>
      </c>
      <c r="U29" s="343">
        <v>0</v>
      </c>
      <c r="V29" s="343">
        <v>0</v>
      </c>
      <c r="W29" s="343">
        <v>0</v>
      </c>
      <c r="X29" s="60">
        <f t="shared" si="7"/>
        <v>1</v>
      </c>
    </row>
    <row r="30" spans="1:33" ht="14.25" customHeight="1" thickBot="1">
      <c r="A30" s="499"/>
      <c r="B30" s="96" t="s">
        <v>401</v>
      </c>
      <c r="C30" s="95" t="s">
        <v>378</v>
      </c>
      <c r="D30" s="108">
        <v>839.23</v>
      </c>
      <c r="E30" s="108">
        <v>150</v>
      </c>
      <c r="F30" s="108">
        <v>213.84829999999999</v>
      </c>
      <c r="G30" s="184">
        <v>0.5</v>
      </c>
      <c r="H30" s="184">
        <f t="shared" si="1"/>
        <v>106.92415</v>
      </c>
      <c r="I30" s="84">
        <f t="shared" si="9"/>
        <v>43.075850000000003</v>
      </c>
      <c r="J30" s="106" t="s">
        <v>400</v>
      </c>
      <c r="K30" s="106">
        <v>1347.24</v>
      </c>
      <c r="L30" s="106">
        <v>100</v>
      </c>
      <c r="M30" s="105">
        <f t="shared" si="8"/>
        <v>213.84829999999999</v>
      </c>
      <c r="N30" s="81">
        <f t="shared" si="10"/>
        <v>-6.9241499999999974</v>
      </c>
      <c r="O30" s="151" t="s">
        <v>490</v>
      </c>
      <c r="P30" s="150">
        <v>27</v>
      </c>
      <c r="R30" s="60" t="s">
        <v>93</v>
      </c>
      <c r="S30" s="343">
        <v>1</v>
      </c>
      <c r="T30" s="341">
        <v>0</v>
      </c>
      <c r="U30" s="343">
        <v>0</v>
      </c>
      <c r="V30" s="343">
        <v>0</v>
      </c>
      <c r="W30" s="343">
        <v>0</v>
      </c>
      <c r="X30" s="60">
        <f t="shared" si="7"/>
        <v>1</v>
      </c>
    </row>
    <row r="31" spans="1:33" ht="14.25" customHeight="1" thickBot="1">
      <c r="A31" s="499"/>
      <c r="B31" s="96" t="s">
        <v>399</v>
      </c>
      <c r="C31" s="95" t="s">
        <v>52</v>
      </c>
      <c r="D31" s="94">
        <v>428.91</v>
      </c>
      <c r="E31" s="93">
        <v>200</v>
      </c>
      <c r="F31" s="94">
        <v>320.7817</v>
      </c>
      <c r="G31" s="184">
        <v>0.5</v>
      </c>
      <c r="H31" s="184">
        <f t="shared" si="1"/>
        <v>160.39085</v>
      </c>
      <c r="I31" s="84">
        <f t="shared" si="9"/>
        <v>39.60915</v>
      </c>
      <c r="J31" s="92" t="s">
        <v>398</v>
      </c>
      <c r="K31" s="92">
        <v>762.03</v>
      </c>
      <c r="L31" s="92">
        <v>150</v>
      </c>
      <c r="M31" s="91">
        <f t="shared" si="8"/>
        <v>320.7817</v>
      </c>
      <c r="N31" s="81">
        <f t="shared" si="10"/>
        <v>-10.39085</v>
      </c>
      <c r="O31" s="131"/>
      <c r="P31" s="147"/>
      <c r="R31" s="60" t="s">
        <v>94</v>
      </c>
      <c r="S31" s="343">
        <v>2</v>
      </c>
      <c r="T31" s="341">
        <v>0</v>
      </c>
      <c r="U31" s="343">
        <v>0</v>
      </c>
      <c r="V31" s="343">
        <v>0</v>
      </c>
      <c r="W31" s="343">
        <v>0</v>
      </c>
      <c r="X31" s="60">
        <f t="shared" si="7"/>
        <v>2</v>
      </c>
      <c r="AA31" s="494" t="s">
        <v>534</v>
      </c>
      <c r="AB31" s="495"/>
      <c r="AC31" s="495"/>
      <c r="AD31" s="495"/>
      <c r="AE31" s="495"/>
      <c r="AF31" s="496"/>
      <c r="AG31" s="166"/>
    </row>
    <row r="32" spans="1:33" ht="14.25" customHeight="1" thickBot="1">
      <c r="A32" s="499"/>
      <c r="B32" s="96" t="s">
        <v>396</v>
      </c>
      <c r="C32" s="95" t="s">
        <v>56</v>
      </c>
      <c r="D32" s="94">
        <v>268.91000000000003</v>
      </c>
      <c r="E32" s="94">
        <v>250</v>
      </c>
      <c r="F32" s="94">
        <v>277.57420000000002</v>
      </c>
      <c r="G32" s="184">
        <v>0.5</v>
      </c>
      <c r="H32" s="184">
        <f t="shared" si="1"/>
        <v>138.78710000000001</v>
      </c>
      <c r="I32" s="84">
        <f t="shared" si="9"/>
        <v>111.21289999999999</v>
      </c>
      <c r="J32" s="92" t="s">
        <v>395</v>
      </c>
      <c r="K32" s="92">
        <v>922.03</v>
      </c>
      <c r="L32" s="92">
        <v>250</v>
      </c>
      <c r="M32" s="105">
        <f t="shared" si="8"/>
        <v>277.57420000000002</v>
      </c>
      <c r="N32" s="81">
        <f t="shared" si="10"/>
        <v>111.21289999999999</v>
      </c>
      <c r="O32" s="70"/>
      <c r="P32" s="118"/>
      <c r="R32" s="326" t="s">
        <v>469</v>
      </c>
      <c r="S32" s="348">
        <v>0</v>
      </c>
      <c r="T32" s="348">
        <v>0</v>
      </c>
      <c r="U32" s="348">
        <v>0</v>
      </c>
      <c r="V32" s="348">
        <v>0</v>
      </c>
      <c r="W32" s="348">
        <v>0</v>
      </c>
      <c r="X32" s="326">
        <f t="shared" si="7"/>
        <v>0</v>
      </c>
      <c r="AA32" s="336" t="s">
        <v>470</v>
      </c>
      <c r="AB32" s="337" t="s">
        <v>471</v>
      </c>
      <c r="AC32" s="337" t="s">
        <v>472</v>
      </c>
      <c r="AD32" s="337" t="s">
        <v>473</v>
      </c>
      <c r="AE32" s="338" t="s">
        <v>474</v>
      </c>
      <c r="AF32" s="339" t="s">
        <v>527</v>
      </c>
      <c r="AG32" s="340" t="s">
        <v>418</v>
      </c>
    </row>
    <row r="33" spans="1:36" ht="13.5" thickBot="1">
      <c r="A33" s="497" t="s">
        <v>382</v>
      </c>
      <c r="B33" s="87" t="s">
        <v>393</v>
      </c>
      <c r="C33" s="86" t="s">
        <v>392</v>
      </c>
      <c r="D33" s="85">
        <v>774.56</v>
      </c>
      <c r="E33" s="85">
        <v>450</v>
      </c>
      <c r="F33" s="85">
        <v>593.39</v>
      </c>
      <c r="G33" s="184">
        <v>0.5</v>
      </c>
      <c r="H33" s="184">
        <f t="shared" si="1"/>
        <v>296.69499999999999</v>
      </c>
      <c r="I33" s="84">
        <f t="shared" si="9"/>
        <v>153.30500000000001</v>
      </c>
      <c r="J33" s="83" t="s">
        <v>391</v>
      </c>
      <c r="K33" s="83">
        <v>778.62</v>
      </c>
      <c r="L33" s="83">
        <v>450</v>
      </c>
      <c r="M33" s="82">
        <f t="shared" si="8"/>
        <v>593.39</v>
      </c>
      <c r="N33" s="81">
        <f t="shared" si="10"/>
        <v>153.30500000000001</v>
      </c>
      <c r="O33" s="526"/>
      <c r="P33" s="514"/>
      <c r="R33" s="340" t="s">
        <v>479</v>
      </c>
      <c r="S33" s="349">
        <f t="shared" ref="S33:X33" si="11">SUM(S21:S32)</f>
        <v>12</v>
      </c>
      <c r="T33" s="349">
        <f t="shared" si="11"/>
        <v>2</v>
      </c>
      <c r="U33" s="349">
        <f t="shared" si="11"/>
        <v>1</v>
      </c>
      <c r="V33" s="349">
        <f t="shared" si="11"/>
        <v>0</v>
      </c>
      <c r="W33" s="349">
        <f t="shared" si="11"/>
        <v>0</v>
      </c>
      <c r="X33" s="350">
        <f t="shared" si="11"/>
        <v>15</v>
      </c>
      <c r="AA33" s="60" t="s">
        <v>84</v>
      </c>
      <c r="AB33" s="343">
        <f>S21+S42</f>
        <v>0</v>
      </c>
      <c r="AC33" s="343">
        <f t="shared" ref="AC33:AF33" si="12">T21+T42</f>
        <v>3</v>
      </c>
      <c r="AD33" s="343">
        <f t="shared" si="12"/>
        <v>2</v>
      </c>
      <c r="AE33" s="343">
        <f t="shared" si="12"/>
        <v>1</v>
      </c>
      <c r="AF33" s="343">
        <f t="shared" si="12"/>
        <v>0</v>
      </c>
      <c r="AG33" s="344">
        <f>SUM(AB33:AF33)</f>
        <v>6</v>
      </c>
    </row>
    <row r="34" spans="1:36" ht="14.25" customHeight="1" thickBot="1">
      <c r="A34" s="499"/>
      <c r="B34" s="96" t="s">
        <v>387</v>
      </c>
      <c r="C34" s="95" t="s">
        <v>386</v>
      </c>
      <c r="D34" s="108">
        <v>894.93</v>
      </c>
      <c r="E34" s="107">
        <v>150</v>
      </c>
      <c r="F34" s="108">
        <v>185.4342</v>
      </c>
      <c r="G34" s="184">
        <v>0.5</v>
      </c>
      <c r="H34" s="184">
        <f t="shared" si="1"/>
        <v>92.717100000000002</v>
      </c>
      <c r="I34" s="84">
        <f t="shared" si="9"/>
        <v>57.282899999999998</v>
      </c>
      <c r="J34" s="106" t="s">
        <v>385</v>
      </c>
      <c r="K34" s="106">
        <v>975.03499999999997</v>
      </c>
      <c r="L34" s="106">
        <v>150</v>
      </c>
      <c r="M34" s="105">
        <f t="shared" si="8"/>
        <v>185.4342</v>
      </c>
      <c r="N34" s="81">
        <f t="shared" si="10"/>
        <v>57.282899999999998</v>
      </c>
      <c r="O34" s="527"/>
      <c r="P34" s="528"/>
      <c r="R34" s="340" t="s">
        <v>478</v>
      </c>
      <c r="S34" s="351">
        <f>PRODUCT(S33*AC24)</f>
        <v>180</v>
      </c>
      <c r="T34" s="416">
        <f>PRODUCT(T33*AC25)</f>
        <v>32.7378</v>
      </c>
      <c r="U34" s="416">
        <f>PRODUCT(U33*AC26)</f>
        <v>16.746700000000001</v>
      </c>
      <c r="V34" s="416">
        <f>PRODUCT(V33*AC27)</f>
        <v>0</v>
      </c>
      <c r="W34" s="416">
        <f>PRODUCT(W33*AC28)</f>
        <v>0</v>
      </c>
      <c r="X34" s="417">
        <f>SUM(S34:W34)</f>
        <v>229.4845</v>
      </c>
      <c r="Y34" s="17" t="s">
        <v>518</v>
      </c>
      <c r="AA34" s="60" t="s">
        <v>85</v>
      </c>
      <c r="AB34" s="343">
        <f t="shared" ref="AB34:AB44" si="13">S22+S43</f>
        <v>0</v>
      </c>
      <c r="AC34" s="343">
        <f t="shared" ref="AC34:AC44" si="14">T22+T43</f>
        <v>5</v>
      </c>
      <c r="AD34" s="343">
        <f t="shared" ref="AD34:AD44" si="15">U22+U43</f>
        <v>3</v>
      </c>
      <c r="AE34" s="343">
        <f t="shared" ref="AE34:AE44" si="16">V22+V43</f>
        <v>0</v>
      </c>
      <c r="AF34" s="343">
        <f t="shared" ref="AF34:AF44" si="17">W22+W43</f>
        <v>2</v>
      </c>
      <c r="AG34" s="60">
        <f t="shared" ref="AG34:AG44" si="18">SUM(AB34:AF34)</f>
        <v>10</v>
      </c>
    </row>
    <row r="35" spans="1:36" ht="14.25" customHeight="1" thickBot="1">
      <c r="A35" s="499"/>
      <c r="B35" s="96" t="s">
        <v>383</v>
      </c>
      <c r="C35" s="95" t="s">
        <v>382</v>
      </c>
      <c r="D35" s="94">
        <v>553.46500000000003</v>
      </c>
      <c r="E35" s="93">
        <v>300</v>
      </c>
      <c r="F35" s="94">
        <v>491.47570000000002</v>
      </c>
      <c r="G35" s="184">
        <v>0.5</v>
      </c>
      <c r="H35" s="184">
        <f t="shared" si="1"/>
        <v>245.73785000000001</v>
      </c>
      <c r="I35" s="84">
        <f t="shared" si="9"/>
        <v>54.262149999999991</v>
      </c>
      <c r="J35" s="92" t="s">
        <v>381</v>
      </c>
      <c r="K35" s="92">
        <v>660.12</v>
      </c>
      <c r="L35" s="92">
        <v>300</v>
      </c>
      <c r="M35" s="91">
        <f t="shared" si="8"/>
        <v>491.47570000000002</v>
      </c>
      <c r="N35" s="81">
        <f t="shared" si="10"/>
        <v>54.262149999999991</v>
      </c>
      <c r="O35" s="527"/>
      <c r="P35" s="528"/>
      <c r="R35" s="340" t="s">
        <v>477</v>
      </c>
      <c r="S35" s="351">
        <f>S33*AB24</f>
        <v>1200</v>
      </c>
      <c r="T35" s="351">
        <f>T33*AB25</f>
        <v>300</v>
      </c>
      <c r="U35" s="351">
        <f>U33*AB26</f>
        <v>200</v>
      </c>
      <c r="V35" s="351">
        <f>V33*AB27</f>
        <v>0</v>
      </c>
      <c r="W35" s="351">
        <f>W33*AB28</f>
        <v>0</v>
      </c>
      <c r="X35" s="396">
        <f>SUM(S35:W35)</f>
        <v>1700</v>
      </c>
      <c r="Y35" s="17" t="s">
        <v>519</v>
      </c>
      <c r="AA35" s="60" t="s">
        <v>86</v>
      </c>
      <c r="AB35" s="343">
        <f t="shared" si="13"/>
        <v>0</v>
      </c>
      <c r="AC35" s="343">
        <f t="shared" si="14"/>
        <v>1</v>
      </c>
      <c r="AD35" s="343">
        <f t="shared" si="15"/>
        <v>2</v>
      </c>
      <c r="AE35" s="343">
        <f t="shared" si="16"/>
        <v>0</v>
      </c>
      <c r="AF35" s="343">
        <f t="shared" si="17"/>
        <v>1</v>
      </c>
      <c r="AG35" s="60">
        <f t="shared" si="18"/>
        <v>4</v>
      </c>
    </row>
    <row r="36" spans="1:36" ht="13.5" thickBot="1">
      <c r="A36" s="497" t="s">
        <v>375</v>
      </c>
      <c r="B36" s="87" t="s">
        <v>379</v>
      </c>
      <c r="C36" s="86" t="s">
        <v>378</v>
      </c>
      <c r="D36" s="85">
        <v>839.23</v>
      </c>
      <c r="E36" s="84">
        <v>150</v>
      </c>
      <c r="F36" s="85">
        <v>213.84829999999999</v>
      </c>
      <c r="G36" s="184">
        <v>0.5</v>
      </c>
      <c r="H36" s="184">
        <f t="shared" si="1"/>
        <v>106.92415</v>
      </c>
      <c r="I36" s="84">
        <f t="shared" si="9"/>
        <v>43.075850000000003</v>
      </c>
      <c r="J36" s="83" t="s">
        <v>377</v>
      </c>
      <c r="K36" s="83">
        <v>844.89</v>
      </c>
      <c r="L36" s="83">
        <v>150</v>
      </c>
      <c r="M36" s="82">
        <f t="shared" si="8"/>
        <v>213.84829999999999</v>
      </c>
      <c r="N36" s="81">
        <f t="shared" si="10"/>
        <v>43.075850000000003</v>
      </c>
      <c r="O36" s="526"/>
      <c r="P36" s="514"/>
      <c r="AA36" s="60" t="s">
        <v>87</v>
      </c>
      <c r="AB36" s="343">
        <f t="shared" si="13"/>
        <v>3</v>
      </c>
      <c r="AC36" s="343">
        <f t="shared" si="14"/>
        <v>7</v>
      </c>
      <c r="AD36" s="343">
        <f t="shared" si="15"/>
        <v>10</v>
      </c>
      <c r="AE36" s="343">
        <f t="shared" si="16"/>
        <v>6</v>
      </c>
      <c r="AF36" s="343">
        <f t="shared" si="17"/>
        <v>0</v>
      </c>
      <c r="AG36" s="60">
        <f t="shared" si="18"/>
        <v>26</v>
      </c>
    </row>
    <row r="37" spans="1:36" ht="14.25" customHeight="1" thickBot="1">
      <c r="A37" s="499"/>
      <c r="B37" s="96" t="s">
        <v>376</v>
      </c>
      <c r="C37" s="95" t="s">
        <v>375</v>
      </c>
      <c r="D37" s="94">
        <v>497.76499999999999</v>
      </c>
      <c r="E37" s="94">
        <v>800</v>
      </c>
      <c r="F37" s="94">
        <v>1151.328</v>
      </c>
      <c r="G37" s="184">
        <v>0.5</v>
      </c>
      <c r="H37" s="184">
        <f t="shared" si="1"/>
        <v>575.66399999999999</v>
      </c>
      <c r="I37" s="84">
        <f t="shared" si="9"/>
        <v>224.33600000000001</v>
      </c>
      <c r="J37" s="92" t="s">
        <v>374</v>
      </c>
      <c r="K37" s="92">
        <v>503.42500000000001</v>
      </c>
      <c r="L37" s="92">
        <v>800</v>
      </c>
      <c r="M37" s="91">
        <f t="shared" si="8"/>
        <v>1151.328</v>
      </c>
      <c r="N37" s="81">
        <f t="shared" si="10"/>
        <v>224.33600000000001</v>
      </c>
      <c r="O37" s="529"/>
      <c r="P37" s="515"/>
      <c r="AA37" s="60" t="s">
        <v>88</v>
      </c>
      <c r="AB37" s="343">
        <f t="shared" si="13"/>
        <v>1</v>
      </c>
      <c r="AC37" s="343">
        <f t="shared" si="14"/>
        <v>0</v>
      </c>
      <c r="AD37" s="343">
        <f t="shared" si="15"/>
        <v>8</v>
      </c>
      <c r="AE37" s="343">
        <f t="shared" si="16"/>
        <v>1</v>
      </c>
      <c r="AF37" s="343">
        <f t="shared" si="17"/>
        <v>0</v>
      </c>
      <c r="AG37" s="60">
        <f t="shared" si="18"/>
        <v>10</v>
      </c>
    </row>
    <row r="38" spans="1:36" ht="13.5" thickBot="1">
      <c r="A38" s="112" t="s">
        <v>372</v>
      </c>
      <c r="B38" s="87" t="s">
        <v>373</v>
      </c>
      <c r="C38" s="86" t="s">
        <v>372</v>
      </c>
      <c r="D38" s="85">
        <v>285.27999999999997</v>
      </c>
      <c r="E38" s="85">
        <v>500</v>
      </c>
      <c r="F38" s="85">
        <v>779.52329999999995</v>
      </c>
      <c r="G38" s="184">
        <v>0.5</v>
      </c>
      <c r="H38" s="184">
        <f t="shared" si="1"/>
        <v>389.76164999999997</v>
      </c>
      <c r="I38" s="84">
        <f t="shared" si="9"/>
        <v>110.23835000000003</v>
      </c>
      <c r="J38" s="83" t="s">
        <v>371</v>
      </c>
      <c r="K38" s="83">
        <v>539.80499999999995</v>
      </c>
      <c r="L38" s="83">
        <v>300</v>
      </c>
      <c r="M38" s="82">
        <f t="shared" si="8"/>
        <v>779.52329999999995</v>
      </c>
      <c r="N38" s="81">
        <f t="shared" si="10"/>
        <v>-89.761649999999975</v>
      </c>
      <c r="O38" s="131" t="s">
        <v>491</v>
      </c>
      <c r="P38" s="130" t="s">
        <v>492</v>
      </c>
      <c r="AA38" s="60" t="s">
        <v>89</v>
      </c>
      <c r="AB38" s="343">
        <f t="shared" si="13"/>
        <v>0</v>
      </c>
      <c r="AC38" s="343">
        <f t="shared" si="14"/>
        <v>5</v>
      </c>
      <c r="AD38" s="343">
        <f t="shared" si="15"/>
        <v>1</v>
      </c>
      <c r="AE38" s="343">
        <f t="shared" si="16"/>
        <v>1</v>
      </c>
      <c r="AF38" s="343">
        <f t="shared" si="17"/>
        <v>0</v>
      </c>
      <c r="AG38" s="60">
        <f t="shared" si="18"/>
        <v>7</v>
      </c>
    </row>
    <row r="39" spans="1:36" ht="13.5" thickBot="1">
      <c r="A39" s="497" t="s">
        <v>60</v>
      </c>
      <c r="B39" s="87" t="s">
        <v>368</v>
      </c>
      <c r="C39" s="86" t="s">
        <v>367</v>
      </c>
      <c r="D39" s="85">
        <v>239.47</v>
      </c>
      <c r="E39" s="84">
        <v>750</v>
      </c>
      <c r="F39" s="85">
        <v>886.15449999999998</v>
      </c>
      <c r="G39" s="184">
        <v>0.5</v>
      </c>
      <c r="H39" s="184">
        <f t="shared" si="1"/>
        <v>443.07724999999999</v>
      </c>
      <c r="I39" s="84">
        <f t="shared" si="9"/>
        <v>306.92275000000001</v>
      </c>
      <c r="J39" s="83" t="s">
        <v>366</v>
      </c>
      <c r="K39" s="83">
        <v>585.61500000000001</v>
      </c>
      <c r="L39" s="83">
        <v>450</v>
      </c>
      <c r="M39" s="82">
        <f t="shared" si="8"/>
        <v>886.15449999999998</v>
      </c>
      <c r="N39" s="81">
        <f t="shared" si="10"/>
        <v>6.9227500000000077</v>
      </c>
      <c r="O39" s="80" t="s">
        <v>493</v>
      </c>
      <c r="P39" s="123" t="s">
        <v>494</v>
      </c>
      <c r="AA39" s="60" t="s">
        <v>90</v>
      </c>
      <c r="AB39" s="343">
        <f t="shared" si="13"/>
        <v>1</v>
      </c>
      <c r="AC39" s="343">
        <f t="shared" si="14"/>
        <v>0</v>
      </c>
      <c r="AD39" s="343">
        <f t="shared" si="15"/>
        <v>1</v>
      </c>
      <c r="AE39" s="343">
        <f t="shared" si="16"/>
        <v>1</v>
      </c>
      <c r="AF39" s="343">
        <f t="shared" si="17"/>
        <v>1</v>
      </c>
      <c r="AG39" s="60">
        <f t="shared" si="18"/>
        <v>4</v>
      </c>
    </row>
    <row r="40" spans="1:36" ht="14.25" customHeight="1" thickBot="1">
      <c r="A40" s="498"/>
      <c r="B40" s="75" t="s">
        <v>364</v>
      </c>
      <c r="C40" s="74" t="s">
        <v>61</v>
      </c>
      <c r="D40" s="73">
        <v>381.34</v>
      </c>
      <c r="E40" s="73">
        <v>200</v>
      </c>
      <c r="F40" s="73">
        <v>233.80699999999999</v>
      </c>
      <c r="G40" s="184">
        <v>0.5</v>
      </c>
      <c r="H40" s="184">
        <f t="shared" si="1"/>
        <v>116.90349999999999</v>
      </c>
      <c r="I40" s="84">
        <f t="shared" si="9"/>
        <v>83.096500000000006</v>
      </c>
      <c r="J40" s="72" t="s">
        <v>328</v>
      </c>
      <c r="K40" s="72">
        <v>673.16499999999996</v>
      </c>
      <c r="L40" s="72">
        <v>150</v>
      </c>
      <c r="M40" s="119">
        <f t="shared" si="8"/>
        <v>233.80699999999999</v>
      </c>
      <c r="N40" s="81">
        <f t="shared" si="10"/>
        <v>33.096500000000006</v>
      </c>
      <c r="O40" s="70" t="s">
        <v>495</v>
      </c>
      <c r="P40" s="118" t="s">
        <v>496</v>
      </c>
      <c r="R40" s="494" t="s">
        <v>533</v>
      </c>
      <c r="S40" s="495"/>
      <c r="T40" s="495"/>
      <c r="U40" s="495"/>
      <c r="V40" s="495"/>
      <c r="W40" s="496"/>
      <c r="X40" s="166"/>
      <c r="AA40" s="60" t="s">
        <v>91</v>
      </c>
      <c r="AB40" s="343">
        <f t="shared" si="13"/>
        <v>3</v>
      </c>
      <c r="AC40" s="343">
        <f t="shared" si="14"/>
        <v>7</v>
      </c>
      <c r="AD40" s="343">
        <f t="shared" si="15"/>
        <v>2</v>
      </c>
      <c r="AE40" s="343">
        <f t="shared" si="16"/>
        <v>1</v>
      </c>
      <c r="AF40" s="343">
        <f t="shared" si="17"/>
        <v>0</v>
      </c>
      <c r="AG40" s="60">
        <f t="shared" si="18"/>
        <v>13</v>
      </c>
    </row>
    <row r="41" spans="1:36" ht="13.5" thickBot="1">
      <c r="A41" s="499" t="s">
        <v>363</v>
      </c>
      <c r="B41" s="63" t="s">
        <v>362</v>
      </c>
      <c r="C41" s="114" t="s">
        <v>74</v>
      </c>
      <c r="D41" s="94">
        <v>632.29499999999996</v>
      </c>
      <c r="E41" s="94">
        <v>300</v>
      </c>
      <c r="F41" s="94">
        <v>416.14780000000002</v>
      </c>
      <c r="G41" s="184">
        <v>0.5</v>
      </c>
      <c r="H41" s="184">
        <f t="shared" si="1"/>
        <v>208.07390000000001</v>
      </c>
      <c r="I41" s="84">
        <f t="shared" si="9"/>
        <v>91.926099999999991</v>
      </c>
      <c r="J41" s="92" t="s">
        <v>361</v>
      </c>
      <c r="K41" s="92">
        <v>692.19500000000005</v>
      </c>
      <c r="L41" s="92">
        <v>300</v>
      </c>
      <c r="M41" s="91">
        <f t="shared" si="8"/>
        <v>416.14780000000002</v>
      </c>
      <c r="N41" s="81">
        <f t="shared" si="10"/>
        <v>91.926099999999991</v>
      </c>
      <c r="O41" s="508" t="s">
        <v>351</v>
      </c>
      <c r="P41" s="509"/>
      <c r="R41" s="336" t="s">
        <v>470</v>
      </c>
      <c r="S41" s="337" t="s">
        <v>471</v>
      </c>
      <c r="T41" s="337" t="s">
        <v>472</v>
      </c>
      <c r="U41" s="337" t="s">
        <v>473</v>
      </c>
      <c r="V41" s="338" t="s">
        <v>474</v>
      </c>
      <c r="W41" s="339" t="s">
        <v>527</v>
      </c>
      <c r="X41" s="340" t="s">
        <v>418</v>
      </c>
      <c r="AA41" s="60" t="s">
        <v>92</v>
      </c>
      <c r="AB41" s="343">
        <f t="shared" si="13"/>
        <v>1</v>
      </c>
      <c r="AC41" s="343">
        <f t="shared" si="14"/>
        <v>2</v>
      </c>
      <c r="AD41" s="343">
        <f t="shared" si="15"/>
        <v>5</v>
      </c>
      <c r="AE41" s="343">
        <f t="shared" si="16"/>
        <v>0</v>
      </c>
      <c r="AF41" s="343">
        <f t="shared" si="17"/>
        <v>0</v>
      </c>
      <c r="AG41" s="60">
        <f t="shared" si="18"/>
        <v>8</v>
      </c>
    </row>
    <row r="42" spans="1:36" ht="14.25" customHeight="1" thickBot="1">
      <c r="A42" s="499"/>
      <c r="B42" s="96" t="s">
        <v>360</v>
      </c>
      <c r="C42" s="95" t="s">
        <v>55</v>
      </c>
      <c r="D42" s="108">
        <v>566.26</v>
      </c>
      <c r="E42" s="108">
        <v>300</v>
      </c>
      <c r="F42" s="108">
        <v>424.66829999999999</v>
      </c>
      <c r="G42" s="184">
        <v>0.5</v>
      </c>
      <c r="H42" s="184">
        <f t="shared" si="1"/>
        <v>212.33414999999999</v>
      </c>
      <c r="I42" s="84">
        <f t="shared" si="9"/>
        <v>87.665850000000006</v>
      </c>
      <c r="J42" s="106" t="s">
        <v>359</v>
      </c>
      <c r="K42" s="106">
        <v>1033.6600000000001</v>
      </c>
      <c r="L42" s="106">
        <v>300</v>
      </c>
      <c r="M42" s="105">
        <f t="shared" si="8"/>
        <v>424.66829999999999</v>
      </c>
      <c r="N42" s="81">
        <f t="shared" si="10"/>
        <v>87.665850000000006</v>
      </c>
      <c r="O42" s="510"/>
      <c r="P42" s="511"/>
      <c r="R42" s="60" t="s">
        <v>84</v>
      </c>
      <c r="S42" s="343">
        <v>0</v>
      </c>
      <c r="T42" s="343">
        <f>3</f>
        <v>3</v>
      </c>
      <c r="U42" s="419">
        <f>1+1</f>
        <v>2</v>
      </c>
      <c r="V42" s="419">
        <f>1</f>
        <v>1</v>
      </c>
      <c r="W42" s="343">
        <v>0</v>
      </c>
      <c r="X42" s="344">
        <f>SUM(S42:W42)</f>
        <v>6</v>
      </c>
      <c r="AA42" s="60" t="s">
        <v>93</v>
      </c>
      <c r="AB42" s="343">
        <f t="shared" si="13"/>
        <v>1</v>
      </c>
      <c r="AC42" s="343">
        <f t="shared" si="14"/>
        <v>0</v>
      </c>
      <c r="AD42" s="343">
        <f t="shared" si="15"/>
        <v>2</v>
      </c>
      <c r="AE42" s="343">
        <f t="shared" si="16"/>
        <v>2</v>
      </c>
      <c r="AF42" s="343">
        <f t="shared" si="17"/>
        <v>0</v>
      </c>
      <c r="AG42" s="60">
        <f t="shared" si="18"/>
        <v>5</v>
      </c>
    </row>
    <row r="43" spans="1:36" ht="14.25" customHeight="1" thickBot="1">
      <c r="A43" s="499"/>
      <c r="B43" s="96" t="s">
        <v>358</v>
      </c>
      <c r="C43" s="95" t="s">
        <v>62</v>
      </c>
      <c r="D43" s="94">
        <v>174.54</v>
      </c>
      <c r="E43" s="94">
        <v>250</v>
      </c>
      <c r="F43" s="94">
        <v>80.336669999999998</v>
      </c>
      <c r="G43" s="184">
        <v>0.5</v>
      </c>
      <c r="H43" s="184">
        <f t="shared" si="1"/>
        <v>40.168334999999999</v>
      </c>
      <c r="I43" s="84">
        <f t="shared" si="9"/>
        <v>209.83166499999999</v>
      </c>
      <c r="J43" s="92" t="s">
        <v>357</v>
      </c>
      <c r="K43" s="92">
        <v>811.21</v>
      </c>
      <c r="L43" s="92">
        <v>150</v>
      </c>
      <c r="M43" s="105">
        <f t="shared" si="8"/>
        <v>80.336669999999998</v>
      </c>
      <c r="N43" s="81">
        <f t="shared" si="10"/>
        <v>109.831665</v>
      </c>
      <c r="O43" s="512"/>
      <c r="P43" s="513"/>
      <c r="R43" s="60" t="s">
        <v>85</v>
      </c>
      <c r="S43" s="343">
        <v>0</v>
      </c>
      <c r="T43" s="343">
        <f>2+1+1</f>
        <v>4</v>
      </c>
      <c r="U43" s="343">
        <f>2+1</f>
        <v>3</v>
      </c>
      <c r="V43" s="343">
        <v>0</v>
      </c>
      <c r="W43" s="343">
        <f>1+1</f>
        <v>2</v>
      </c>
      <c r="X43" s="60">
        <f t="shared" ref="X43:X53" si="19">SUM(S43:W43)</f>
        <v>9</v>
      </c>
      <c r="AA43" s="60" t="s">
        <v>94</v>
      </c>
      <c r="AB43" s="343">
        <f t="shared" si="13"/>
        <v>2</v>
      </c>
      <c r="AC43" s="343">
        <f t="shared" si="14"/>
        <v>1</v>
      </c>
      <c r="AD43" s="343">
        <f t="shared" si="15"/>
        <v>2</v>
      </c>
      <c r="AE43" s="343">
        <f t="shared" si="16"/>
        <v>3</v>
      </c>
      <c r="AF43" s="343">
        <f t="shared" si="17"/>
        <v>0</v>
      </c>
      <c r="AG43" s="60">
        <f t="shared" si="18"/>
        <v>8</v>
      </c>
    </row>
    <row r="44" spans="1:36" ht="13.5" thickBot="1">
      <c r="A44" s="112" t="s">
        <v>355</v>
      </c>
      <c r="B44" s="87" t="s">
        <v>356</v>
      </c>
      <c r="C44" s="86" t="s">
        <v>355</v>
      </c>
      <c r="D44" s="85">
        <v>517.28</v>
      </c>
      <c r="E44" s="85">
        <v>200</v>
      </c>
      <c r="F44" s="85">
        <v>67.241829999999993</v>
      </c>
      <c r="G44" s="184">
        <v>0.5</v>
      </c>
      <c r="H44" s="184">
        <f t="shared" si="1"/>
        <v>33.620914999999997</v>
      </c>
      <c r="I44" s="84">
        <f t="shared" si="9"/>
        <v>166.379085</v>
      </c>
      <c r="J44" s="83" t="s">
        <v>354</v>
      </c>
      <c r="K44" s="83">
        <v>607.995</v>
      </c>
      <c r="L44" s="83">
        <v>150</v>
      </c>
      <c r="M44" s="82">
        <f t="shared" si="8"/>
        <v>67.241829999999993</v>
      </c>
      <c r="N44" s="81">
        <f t="shared" si="10"/>
        <v>116.379085</v>
      </c>
      <c r="O44" s="500" t="s">
        <v>351</v>
      </c>
      <c r="P44" s="501"/>
      <c r="R44" s="60" t="s">
        <v>86</v>
      </c>
      <c r="S44" s="341">
        <v>0</v>
      </c>
      <c r="T44" s="343">
        <v>0</v>
      </c>
      <c r="U44" s="341">
        <f>1+1</f>
        <v>2</v>
      </c>
      <c r="V44" s="343">
        <v>0</v>
      </c>
      <c r="W44" s="343">
        <f>1</f>
        <v>1</v>
      </c>
      <c r="X44" s="60">
        <f t="shared" si="19"/>
        <v>3</v>
      </c>
      <c r="AA44" s="326" t="s">
        <v>469</v>
      </c>
      <c r="AB44" s="343">
        <f t="shared" si="13"/>
        <v>0</v>
      </c>
      <c r="AC44" s="343">
        <f t="shared" si="14"/>
        <v>1</v>
      </c>
      <c r="AD44" s="343">
        <f t="shared" si="15"/>
        <v>1</v>
      </c>
      <c r="AE44" s="343">
        <f t="shared" si="16"/>
        <v>0</v>
      </c>
      <c r="AF44" s="343">
        <f t="shared" si="17"/>
        <v>0</v>
      </c>
      <c r="AG44" s="326">
        <f t="shared" si="18"/>
        <v>2</v>
      </c>
    </row>
    <row r="45" spans="1:36" ht="13.5" thickBot="1">
      <c r="A45" s="497" t="s">
        <v>349</v>
      </c>
      <c r="B45" s="87" t="s">
        <v>353</v>
      </c>
      <c r="C45" s="86" t="s">
        <v>342</v>
      </c>
      <c r="D45" s="85">
        <v>592.98500000000001</v>
      </c>
      <c r="E45" s="85">
        <v>150</v>
      </c>
      <c r="F45" s="85">
        <v>175.91919999999999</v>
      </c>
      <c r="G45" s="184">
        <v>0.5</v>
      </c>
      <c r="H45" s="184">
        <f t="shared" si="1"/>
        <v>87.959599999999995</v>
      </c>
      <c r="I45" s="84">
        <f t="shared" si="9"/>
        <v>62.040400000000005</v>
      </c>
      <c r="J45" s="83" t="s">
        <v>352</v>
      </c>
      <c r="K45" s="83">
        <v>1051.23</v>
      </c>
      <c r="L45" s="83">
        <v>150</v>
      </c>
      <c r="M45" s="82">
        <f t="shared" si="8"/>
        <v>175.91919999999999</v>
      </c>
      <c r="N45" s="81">
        <f t="shared" si="10"/>
        <v>62.040400000000005</v>
      </c>
      <c r="O45" s="502" t="s">
        <v>351</v>
      </c>
      <c r="P45" s="505" t="s">
        <v>351</v>
      </c>
      <c r="R45" s="60" t="s">
        <v>87</v>
      </c>
      <c r="S45" s="341">
        <v>0</v>
      </c>
      <c r="T45" s="420">
        <f>3+2+2</f>
        <v>7</v>
      </c>
      <c r="U45" s="343">
        <f>2+1+2+4+1</f>
        <v>10</v>
      </c>
      <c r="V45" s="343">
        <f>1+2+3</f>
        <v>6</v>
      </c>
      <c r="W45" s="343">
        <v>0</v>
      </c>
      <c r="X45" s="60">
        <f t="shared" si="19"/>
        <v>23</v>
      </c>
      <c r="AA45" s="340" t="s">
        <v>479</v>
      </c>
      <c r="AB45" s="349">
        <f>SUM(AB33:AB44)</f>
        <v>12</v>
      </c>
      <c r="AC45" s="349">
        <f>SUM(AC33:AC44)</f>
        <v>32</v>
      </c>
      <c r="AD45" s="349">
        <f>SUM(AD33:AD44)</f>
        <v>39</v>
      </c>
      <c r="AE45" s="349">
        <f>SUM(AE33:AE44)</f>
        <v>16</v>
      </c>
      <c r="AF45" s="349">
        <f>SUM(AF33:AF44)</f>
        <v>4</v>
      </c>
      <c r="AG45" s="350">
        <f t="shared" ref="AG45" si="20">SUM(AG33:AG44)</f>
        <v>103</v>
      </c>
      <c r="AH45" s="330"/>
      <c r="AI45" s="330"/>
      <c r="AJ45" s="330"/>
    </row>
    <row r="46" spans="1:36" ht="14.25" customHeight="1" thickBot="1">
      <c r="A46" s="499"/>
      <c r="B46" s="96" t="s">
        <v>350</v>
      </c>
      <c r="C46" s="95" t="s">
        <v>349</v>
      </c>
      <c r="D46" s="108">
        <v>374.84</v>
      </c>
      <c r="E46" s="108">
        <v>200</v>
      </c>
      <c r="F46" s="108">
        <v>115.1143</v>
      </c>
      <c r="G46" s="184">
        <v>0.5</v>
      </c>
      <c r="H46" s="184">
        <f t="shared" si="1"/>
        <v>57.55715</v>
      </c>
      <c r="I46" s="84">
        <f t="shared" si="9"/>
        <v>142.44284999999999</v>
      </c>
      <c r="J46" s="106" t="s">
        <v>348</v>
      </c>
      <c r="K46" s="106">
        <v>838.745</v>
      </c>
      <c r="L46" s="106">
        <v>150</v>
      </c>
      <c r="M46" s="105">
        <f t="shared" si="8"/>
        <v>115.1143</v>
      </c>
      <c r="N46" s="81">
        <f t="shared" si="10"/>
        <v>92.442849999999993</v>
      </c>
      <c r="O46" s="503"/>
      <c r="P46" s="506"/>
      <c r="R46" s="60" t="s">
        <v>88</v>
      </c>
      <c r="S46" s="341">
        <v>0</v>
      </c>
      <c r="T46" s="343">
        <v>0</v>
      </c>
      <c r="U46" s="343">
        <f>1+1+1+2+1+1</f>
        <v>7</v>
      </c>
      <c r="V46" s="343">
        <f>1</f>
        <v>1</v>
      </c>
      <c r="W46" s="343">
        <v>0</v>
      </c>
      <c r="X46" s="60">
        <f t="shared" si="19"/>
        <v>8</v>
      </c>
      <c r="Y46" s="360"/>
      <c r="Z46" s="360"/>
      <c r="AA46" s="340" t="s">
        <v>478</v>
      </c>
      <c r="AB46" s="351">
        <f>PRODUCT(AB45*AC24)</f>
        <v>180</v>
      </c>
      <c r="AC46" s="351">
        <f>PRODUCT(AC45*AC25)</f>
        <v>523.8048</v>
      </c>
      <c r="AD46" s="351">
        <f>PRODUCT(AD45*AC26)</f>
        <v>653.12130000000002</v>
      </c>
      <c r="AE46" s="351">
        <f>PRODUCT(AE45*AC27)</f>
        <v>270.18560000000002</v>
      </c>
      <c r="AF46" s="351">
        <f>PRODUCT(AF45*AC28)</f>
        <v>68</v>
      </c>
      <c r="AG46" s="340">
        <f>SUM(AB46:AF46)</f>
        <v>1695.1117000000002</v>
      </c>
      <c r="AH46" s="329"/>
      <c r="AI46" s="329"/>
      <c r="AJ46" s="330"/>
    </row>
    <row r="47" spans="1:36" ht="14.25" customHeight="1" thickBot="1">
      <c r="A47" s="499"/>
      <c r="B47" s="96" t="s">
        <v>347</v>
      </c>
      <c r="C47" s="95" t="s">
        <v>335</v>
      </c>
      <c r="D47" s="108">
        <v>675.17499999999995</v>
      </c>
      <c r="E47" s="108">
        <v>150</v>
      </c>
      <c r="F47" s="108">
        <v>87.5685</v>
      </c>
      <c r="G47" s="184">
        <v>0.5</v>
      </c>
      <c r="H47" s="184">
        <f t="shared" si="1"/>
        <v>43.78425</v>
      </c>
      <c r="I47" s="84">
        <f t="shared" si="9"/>
        <v>106.21575</v>
      </c>
      <c r="J47" s="106" t="s">
        <v>346</v>
      </c>
      <c r="K47" s="106">
        <v>792.93499999999995</v>
      </c>
      <c r="L47" s="106">
        <v>150</v>
      </c>
      <c r="M47" s="105">
        <f t="shared" si="8"/>
        <v>87.5685</v>
      </c>
      <c r="N47" s="81">
        <f t="shared" si="10"/>
        <v>106.21575</v>
      </c>
      <c r="O47" s="503"/>
      <c r="P47" s="506"/>
      <c r="R47" s="60" t="s">
        <v>89</v>
      </c>
      <c r="S47" s="343">
        <v>0</v>
      </c>
      <c r="T47" s="343">
        <f>2+2+1</f>
        <v>5</v>
      </c>
      <c r="U47" s="343">
        <f>1</f>
        <v>1</v>
      </c>
      <c r="V47" s="343">
        <f>1</f>
        <v>1</v>
      </c>
      <c r="W47" s="343">
        <v>0</v>
      </c>
      <c r="X47" s="60">
        <f t="shared" si="19"/>
        <v>7</v>
      </c>
      <c r="Y47" s="410"/>
      <c r="Z47" s="410"/>
      <c r="AA47" s="340" t="s">
        <v>528</v>
      </c>
      <c r="AB47" s="351">
        <f>AB45*AB24</f>
        <v>1200</v>
      </c>
      <c r="AC47" s="351">
        <f>AC45*AB25</f>
        <v>4800</v>
      </c>
      <c r="AD47" s="351">
        <f>AD45*AB26</f>
        <v>7800</v>
      </c>
      <c r="AE47" s="351">
        <f>AE45*AB27</f>
        <v>4000</v>
      </c>
      <c r="AF47" s="351">
        <f>AF45*AB28</f>
        <v>1200</v>
      </c>
      <c r="AG47" s="340">
        <f>SUM(AB47:AF47)</f>
        <v>19000</v>
      </c>
      <c r="AH47" s="330"/>
      <c r="AI47" s="330"/>
      <c r="AJ47" s="330"/>
    </row>
    <row r="48" spans="1:36" ht="14.25" customHeight="1" thickBot="1">
      <c r="A48" s="499"/>
      <c r="B48" s="96" t="s">
        <v>339</v>
      </c>
      <c r="C48" s="95" t="s">
        <v>338</v>
      </c>
      <c r="D48" s="94">
        <v>768.38499999999999</v>
      </c>
      <c r="E48" s="94">
        <v>150</v>
      </c>
      <c r="F48" s="94">
        <v>46.164000000000001</v>
      </c>
      <c r="G48" s="184">
        <v>0.5</v>
      </c>
      <c r="H48" s="184">
        <f t="shared" si="1"/>
        <v>23.082000000000001</v>
      </c>
      <c r="I48" s="84">
        <f t="shared" si="9"/>
        <v>126.91800000000001</v>
      </c>
      <c r="J48" s="92" t="s">
        <v>345</v>
      </c>
      <c r="K48" s="92">
        <v>934.80499999999995</v>
      </c>
      <c r="L48" s="92">
        <v>150</v>
      </c>
      <c r="M48" s="91">
        <f t="shared" si="8"/>
        <v>46.164000000000001</v>
      </c>
      <c r="N48" s="81">
        <f t="shared" si="10"/>
        <v>126.91800000000001</v>
      </c>
      <c r="O48" s="504"/>
      <c r="P48" s="507"/>
      <c r="R48" s="60" t="s">
        <v>90</v>
      </c>
      <c r="S48" s="341">
        <v>0</v>
      </c>
      <c r="T48" s="341">
        <v>0</v>
      </c>
      <c r="U48" s="341">
        <f>1</f>
        <v>1</v>
      </c>
      <c r="V48" s="343">
        <f>1</f>
        <v>1</v>
      </c>
      <c r="W48" s="343">
        <f>1</f>
        <v>1</v>
      </c>
      <c r="X48" s="60">
        <f t="shared" si="19"/>
        <v>3</v>
      </c>
      <c r="Y48" s="360"/>
      <c r="Z48" s="360"/>
      <c r="AA48" s="360"/>
      <c r="AB48" s="360"/>
      <c r="AC48" s="389"/>
      <c r="AH48" s="334"/>
      <c r="AI48" s="334"/>
      <c r="AJ48" s="330"/>
    </row>
    <row r="49" spans="1:36" ht="13.5" thickBot="1">
      <c r="A49" s="497" t="s">
        <v>344</v>
      </c>
      <c r="B49" s="87" t="s">
        <v>343</v>
      </c>
      <c r="C49" s="86" t="s">
        <v>342</v>
      </c>
      <c r="D49" s="85">
        <v>592.98500000000001</v>
      </c>
      <c r="E49" s="85">
        <v>150</v>
      </c>
      <c r="F49" s="85">
        <v>175.91919999999999</v>
      </c>
      <c r="G49" s="184">
        <v>0.5</v>
      </c>
      <c r="H49" s="184">
        <f t="shared" si="1"/>
        <v>87.959599999999995</v>
      </c>
      <c r="I49" s="84">
        <f t="shared" si="9"/>
        <v>62.040400000000005</v>
      </c>
      <c r="J49" s="83" t="s">
        <v>341</v>
      </c>
      <c r="K49" s="83">
        <v>992.44500000000005</v>
      </c>
      <c r="L49" s="83">
        <v>150</v>
      </c>
      <c r="M49" s="82">
        <f t="shared" si="8"/>
        <v>175.91919999999999</v>
      </c>
      <c r="N49" s="81">
        <f t="shared" si="10"/>
        <v>62.040400000000005</v>
      </c>
      <c r="O49" s="274"/>
      <c r="P49" s="76"/>
      <c r="R49" s="60" t="s">
        <v>91</v>
      </c>
      <c r="S49" s="341">
        <v>0</v>
      </c>
      <c r="T49" s="341">
        <f>1+2+1+1+1+1</f>
        <v>7</v>
      </c>
      <c r="U49" s="343">
        <f>1+1</f>
        <v>2</v>
      </c>
      <c r="V49" s="343">
        <f>1</f>
        <v>1</v>
      </c>
      <c r="W49" s="343">
        <v>0</v>
      </c>
      <c r="X49" s="60">
        <f t="shared" si="19"/>
        <v>10</v>
      </c>
      <c r="Y49" s="360"/>
      <c r="Z49" s="360"/>
      <c r="AA49" s="406"/>
      <c r="AB49" s="406"/>
      <c r="AC49" s="384"/>
      <c r="AH49" s="330"/>
      <c r="AI49" s="330"/>
      <c r="AJ49" s="330"/>
    </row>
    <row r="50" spans="1:36" ht="14.25" customHeight="1" thickBot="1">
      <c r="A50" s="499"/>
      <c r="B50" s="96" t="s">
        <v>339</v>
      </c>
      <c r="C50" s="95" t="s">
        <v>338</v>
      </c>
      <c r="D50" s="94">
        <v>768.38499999999999</v>
      </c>
      <c r="E50" s="94">
        <v>150</v>
      </c>
      <c r="F50" s="94">
        <v>46.164000000000001</v>
      </c>
      <c r="G50" s="184">
        <v>0.5</v>
      </c>
      <c r="H50" s="184">
        <f t="shared" si="1"/>
        <v>23.082000000000001</v>
      </c>
      <c r="I50" s="84">
        <f t="shared" si="9"/>
        <v>126.91800000000001</v>
      </c>
      <c r="J50" s="92" t="s">
        <v>337</v>
      </c>
      <c r="K50" s="92">
        <v>817.04499999999996</v>
      </c>
      <c r="L50" s="92">
        <v>150</v>
      </c>
      <c r="M50" s="91">
        <f t="shared" si="8"/>
        <v>46.164000000000001</v>
      </c>
      <c r="N50" s="81">
        <f t="shared" si="10"/>
        <v>126.91800000000001</v>
      </c>
      <c r="O50" s="275"/>
      <c r="P50" s="88"/>
      <c r="R50" s="60" t="s">
        <v>92</v>
      </c>
      <c r="S50" s="343">
        <v>0</v>
      </c>
      <c r="T50" s="341">
        <f>1+1</f>
        <v>2</v>
      </c>
      <c r="U50" s="343">
        <f>4+1</f>
        <v>5</v>
      </c>
      <c r="V50" s="343">
        <v>0</v>
      </c>
      <c r="W50" s="343">
        <v>0</v>
      </c>
      <c r="X50" s="60">
        <f t="shared" si="19"/>
        <v>7</v>
      </c>
      <c r="Y50" s="341"/>
      <c r="Z50" s="341"/>
      <c r="AA50" s="341"/>
      <c r="AB50" s="343"/>
      <c r="AC50" s="389"/>
      <c r="AH50" s="330"/>
      <c r="AI50" s="330"/>
      <c r="AJ50" s="330"/>
    </row>
    <row r="51" spans="1:36" ht="13.5" thickBot="1">
      <c r="A51" s="497" t="s">
        <v>340</v>
      </c>
      <c r="B51" s="87" t="s">
        <v>339</v>
      </c>
      <c r="C51" s="86" t="s">
        <v>338</v>
      </c>
      <c r="D51" s="85">
        <v>768.38499999999999</v>
      </c>
      <c r="E51" s="85">
        <v>150</v>
      </c>
      <c r="F51" s="85">
        <v>46.164000000000001</v>
      </c>
      <c r="G51" s="184">
        <v>0.5</v>
      </c>
      <c r="H51" s="184">
        <f t="shared" si="1"/>
        <v>23.082000000000001</v>
      </c>
      <c r="I51" s="84">
        <f t="shared" si="9"/>
        <v>126.91800000000001</v>
      </c>
      <c r="J51" s="83" t="s">
        <v>337</v>
      </c>
      <c r="K51" s="83">
        <v>817.04499999999996</v>
      </c>
      <c r="L51" s="83">
        <v>150</v>
      </c>
      <c r="M51" s="82">
        <f t="shared" si="8"/>
        <v>46.164000000000001</v>
      </c>
      <c r="N51" s="81">
        <f t="shared" si="10"/>
        <v>126.91800000000001</v>
      </c>
      <c r="O51" s="275"/>
      <c r="P51" s="88"/>
      <c r="R51" s="60" t="s">
        <v>93</v>
      </c>
      <c r="S51" s="343">
        <v>0</v>
      </c>
      <c r="T51" s="341">
        <v>0</v>
      </c>
      <c r="U51" s="343">
        <f>1+1</f>
        <v>2</v>
      </c>
      <c r="V51" s="343">
        <f>2</f>
        <v>2</v>
      </c>
      <c r="W51" s="343">
        <v>0</v>
      </c>
      <c r="X51" s="60">
        <f t="shared" si="19"/>
        <v>4</v>
      </c>
      <c r="Y51" s="341"/>
      <c r="Z51" s="341"/>
      <c r="AA51" s="341"/>
      <c r="AB51" s="343"/>
      <c r="AC51" s="389"/>
      <c r="AH51" s="330"/>
      <c r="AI51" s="330"/>
      <c r="AJ51" s="330"/>
    </row>
    <row r="52" spans="1:36" ht="14.25" customHeight="1" thickBot="1">
      <c r="A52" s="499"/>
      <c r="B52" s="96" t="s">
        <v>30</v>
      </c>
      <c r="C52" s="95" t="s">
        <v>326</v>
      </c>
      <c r="D52" s="94">
        <v>317.27</v>
      </c>
      <c r="E52" s="94">
        <v>200</v>
      </c>
      <c r="F52" s="94">
        <v>136.87530000000001</v>
      </c>
      <c r="G52" s="184">
        <v>0.5</v>
      </c>
      <c r="H52" s="184">
        <f t="shared" si="1"/>
        <v>68.437650000000005</v>
      </c>
      <c r="I52" s="84">
        <f t="shared" si="9"/>
        <v>131.56234999999998</v>
      </c>
      <c r="J52" s="92" t="s">
        <v>325</v>
      </c>
      <c r="K52" s="92">
        <v>518.48</v>
      </c>
      <c r="L52" s="92">
        <v>200</v>
      </c>
      <c r="M52" s="91">
        <f t="shared" si="8"/>
        <v>136.87530000000001</v>
      </c>
      <c r="N52" s="81">
        <f t="shared" si="10"/>
        <v>131.56234999999998</v>
      </c>
      <c r="O52" s="90"/>
      <c r="P52" s="99"/>
      <c r="R52" s="60" t="s">
        <v>94</v>
      </c>
      <c r="S52" s="343">
        <v>0</v>
      </c>
      <c r="T52" s="420">
        <f>1</f>
        <v>1</v>
      </c>
      <c r="U52" s="343">
        <f>1+1</f>
        <v>2</v>
      </c>
      <c r="V52" s="343">
        <f>3</f>
        <v>3</v>
      </c>
      <c r="W52" s="343">
        <v>0</v>
      </c>
      <c r="X52" s="60">
        <f t="shared" si="19"/>
        <v>6</v>
      </c>
      <c r="Y52" s="341"/>
      <c r="Z52" s="341"/>
      <c r="AA52" s="341"/>
      <c r="AB52" s="343"/>
      <c r="AC52" s="389"/>
      <c r="AH52" s="330"/>
      <c r="AI52" s="330"/>
      <c r="AJ52" s="330"/>
    </row>
    <row r="53" spans="1:36" ht="13.5" thickBot="1">
      <c r="A53" s="497" t="s">
        <v>336</v>
      </c>
      <c r="B53" s="87" t="s">
        <v>28</v>
      </c>
      <c r="C53" s="86" t="s">
        <v>335</v>
      </c>
      <c r="D53" s="85">
        <v>675.17499999999995</v>
      </c>
      <c r="E53" s="85">
        <v>150</v>
      </c>
      <c r="F53" s="85">
        <v>87.5685</v>
      </c>
      <c r="G53" s="184">
        <v>0.5</v>
      </c>
      <c r="H53" s="184">
        <f t="shared" si="1"/>
        <v>43.78425</v>
      </c>
      <c r="I53" s="84">
        <f t="shared" si="9"/>
        <v>106.21575</v>
      </c>
      <c r="J53" s="83" t="s">
        <v>334</v>
      </c>
      <c r="K53" s="83">
        <v>792.93499999999995</v>
      </c>
      <c r="L53" s="83">
        <v>150</v>
      </c>
      <c r="M53" s="82">
        <f t="shared" si="8"/>
        <v>87.5685</v>
      </c>
      <c r="N53" s="81">
        <f t="shared" si="10"/>
        <v>106.21575</v>
      </c>
      <c r="O53" s="90"/>
      <c r="P53" s="99"/>
      <c r="R53" s="326" t="s">
        <v>469</v>
      </c>
      <c r="S53" s="348">
        <v>0</v>
      </c>
      <c r="T53" s="348">
        <f>1</f>
        <v>1</v>
      </c>
      <c r="U53" s="348">
        <f>1</f>
        <v>1</v>
      </c>
      <c r="V53" s="348">
        <v>0</v>
      </c>
      <c r="W53" s="348">
        <v>0</v>
      </c>
      <c r="X53" s="326">
        <f t="shared" si="19"/>
        <v>2</v>
      </c>
      <c r="Y53" s="341"/>
      <c r="Z53" s="341"/>
      <c r="AA53" s="341"/>
      <c r="AB53" s="343"/>
      <c r="AC53" s="389"/>
      <c r="AH53" s="330"/>
      <c r="AI53" s="330"/>
      <c r="AJ53" s="330"/>
    </row>
    <row r="54" spans="1:36" ht="13.5" thickBot="1">
      <c r="A54" s="499"/>
      <c r="B54" s="96" t="s">
        <v>333</v>
      </c>
      <c r="C54" s="95" t="s">
        <v>332</v>
      </c>
      <c r="D54" s="94">
        <v>300.33499999999998</v>
      </c>
      <c r="E54" s="94">
        <v>200</v>
      </c>
      <c r="F54" s="94">
        <v>33.29833</v>
      </c>
      <c r="G54" s="184">
        <v>0.5</v>
      </c>
      <c r="H54" s="184">
        <f t="shared" si="1"/>
        <v>16.649165</v>
      </c>
      <c r="I54" s="84">
        <f t="shared" si="9"/>
        <v>183.35083499999999</v>
      </c>
      <c r="J54" s="92" t="s">
        <v>331</v>
      </c>
      <c r="K54" s="92">
        <v>524.75</v>
      </c>
      <c r="L54" s="92">
        <v>200</v>
      </c>
      <c r="M54" s="91">
        <f t="shared" si="8"/>
        <v>33.29833</v>
      </c>
      <c r="N54" s="81">
        <f t="shared" si="10"/>
        <v>183.35083499999999</v>
      </c>
      <c r="O54" s="90"/>
      <c r="P54" s="89"/>
      <c r="R54" s="340" t="s">
        <v>479</v>
      </c>
      <c r="S54" s="349">
        <f>SUM(S42:S53)</f>
        <v>0</v>
      </c>
      <c r="T54" s="349">
        <f>SUM(T42:T53)</f>
        <v>30</v>
      </c>
      <c r="U54" s="349">
        <f>SUM(U42:U53)</f>
        <v>38</v>
      </c>
      <c r="V54" s="349">
        <f>SUM(V42:V53)</f>
        <v>16</v>
      </c>
      <c r="W54" s="349">
        <f>SUM(W42:W53)</f>
        <v>4</v>
      </c>
      <c r="X54" s="350">
        <f t="shared" ref="X54" si="21">SUM(X42:X53)</f>
        <v>88</v>
      </c>
      <c r="Y54" s="341"/>
      <c r="Z54" s="341"/>
      <c r="AA54" s="341"/>
      <c r="AB54" s="343"/>
      <c r="AC54" s="389"/>
      <c r="AD54" s="330"/>
      <c r="AH54" s="330"/>
      <c r="AI54" s="330"/>
      <c r="AJ54" s="330"/>
    </row>
    <row r="55" spans="1:36" ht="13.5" thickBot="1">
      <c r="A55" s="497" t="s">
        <v>330</v>
      </c>
      <c r="B55" s="87" t="s">
        <v>329</v>
      </c>
      <c r="C55" s="86" t="s">
        <v>61</v>
      </c>
      <c r="D55" s="85">
        <v>381.34</v>
      </c>
      <c r="E55" s="85">
        <v>200</v>
      </c>
      <c r="F55" s="85">
        <v>233.80699999999999</v>
      </c>
      <c r="G55" s="184">
        <v>0.5</v>
      </c>
      <c r="H55" s="184">
        <f t="shared" si="1"/>
        <v>116.90349999999999</v>
      </c>
      <c r="I55" s="84">
        <f t="shared" si="9"/>
        <v>83.096500000000006</v>
      </c>
      <c r="J55" s="83" t="s">
        <v>328</v>
      </c>
      <c r="K55" s="83">
        <v>673.16499999999996</v>
      </c>
      <c r="L55" s="83">
        <v>200</v>
      </c>
      <c r="M55" s="82">
        <f t="shared" si="8"/>
        <v>233.80699999999999</v>
      </c>
      <c r="N55" s="81">
        <f t="shared" si="10"/>
        <v>83.096500000000006</v>
      </c>
      <c r="O55" s="80" t="s">
        <v>327</v>
      </c>
      <c r="P55" s="79">
        <v>43</v>
      </c>
      <c r="R55" s="340" t="s">
        <v>478</v>
      </c>
      <c r="S55" s="416">
        <f>PRODUCT(S54*AC24)</f>
        <v>0</v>
      </c>
      <c r="T55" s="416">
        <f>PRODUCT(T54*AC25)</f>
        <v>491.06700000000001</v>
      </c>
      <c r="U55" s="416">
        <f>PRODUCT(U54*AC26)</f>
        <v>636.37459999999999</v>
      </c>
      <c r="V55" s="416">
        <f>PRODUCT(V54*AC27)</f>
        <v>270.18560000000002</v>
      </c>
      <c r="W55" s="416">
        <f>PRODUCT(W54*AC28)</f>
        <v>68</v>
      </c>
      <c r="X55" s="421">
        <f>SUM(S55:W55)</f>
        <v>1465.6272000000001</v>
      </c>
      <c r="Y55" s="341"/>
      <c r="Z55" s="341"/>
      <c r="AA55" s="341"/>
      <c r="AB55" s="343"/>
      <c r="AC55" s="389"/>
      <c r="AD55" s="329"/>
      <c r="AH55" s="330"/>
      <c r="AI55" s="330"/>
      <c r="AJ55" s="330"/>
    </row>
    <row r="56" spans="1:36" ht="14.25" customHeight="1" thickBot="1">
      <c r="A56" s="498"/>
      <c r="B56" s="75" t="s">
        <v>30</v>
      </c>
      <c r="C56" s="74" t="s">
        <v>326</v>
      </c>
      <c r="D56" s="73">
        <v>317.27</v>
      </c>
      <c r="E56" s="73">
        <v>200</v>
      </c>
      <c r="F56" s="73">
        <v>136.87530000000001</v>
      </c>
      <c r="G56" s="184">
        <v>0.5</v>
      </c>
      <c r="H56" s="184">
        <f t="shared" si="1"/>
        <v>68.437650000000005</v>
      </c>
      <c r="I56" s="84">
        <f t="shared" si="9"/>
        <v>131.56234999999998</v>
      </c>
      <c r="J56" s="72" t="s">
        <v>325</v>
      </c>
      <c r="K56" s="72">
        <v>518.48</v>
      </c>
      <c r="L56" s="72">
        <v>200</v>
      </c>
      <c r="M56" s="71">
        <f t="shared" si="8"/>
        <v>136.87530000000001</v>
      </c>
      <c r="N56" s="81">
        <f t="shared" si="10"/>
        <v>131.56234999999998</v>
      </c>
      <c r="O56" s="70"/>
      <c r="P56" s="69"/>
      <c r="R56" s="340" t="s">
        <v>528</v>
      </c>
      <c r="S56" s="351">
        <f>S54*AB24</f>
        <v>0</v>
      </c>
      <c r="T56" s="351">
        <f>T54*AB25</f>
        <v>4500</v>
      </c>
      <c r="U56" s="351">
        <f>U54*AB26</f>
        <v>7600</v>
      </c>
      <c r="V56" s="351">
        <f>V54*AB27</f>
        <v>4000</v>
      </c>
      <c r="W56" s="351">
        <f>W54*AB28</f>
        <v>1200</v>
      </c>
      <c r="X56" s="340">
        <f>SUM(S56:W56)</f>
        <v>17300</v>
      </c>
      <c r="Y56" s="341"/>
      <c r="Z56" s="341"/>
      <c r="AA56" s="341"/>
      <c r="AB56" s="343"/>
      <c r="AC56" s="389"/>
      <c r="AD56" s="329"/>
      <c r="AH56" s="330"/>
      <c r="AI56" s="330"/>
      <c r="AJ56" s="330"/>
    </row>
    <row r="57" spans="1:36">
      <c r="A57" s="20"/>
      <c r="B57" s="64"/>
      <c r="C57" s="20"/>
      <c r="D57" s="20"/>
      <c r="E57" s="20"/>
      <c r="F57" s="64"/>
      <c r="G57" s="64"/>
      <c r="H57" s="64"/>
      <c r="I57" s="20"/>
      <c r="J57" s="20"/>
      <c r="K57" s="20"/>
      <c r="L57" s="20"/>
      <c r="M57" s="20"/>
      <c r="N57" s="20"/>
      <c r="O57" s="20"/>
      <c r="P57" s="20"/>
      <c r="W57" s="410"/>
      <c r="X57" s="341"/>
      <c r="Y57" s="341"/>
      <c r="Z57" s="343"/>
      <c r="AA57" s="343"/>
      <c r="AB57" s="343"/>
      <c r="AC57" s="389"/>
      <c r="AD57" s="330"/>
      <c r="AH57" s="330"/>
      <c r="AI57" s="330"/>
      <c r="AJ57" s="330"/>
    </row>
    <row r="58" spans="1:36">
      <c r="A58" s="20"/>
      <c r="B58" s="64"/>
      <c r="C58" s="20"/>
      <c r="D58" s="20"/>
      <c r="E58" s="20"/>
      <c r="F58" s="64"/>
      <c r="G58" s="64"/>
      <c r="H58" s="64"/>
      <c r="I58" s="20"/>
      <c r="J58" s="20"/>
      <c r="K58" s="20"/>
      <c r="L58" s="20"/>
      <c r="M58" s="20"/>
      <c r="N58" s="20"/>
      <c r="O58" s="20"/>
      <c r="P58" s="20"/>
      <c r="W58" s="410"/>
      <c r="X58" s="343"/>
      <c r="Y58" s="343"/>
      <c r="Z58" s="343"/>
      <c r="AA58" s="343"/>
      <c r="AB58" s="343"/>
      <c r="AC58" s="389"/>
      <c r="AD58" s="330"/>
      <c r="AE58" s="330"/>
      <c r="AF58" s="330"/>
      <c r="AH58" s="330"/>
      <c r="AI58" s="330"/>
      <c r="AJ58" s="330"/>
    </row>
    <row r="59" spans="1:36">
      <c r="A59" s="20"/>
      <c r="B59" s="64"/>
      <c r="C59" s="20"/>
      <c r="D59" s="20"/>
      <c r="E59" s="20"/>
      <c r="F59" s="64"/>
      <c r="G59" s="64"/>
      <c r="H59" s="64"/>
      <c r="I59" s="20"/>
      <c r="J59" s="20"/>
      <c r="K59" s="20"/>
      <c r="L59" s="20"/>
      <c r="M59" s="20"/>
      <c r="N59" s="20"/>
      <c r="O59" s="20"/>
      <c r="P59" s="20"/>
      <c r="R59" s="418"/>
      <c r="S59" s="418"/>
      <c r="T59" s="418"/>
      <c r="W59" s="410"/>
      <c r="X59" s="343"/>
      <c r="Y59" s="341"/>
      <c r="Z59" s="343"/>
      <c r="AA59" s="343"/>
      <c r="AB59" s="343"/>
      <c r="AC59" s="389"/>
      <c r="AD59" s="330"/>
      <c r="AE59" s="330"/>
      <c r="AF59" s="330"/>
      <c r="AH59" s="330"/>
      <c r="AI59" s="330"/>
      <c r="AJ59" s="330"/>
    </row>
    <row r="60" spans="1:36">
      <c r="A60" s="20"/>
      <c r="B60" s="64"/>
      <c r="C60" s="20"/>
      <c r="D60" s="20"/>
      <c r="E60" s="20"/>
      <c r="F60" s="64"/>
      <c r="G60" s="64"/>
      <c r="H60" s="64"/>
      <c r="I60" s="20"/>
      <c r="J60" s="20"/>
      <c r="K60" s="20"/>
      <c r="L60" s="20"/>
      <c r="M60" s="20"/>
      <c r="N60" s="20"/>
      <c r="O60" s="20"/>
      <c r="P60" s="20"/>
      <c r="R60" s="411"/>
      <c r="S60" s="411"/>
      <c r="T60" s="411"/>
      <c r="W60" s="410"/>
      <c r="X60" s="343"/>
      <c r="Y60" s="341"/>
      <c r="Z60" s="343"/>
      <c r="AA60" s="343"/>
      <c r="AB60" s="343"/>
      <c r="AC60" s="389"/>
      <c r="AD60" s="18"/>
      <c r="AE60" s="18"/>
      <c r="AF60" s="330"/>
      <c r="AH60" s="330"/>
      <c r="AI60" s="330"/>
      <c r="AJ60" s="330"/>
    </row>
    <row r="61" spans="1:36">
      <c r="A61" s="20"/>
      <c r="B61" s="64"/>
      <c r="C61" s="20"/>
      <c r="D61" s="20"/>
      <c r="E61" s="20"/>
      <c r="F61" s="64"/>
      <c r="G61" s="64"/>
      <c r="H61" s="64"/>
      <c r="I61" s="20"/>
      <c r="J61" s="20"/>
      <c r="K61" s="20"/>
      <c r="L61" s="20"/>
      <c r="M61" s="20"/>
      <c r="N61" s="20"/>
      <c r="O61" s="20"/>
      <c r="P61" s="20"/>
      <c r="R61" s="411"/>
      <c r="S61" s="411"/>
      <c r="T61" s="411"/>
      <c r="W61" s="410"/>
      <c r="X61" s="343"/>
      <c r="Y61" s="343"/>
      <c r="Z61" s="343"/>
      <c r="AA61" s="343"/>
      <c r="AB61" s="343"/>
      <c r="AC61" s="389"/>
      <c r="AD61" s="330"/>
      <c r="AE61" s="330"/>
      <c r="AF61" s="330"/>
      <c r="AH61" s="330"/>
      <c r="AI61" s="330"/>
      <c r="AJ61" s="330"/>
    </row>
    <row r="62" spans="1:36">
      <c r="A62" s="20"/>
      <c r="B62" s="65"/>
      <c r="C62" s="20"/>
      <c r="D62" s="20"/>
      <c r="E62" s="20"/>
      <c r="F62" s="64"/>
      <c r="G62" s="64"/>
      <c r="H62" s="64"/>
      <c r="I62" s="20"/>
      <c r="J62" s="20"/>
      <c r="K62" s="20"/>
      <c r="L62" s="20"/>
      <c r="M62" s="20"/>
      <c r="N62" s="20"/>
      <c r="O62" s="20"/>
      <c r="P62" s="20"/>
      <c r="R62" s="411"/>
      <c r="S62" s="411"/>
      <c r="T62" s="411"/>
      <c r="W62" s="406"/>
      <c r="X62" s="343"/>
      <c r="Y62" s="343"/>
      <c r="Z62" s="343"/>
      <c r="AA62" s="343"/>
      <c r="AB62" s="343"/>
      <c r="AC62" s="391"/>
      <c r="AD62" s="330"/>
      <c r="AE62" s="330"/>
      <c r="AF62" s="330"/>
      <c r="AH62" s="330"/>
      <c r="AI62" s="330"/>
      <c r="AJ62" s="330"/>
    </row>
    <row r="63" spans="1:36">
      <c r="A63" s="20"/>
      <c r="B63" s="65"/>
      <c r="C63" s="20"/>
      <c r="D63" s="20"/>
      <c r="E63" s="20"/>
      <c r="F63" s="64"/>
      <c r="G63" s="64"/>
      <c r="H63" s="64"/>
      <c r="I63" s="20"/>
      <c r="J63" s="20"/>
      <c r="K63" s="20"/>
      <c r="L63" s="20"/>
      <c r="M63" s="20"/>
      <c r="N63" s="20"/>
      <c r="O63" s="20"/>
      <c r="P63" s="20"/>
      <c r="R63" s="411"/>
      <c r="S63" s="411"/>
      <c r="T63" s="411"/>
      <c r="W63" s="406"/>
      <c r="X63" s="410"/>
      <c r="Y63" s="410"/>
      <c r="Z63" s="410"/>
      <c r="AA63" s="410"/>
      <c r="AB63" s="410"/>
      <c r="AC63" s="384"/>
      <c r="AD63" s="330"/>
      <c r="AE63" s="330"/>
      <c r="AF63" s="330"/>
      <c r="AH63" s="329"/>
      <c r="AI63" s="329"/>
      <c r="AJ63" s="330"/>
    </row>
    <row r="64" spans="1:36">
      <c r="A64" s="20"/>
      <c r="B64" s="65"/>
      <c r="C64" s="20"/>
      <c r="D64" s="20"/>
      <c r="E64" s="20"/>
      <c r="F64" s="64"/>
      <c r="G64" s="64"/>
      <c r="H64" s="64"/>
      <c r="I64" s="20"/>
      <c r="J64" s="20"/>
      <c r="K64" s="20"/>
      <c r="L64" s="20"/>
      <c r="M64" s="20"/>
      <c r="N64" s="20"/>
      <c r="O64" s="20"/>
      <c r="P64" s="20"/>
      <c r="R64" s="411"/>
      <c r="S64" s="411"/>
      <c r="T64" s="411"/>
      <c r="W64" s="406"/>
      <c r="X64" s="410"/>
      <c r="Y64" s="410"/>
      <c r="Z64" s="410"/>
      <c r="AA64" s="410"/>
      <c r="AB64" s="410"/>
      <c r="AC64" s="384"/>
      <c r="AD64" s="330"/>
      <c r="AE64" s="330"/>
      <c r="AF64" s="330"/>
      <c r="AH64" s="330"/>
      <c r="AI64" s="330"/>
      <c r="AJ64" s="330"/>
    </row>
    <row r="65" spans="1:30">
      <c r="A65" s="20"/>
      <c r="B65" s="64"/>
      <c r="C65" s="20"/>
      <c r="D65" s="20"/>
      <c r="L65" s="20"/>
      <c r="M65" s="20"/>
      <c r="O65" s="20"/>
      <c r="P65" s="20"/>
      <c r="R65" s="411"/>
      <c r="S65" s="411"/>
      <c r="T65" s="411"/>
      <c r="W65" s="410"/>
      <c r="X65" s="18"/>
      <c r="Y65" s="410"/>
      <c r="Z65" s="410"/>
      <c r="AA65" s="410"/>
      <c r="AB65" s="410"/>
      <c r="AC65" s="389"/>
      <c r="AD65" s="330"/>
    </row>
    <row r="66" spans="1:30">
      <c r="A66" s="20"/>
      <c r="B66" s="64"/>
      <c r="C66" s="20"/>
      <c r="D66" s="20"/>
      <c r="L66" s="20"/>
      <c r="M66" s="20"/>
      <c r="O66" s="20"/>
      <c r="P66" s="20"/>
      <c r="R66" s="411"/>
      <c r="S66" s="411"/>
      <c r="T66" s="411"/>
      <c r="W66" s="360"/>
      <c r="X66" s="360"/>
      <c r="Y66" s="360"/>
      <c r="Z66" s="360"/>
      <c r="AA66" s="360"/>
      <c r="AB66" s="360"/>
      <c r="AC66" s="389"/>
    </row>
    <row r="67" spans="1:30">
      <c r="A67" s="20"/>
      <c r="B67" s="64"/>
      <c r="C67" s="20"/>
      <c r="D67" s="20"/>
      <c r="L67" s="20"/>
      <c r="M67" s="20"/>
      <c r="O67" s="20"/>
      <c r="P67" s="20"/>
      <c r="R67" s="411"/>
      <c r="S67" s="411"/>
      <c r="T67" s="411"/>
      <c r="W67" s="359"/>
      <c r="X67" s="360"/>
      <c r="Y67" s="360"/>
      <c r="Z67" s="360"/>
      <c r="AA67" s="406"/>
      <c r="AB67" s="406"/>
      <c r="AC67" s="384"/>
    </row>
    <row r="68" spans="1:30">
      <c r="A68" s="20"/>
      <c r="B68" s="64"/>
      <c r="C68" s="20"/>
      <c r="D68" s="20"/>
      <c r="E68" s="20"/>
      <c r="F68" s="64"/>
      <c r="G68" s="64"/>
      <c r="H68" s="64"/>
      <c r="I68" s="20"/>
      <c r="J68" s="20"/>
      <c r="K68" s="20"/>
      <c r="L68" s="20"/>
      <c r="M68" s="20"/>
      <c r="N68" s="20"/>
      <c r="O68" s="20"/>
      <c r="P68" s="20"/>
      <c r="R68" s="411"/>
      <c r="S68" s="411"/>
      <c r="T68" s="411"/>
      <c r="W68" s="410"/>
      <c r="X68" s="341"/>
      <c r="Y68" s="341"/>
      <c r="Z68" s="341"/>
      <c r="AA68" s="341"/>
      <c r="AB68" s="343"/>
      <c r="AC68" s="389"/>
    </row>
    <row r="69" spans="1:30">
      <c r="B69" s="64"/>
      <c r="C69" s="20"/>
      <c r="D69" s="20"/>
      <c r="E69" s="20"/>
      <c r="F69" s="64"/>
      <c r="G69" s="64"/>
      <c r="H69" s="64"/>
      <c r="I69" s="20"/>
      <c r="J69" s="20"/>
      <c r="K69" s="20"/>
      <c r="L69" s="20"/>
      <c r="M69" s="20"/>
      <c r="N69" s="20"/>
      <c r="O69" s="20"/>
      <c r="P69" s="20"/>
      <c r="R69" s="411"/>
      <c r="S69" s="411"/>
      <c r="T69" s="411"/>
      <c r="W69" s="410"/>
      <c r="X69" s="341"/>
      <c r="Y69" s="341"/>
      <c r="Z69" s="341"/>
      <c r="AA69" s="341"/>
      <c r="AB69" s="343"/>
      <c r="AC69" s="389"/>
    </row>
    <row r="70" spans="1:30">
      <c r="B70" s="64"/>
      <c r="C70" s="20"/>
      <c r="D70" s="20"/>
      <c r="E70" s="20"/>
      <c r="F70" s="64"/>
      <c r="G70" s="64"/>
      <c r="H70" s="64"/>
      <c r="I70" s="20"/>
      <c r="J70" s="20"/>
      <c r="K70" s="20"/>
      <c r="L70" s="20"/>
      <c r="M70" s="20"/>
      <c r="N70" s="20"/>
      <c r="O70" s="20"/>
      <c r="P70" s="20"/>
      <c r="R70" s="411"/>
      <c r="S70" s="411"/>
      <c r="T70" s="411"/>
      <c r="W70" s="410"/>
      <c r="X70" s="341"/>
      <c r="Y70" s="341"/>
      <c r="Z70" s="341"/>
      <c r="AA70" s="341"/>
      <c r="AB70" s="343"/>
      <c r="AC70" s="389"/>
    </row>
    <row r="71" spans="1:30">
      <c r="B71" s="64"/>
      <c r="C71" s="20"/>
      <c r="D71" s="20"/>
      <c r="E71" s="20"/>
      <c r="F71" s="64"/>
      <c r="G71" s="64"/>
      <c r="H71" s="64"/>
      <c r="I71" s="20"/>
      <c r="J71" s="20"/>
      <c r="K71" s="20"/>
      <c r="L71" s="20"/>
      <c r="M71" s="20"/>
      <c r="N71" s="20"/>
      <c r="O71" s="20"/>
      <c r="P71" s="20"/>
      <c r="R71" s="411"/>
      <c r="S71" s="411"/>
      <c r="T71" s="411"/>
      <c r="W71" s="410"/>
      <c r="X71" s="341"/>
      <c r="Y71" s="341"/>
      <c r="Z71" s="341"/>
      <c r="AA71" s="341"/>
      <c r="AB71" s="343"/>
      <c r="AC71" s="389"/>
    </row>
    <row r="72" spans="1:30">
      <c r="B72" s="64"/>
      <c r="C72" s="20"/>
      <c r="D72" s="20"/>
      <c r="E72" s="20"/>
      <c r="F72" s="64"/>
      <c r="G72" s="64"/>
      <c r="H72" s="64"/>
      <c r="I72" s="20"/>
      <c r="J72" s="20"/>
      <c r="K72" s="20"/>
      <c r="L72" s="20"/>
      <c r="M72" s="20"/>
      <c r="N72" s="20"/>
      <c r="O72" s="20"/>
      <c r="P72" s="20"/>
      <c r="R72" s="411"/>
      <c r="S72" s="411"/>
      <c r="T72" s="411"/>
      <c r="W72" s="410"/>
      <c r="X72" s="341"/>
      <c r="Y72" s="341"/>
      <c r="Z72" s="341"/>
      <c r="AA72" s="341"/>
      <c r="AB72" s="343"/>
      <c r="AC72" s="389"/>
    </row>
    <row r="73" spans="1:30">
      <c r="B73" s="64"/>
      <c r="C73" s="20"/>
      <c r="D73" s="20"/>
      <c r="E73" s="20"/>
      <c r="F73" s="64"/>
      <c r="G73" s="64"/>
      <c r="H73" s="64"/>
      <c r="I73" s="20"/>
      <c r="J73" s="20"/>
      <c r="K73" s="20"/>
      <c r="L73" s="20"/>
      <c r="M73" s="20"/>
      <c r="N73" s="20"/>
      <c r="O73" s="20"/>
      <c r="P73" s="20"/>
      <c r="R73" s="407"/>
      <c r="S73" s="411"/>
      <c r="T73" s="411"/>
      <c r="W73" s="410"/>
      <c r="X73" s="341"/>
      <c r="Y73" s="341"/>
      <c r="Z73" s="341"/>
      <c r="AA73" s="341"/>
      <c r="AB73" s="343"/>
      <c r="AC73" s="389"/>
    </row>
    <row r="74" spans="1:30">
      <c r="B74" s="64"/>
      <c r="C74" s="20"/>
      <c r="D74" s="20"/>
      <c r="E74" s="20"/>
      <c r="F74" s="64"/>
      <c r="G74" s="64"/>
      <c r="H74" s="64"/>
      <c r="I74" s="20"/>
      <c r="J74" s="20"/>
      <c r="K74" s="20"/>
      <c r="L74" s="20"/>
      <c r="M74" s="20"/>
      <c r="N74" s="20"/>
      <c r="O74" s="20"/>
      <c r="P74" s="20"/>
      <c r="R74" s="253"/>
      <c r="S74" s="411"/>
      <c r="T74" s="411"/>
      <c r="W74" s="410"/>
      <c r="X74" s="341"/>
      <c r="Y74" s="341"/>
      <c r="Z74" s="341"/>
      <c r="AA74" s="341"/>
      <c r="AB74" s="343"/>
      <c r="AC74" s="389"/>
    </row>
    <row r="75" spans="1:30">
      <c r="B75" s="64"/>
      <c r="C75" s="20"/>
      <c r="D75" s="20"/>
      <c r="E75" s="20"/>
      <c r="F75" s="64"/>
      <c r="G75" s="64"/>
      <c r="H75" s="64"/>
      <c r="I75" s="20"/>
      <c r="J75" s="20"/>
      <c r="K75" s="20"/>
      <c r="L75" s="20"/>
      <c r="M75" s="20"/>
      <c r="N75" s="20"/>
      <c r="O75" s="20"/>
      <c r="P75" s="20"/>
      <c r="R75" s="418"/>
      <c r="S75" s="418"/>
      <c r="T75" s="418"/>
      <c r="W75" s="410"/>
      <c r="X75" s="341"/>
      <c r="Y75" s="341"/>
      <c r="Z75" s="343"/>
      <c r="AA75" s="343"/>
      <c r="AB75" s="343"/>
      <c r="AC75" s="389"/>
    </row>
    <row r="76" spans="1:30">
      <c r="B76" s="64"/>
      <c r="C76" s="20"/>
      <c r="D76" s="20"/>
      <c r="E76" s="20"/>
      <c r="F76" s="64"/>
      <c r="G76" s="64"/>
      <c r="H76" s="64"/>
      <c r="I76" s="20"/>
      <c r="J76" s="20"/>
      <c r="K76" s="20"/>
      <c r="L76" s="20"/>
      <c r="M76" s="20"/>
      <c r="N76" s="20"/>
      <c r="O76" s="20"/>
      <c r="P76" s="20"/>
      <c r="R76" s="411"/>
      <c r="S76" s="411"/>
      <c r="T76" s="411"/>
      <c r="W76" s="410"/>
      <c r="X76" s="343"/>
      <c r="Y76" s="343"/>
      <c r="Z76" s="343"/>
      <c r="AA76" s="343"/>
      <c r="AB76" s="343"/>
      <c r="AC76" s="389"/>
    </row>
    <row r="77" spans="1:30">
      <c r="B77" s="64"/>
      <c r="C77" s="20"/>
      <c r="D77" s="20"/>
      <c r="E77" s="20"/>
      <c r="F77" s="64"/>
      <c r="G77" s="64"/>
      <c r="H77" s="64"/>
      <c r="I77" s="20"/>
      <c r="J77" s="20"/>
      <c r="K77" s="20"/>
      <c r="L77" s="20"/>
      <c r="M77" s="20"/>
      <c r="N77" s="20"/>
      <c r="O77" s="20"/>
      <c r="P77" s="20"/>
      <c r="R77" s="331"/>
      <c r="S77" s="331"/>
      <c r="T77" s="331"/>
      <c r="W77" s="389"/>
      <c r="X77" s="343"/>
      <c r="Y77" s="341"/>
      <c r="Z77" s="343"/>
      <c r="AA77" s="343"/>
      <c r="AB77" s="343"/>
      <c r="AC77" s="389"/>
    </row>
    <row r="78" spans="1:30">
      <c r="B78" s="64"/>
      <c r="C78" s="20"/>
      <c r="D78" s="20"/>
      <c r="E78" s="20"/>
      <c r="F78" s="64"/>
      <c r="G78" s="64"/>
      <c r="H78" s="64"/>
      <c r="I78" s="20"/>
      <c r="J78" s="20"/>
      <c r="K78" s="20"/>
      <c r="L78" s="20"/>
      <c r="M78" s="20"/>
      <c r="N78" s="20"/>
      <c r="O78" s="20"/>
      <c r="P78" s="20"/>
      <c r="R78" s="331"/>
      <c r="S78" s="331"/>
      <c r="T78" s="331"/>
      <c r="W78" s="389"/>
      <c r="X78" s="343"/>
      <c r="Y78" s="341"/>
      <c r="Z78" s="343"/>
      <c r="AA78" s="343"/>
      <c r="AB78" s="343"/>
      <c r="AC78" s="389"/>
    </row>
    <row r="79" spans="1:30">
      <c r="B79" s="64"/>
      <c r="C79" s="20"/>
      <c r="D79" s="20"/>
      <c r="E79" s="20"/>
      <c r="F79" s="64"/>
      <c r="G79" s="64"/>
      <c r="H79" s="64"/>
      <c r="I79" s="20"/>
      <c r="J79" s="20"/>
      <c r="K79" s="20"/>
      <c r="L79" s="20"/>
      <c r="M79" s="20"/>
      <c r="N79" s="20"/>
      <c r="O79" s="20"/>
      <c r="P79" s="20"/>
      <c r="R79" s="331"/>
      <c r="S79" s="331"/>
      <c r="T79" s="331"/>
      <c r="W79" s="389"/>
      <c r="X79" s="343"/>
      <c r="Y79" s="343"/>
      <c r="Z79" s="343"/>
      <c r="AA79" s="343"/>
      <c r="AB79" s="343"/>
      <c r="AC79" s="389"/>
    </row>
    <row r="80" spans="1:30">
      <c r="B80" s="64"/>
      <c r="C80" s="20"/>
      <c r="D80" s="20"/>
      <c r="E80" s="20"/>
      <c r="F80" s="64"/>
      <c r="G80" s="64"/>
      <c r="H80" s="64"/>
      <c r="I80" s="20"/>
      <c r="J80" s="20"/>
      <c r="K80" s="20"/>
      <c r="L80" s="20"/>
      <c r="M80" s="20"/>
      <c r="N80" s="20"/>
      <c r="O80" s="20"/>
      <c r="P80" s="20"/>
      <c r="R80" s="331"/>
      <c r="S80" s="331"/>
      <c r="T80" s="331"/>
      <c r="W80" s="384"/>
      <c r="X80" s="343"/>
      <c r="Y80" s="343"/>
      <c r="Z80" s="343"/>
      <c r="AA80" s="343"/>
      <c r="AB80" s="343"/>
      <c r="AC80" s="391"/>
    </row>
    <row r="81" spans="2:29">
      <c r="B81" s="64"/>
      <c r="C81" s="20"/>
      <c r="D81" s="20"/>
      <c r="E81" s="20"/>
      <c r="F81" s="64"/>
      <c r="G81" s="64"/>
      <c r="H81" s="64"/>
      <c r="I81" s="20"/>
      <c r="J81" s="20"/>
      <c r="K81" s="20"/>
      <c r="L81" s="20"/>
      <c r="M81" s="20"/>
      <c r="N81" s="20"/>
      <c r="O81" s="20"/>
      <c r="P81" s="20"/>
      <c r="R81" s="331"/>
      <c r="S81" s="331"/>
      <c r="T81" s="331"/>
      <c r="W81" s="384"/>
      <c r="X81" s="389"/>
      <c r="Y81" s="389"/>
      <c r="Z81" s="389"/>
      <c r="AA81" s="389"/>
      <c r="AB81" s="389"/>
      <c r="AC81" s="384"/>
    </row>
    <row r="82" spans="2:29">
      <c r="B82" s="64"/>
      <c r="C82" s="20"/>
      <c r="D82" s="20"/>
      <c r="E82" s="20"/>
      <c r="F82" s="64"/>
      <c r="G82" s="64"/>
      <c r="H82" s="64"/>
      <c r="I82" s="20"/>
      <c r="J82" s="20"/>
      <c r="K82" s="20"/>
      <c r="L82" s="20"/>
      <c r="M82" s="20"/>
      <c r="N82" s="20"/>
      <c r="O82" s="20"/>
      <c r="P82" s="20"/>
      <c r="R82" s="331"/>
      <c r="S82" s="331"/>
      <c r="T82" s="331"/>
      <c r="W82" s="384"/>
      <c r="X82" s="389"/>
      <c r="Y82" s="389"/>
      <c r="Z82" s="389"/>
      <c r="AA82" s="389"/>
      <c r="AB82" s="389"/>
      <c r="AC82" s="384"/>
    </row>
    <row r="83" spans="2:29">
      <c r="B83" s="64"/>
      <c r="C83" s="20"/>
      <c r="D83" s="20"/>
      <c r="E83" s="20"/>
      <c r="F83" s="64"/>
      <c r="G83" s="64"/>
      <c r="H83" s="64"/>
      <c r="I83" s="20"/>
      <c r="J83" s="20"/>
      <c r="K83" s="20"/>
      <c r="L83" s="20"/>
      <c r="M83" s="20"/>
      <c r="N83" s="20"/>
      <c r="O83" s="20"/>
      <c r="P83" s="20"/>
      <c r="R83" s="331"/>
      <c r="S83" s="331"/>
      <c r="T83" s="331"/>
      <c r="W83" s="389"/>
      <c r="X83" s="389"/>
      <c r="Y83" s="389"/>
      <c r="Z83" s="389"/>
      <c r="AA83" s="389"/>
      <c r="AB83" s="389"/>
      <c r="AC83" s="389"/>
    </row>
    <row r="84" spans="2:29">
      <c r="B84" s="64"/>
      <c r="C84" s="20"/>
      <c r="D84" s="20"/>
      <c r="E84" s="20"/>
      <c r="F84" s="64"/>
      <c r="G84" s="64"/>
      <c r="H84" s="64"/>
      <c r="I84" s="20"/>
      <c r="J84" s="20"/>
      <c r="K84" s="20"/>
      <c r="L84" s="20"/>
      <c r="M84" s="20"/>
      <c r="N84" s="20"/>
      <c r="O84" s="20"/>
      <c r="P84" s="20"/>
      <c r="R84" s="331"/>
      <c r="S84" s="331"/>
      <c r="T84" s="331"/>
    </row>
    <row r="85" spans="2:29">
      <c r="B85" s="64"/>
      <c r="C85" s="20"/>
      <c r="D85" s="20"/>
      <c r="E85" s="20"/>
      <c r="F85" s="64"/>
      <c r="G85" s="64"/>
      <c r="H85" s="64"/>
      <c r="I85" s="20"/>
      <c r="J85" s="20"/>
      <c r="K85" s="20"/>
      <c r="L85" s="20"/>
      <c r="M85" s="20"/>
      <c r="N85" s="20"/>
      <c r="O85" s="20"/>
      <c r="P85" s="20"/>
      <c r="R85" s="331"/>
      <c r="S85" s="331"/>
      <c r="T85" s="331"/>
    </row>
    <row r="86" spans="2:29">
      <c r="B86" s="64"/>
      <c r="C86" s="20"/>
      <c r="D86" s="20"/>
      <c r="E86" s="20"/>
      <c r="F86" s="64"/>
      <c r="G86" s="64"/>
      <c r="H86" s="64"/>
      <c r="I86" s="20"/>
      <c r="J86" s="20"/>
      <c r="K86" s="20"/>
      <c r="L86" s="20"/>
      <c r="M86" s="20"/>
      <c r="N86" s="20"/>
      <c r="O86" s="20"/>
      <c r="P86" s="20"/>
      <c r="R86" s="331"/>
      <c r="S86" s="331"/>
      <c r="T86" s="331"/>
    </row>
    <row r="87" spans="2:29">
      <c r="B87" s="64"/>
      <c r="C87" s="20"/>
      <c r="D87" s="20"/>
      <c r="E87" s="20"/>
      <c r="F87" s="64"/>
      <c r="G87" s="64"/>
      <c r="H87" s="64"/>
      <c r="I87" s="20"/>
      <c r="J87" s="20"/>
      <c r="K87" s="20"/>
      <c r="L87" s="20"/>
      <c r="M87" s="20"/>
      <c r="N87" s="20"/>
      <c r="O87" s="20"/>
      <c r="P87" s="20"/>
      <c r="R87" s="331"/>
      <c r="S87" s="331"/>
      <c r="T87" s="331"/>
    </row>
    <row r="88" spans="2:29">
      <c r="B88" s="64"/>
      <c r="C88" s="20"/>
      <c r="D88" s="20"/>
      <c r="E88" s="20"/>
      <c r="F88" s="64"/>
      <c r="G88" s="64"/>
      <c r="H88" s="64"/>
      <c r="I88" s="20"/>
      <c r="J88" s="20"/>
      <c r="K88" s="20"/>
      <c r="L88" s="20"/>
      <c r="M88" s="20"/>
      <c r="N88" s="20"/>
      <c r="O88" s="20"/>
      <c r="P88" s="20"/>
      <c r="R88" s="331"/>
      <c r="S88" s="331"/>
      <c r="T88" s="331"/>
    </row>
    <row r="89" spans="2:29">
      <c r="B89" s="64"/>
      <c r="C89" s="20"/>
      <c r="D89" s="20"/>
      <c r="E89" s="20"/>
      <c r="F89" s="64"/>
      <c r="G89" s="64"/>
      <c r="H89" s="64"/>
      <c r="I89" s="20"/>
      <c r="J89" s="20"/>
      <c r="K89" s="20"/>
      <c r="L89" s="20"/>
      <c r="M89" s="20"/>
      <c r="N89" s="20"/>
      <c r="O89" s="20"/>
      <c r="P89" s="20"/>
      <c r="R89" s="328"/>
      <c r="S89" s="331"/>
      <c r="T89" s="331"/>
    </row>
    <row r="90" spans="2:29">
      <c r="B90" s="64"/>
      <c r="C90" s="20"/>
      <c r="D90" s="20"/>
      <c r="E90" s="20"/>
      <c r="F90" s="64"/>
      <c r="G90" s="64"/>
      <c r="H90" s="64"/>
      <c r="I90" s="20"/>
      <c r="J90" s="20"/>
      <c r="K90" s="20"/>
      <c r="L90" s="20"/>
      <c r="M90" s="20"/>
      <c r="N90" s="20"/>
      <c r="O90" s="20"/>
      <c r="P90" s="20"/>
    </row>
    <row r="91" spans="2:29">
      <c r="B91" s="64"/>
      <c r="C91" s="20"/>
      <c r="D91" s="20"/>
      <c r="E91" s="20"/>
      <c r="F91" s="64"/>
      <c r="G91" s="64"/>
      <c r="H91" s="64"/>
      <c r="I91" s="20"/>
      <c r="J91" s="20"/>
      <c r="K91" s="20"/>
      <c r="L91" s="20"/>
      <c r="M91" s="20"/>
      <c r="N91" s="20"/>
      <c r="O91" s="20"/>
      <c r="P91" s="20"/>
    </row>
    <row r="92" spans="2:29">
      <c r="B92" s="64"/>
      <c r="C92" s="20"/>
      <c r="D92" s="20"/>
      <c r="E92" s="20"/>
      <c r="F92" s="64"/>
      <c r="G92" s="64"/>
      <c r="H92" s="64"/>
      <c r="I92" s="20"/>
      <c r="J92" s="20"/>
      <c r="K92" s="20"/>
      <c r="L92" s="20"/>
      <c r="M92" s="20"/>
      <c r="N92" s="20"/>
      <c r="O92" s="20"/>
      <c r="P92" s="20"/>
    </row>
    <row r="93" spans="2:29">
      <c r="B93" s="64"/>
      <c r="C93" s="20"/>
      <c r="D93" s="20"/>
      <c r="E93" s="20"/>
      <c r="F93" s="64"/>
      <c r="G93" s="64"/>
      <c r="H93" s="64"/>
      <c r="I93" s="20"/>
      <c r="J93" s="20"/>
      <c r="K93" s="20"/>
      <c r="L93" s="20"/>
      <c r="M93" s="20"/>
      <c r="N93" s="20"/>
      <c r="O93" s="20"/>
      <c r="P93" s="20"/>
    </row>
    <row r="94" spans="2:29">
      <c r="B94" s="64"/>
      <c r="C94" s="20"/>
      <c r="D94" s="20"/>
      <c r="E94" s="20"/>
      <c r="F94" s="64"/>
      <c r="G94" s="64"/>
      <c r="H94" s="64"/>
      <c r="I94" s="20"/>
      <c r="J94" s="20"/>
      <c r="K94" s="20"/>
      <c r="L94" s="20"/>
      <c r="M94" s="20"/>
      <c r="N94" s="20"/>
      <c r="O94" s="20"/>
      <c r="P94" s="20"/>
    </row>
    <row r="95" spans="2:29">
      <c r="B95" s="64"/>
      <c r="C95" s="20"/>
      <c r="D95" s="20"/>
      <c r="E95" s="20"/>
      <c r="F95" s="64"/>
      <c r="G95" s="64"/>
      <c r="H95" s="64"/>
      <c r="I95" s="20"/>
      <c r="J95" s="20"/>
      <c r="K95" s="20"/>
      <c r="L95" s="20"/>
      <c r="M95" s="20"/>
      <c r="N95" s="20"/>
      <c r="O95" s="20"/>
      <c r="P95" s="20"/>
    </row>
    <row r="96" spans="2:29">
      <c r="B96" s="64"/>
      <c r="C96" s="20"/>
      <c r="D96" s="20"/>
      <c r="E96" s="20"/>
      <c r="F96" s="64"/>
      <c r="G96" s="64"/>
      <c r="H96" s="64"/>
      <c r="I96" s="20"/>
      <c r="J96" s="20"/>
      <c r="K96" s="20"/>
      <c r="L96" s="20"/>
      <c r="M96" s="20"/>
      <c r="N96" s="20"/>
      <c r="O96" s="20"/>
      <c r="P96" s="20"/>
    </row>
    <row r="97" spans="2:16">
      <c r="B97" s="64"/>
      <c r="C97" s="20"/>
      <c r="D97" s="20"/>
      <c r="E97" s="20"/>
      <c r="F97" s="64"/>
      <c r="G97" s="64"/>
      <c r="H97" s="64"/>
      <c r="I97" s="20"/>
      <c r="J97" s="20"/>
      <c r="K97" s="20"/>
      <c r="L97" s="20"/>
      <c r="M97" s="20"/>
      <c r="N97" s="20"/>
      <c r="O97" s="20"/>
      <c r="P97" s="20"/>
    </row>
    <row r="98" spans="2:16">
      <c r="B98" s="64"/>
      <c r="C98" s="20"/>
      <c r="D98" s="20"/>
      <c r="E98" s="20"/>
      <c r="F98" s="64"/>
      <c r="G98" s="64"/>
      <c r="H98" s="64"/>
      <c r="I98" s="20"/>
      <c r="J98" s="20"/>
      <c r="K98" s="20"/>
      <c r="L98" s="20"/>
      <c r="M98" s="20"/>
      <c r="N98" s="20"/>
      <c r="O98" s="20"/>
      <c r="P98" s="20"/>
    </row>
    <row r="99" spans="2:16">
      <c r="B99" s="64"/>
      <c r="C99" s="20"/>
      <c r="D99" s="20"/>
      <c r="E99" s="20"/>
      <c r="F99" s="64"/>
      <c r="G99" s="64"/>
      <c r="H99" s="64"/>
      <c r="I99" s="20"/>
      <c r="J99" s="20"/>
      <c r="K99" s="20"/>
      <c r="L99" s="20"/>
      <c r="M99" s="20"/>
      <c r="N99" s="20"/>
      <c r="O99" s="20"/>
      <c r="P99" s="20"/>
    </row>
    <row r="100" spans="2:16">
      <c r="B100" s="64"/>
      <c r="C100" s="20"/>
      <c r="D100" s="20"/>
      <c r="E100" s="20"/>
      <c r="F100" s="64"/>
      <c r="G100" s="64"/>
      <c r="H100" s="64"/>
      <c r="I100" s="20"/>
      <c r="J100" s="20"/>
      <c r="K100" s="20"/>
      <c r="L100" s="20"/>
      <c r="M100" s="20"/>
      <c r="N100" s="20"/>
      <c r="O100" s="20"/>
      <c r="P100" s="20"/>
    </row>
    <row r="101" spans="2:16">
      <c r="B101" s="64"/>
      <c r="C101" s="20"/>
      <c r="D101" s="20"/>
      <c r="E101" s="20"/>
      <c r="F101" s="64"/>
      <c r="G101" s="64"/>
      <c r="H101" s="64"/>
      <c r="I101" s="20"/>
      <c r="J101" s="20"/>
      <c r="K101" s="20"/>
      <c r="L101" s="20"/>
      <c r="M101" s="20"/>
      <c r="N101" s="20"/>
      <c r="O101" s="20"/>
      <c r="P101" s="20"/>
    </row>
    <row r="102" spans="2:16">
      <c r="B102" s="64"/>
      <c r="C102" s="20"/>
      <c r="D102" s="20"/>
      <c r="E102" s="20"/>
      <c r="F102" s="64"/>
      <c r="G102" s="64"/>
      <c r="H102" s="64"/>
      <c r="I102" s="20"/>
      <c r="J102" s="20"/>
      <c r="K102" s="20"/>
      <c r="L102" s="20"/>
      <c r="M102" s="20"/>
      <c r="N102" s="20"/>
      <c r="O102" s="20"/>
      <c r="P102" s="20"/>
    </row>
    <row r="103" spans="2:16">
      <c r="B103" s="64"/>
      <c r="C103" s="20"/>
      <c r="D103" s="20"/>
      <c r="E103" s="20"/>
      <c r="F103" s="64"/>
      <c r="G103" s="64"/>
      <c r="H103" s="64"/>
      <c r="I103" s="20"/>
      <c r="J103" s="20"/>
      <c r="K103" s="20"/>
      <c r="L103" s="20"/>
      <c r="M103" s="20"/>
      <c r="N103" s="20"/>
      <c r="O103" s="20"/>
      <c r="P103" s="20"/>
    </row>
    <row r="104" spans="2:16">
      <c r="B104" s="64"/>
      <c r="C104" s="20"/>
      <c r="D104" s="20"/>
      <c r="E104" s="20"/>
      <c r="F104" s="64"/>
      <c r="G104" s="64"/>
      <c r="H104" s="64"/>
      <c r="I104" s="20"/>
      <c r="J104" s="20"/>
      <c r="K104" s="20"/>
      <c r="L104" s="20"/>
      <c r="M104" s="20"/>
      <c r="N104" s="20"/>
      <c r="O104" s="20"/>
      <c r="P104" s="20"/>
    </row>
    <row r="105" spans="2:16">
      <c r="B105" s="64"/>
      <c r="C105" s="20"/>
      <c r="D105" s="20"/>
      <c r="E105" s="20"/>
      <c r="F105" s="64"/>
      <c r="G105" s="64"/>
      <c r="H105" s="64"/>
      <c r="I105" s="20"/>
      <c r="J105" s="20"/>
      <c r="K105" s="20"/>
      <c r="L105" s="20"/>
      <c r="M105" s="20"/>
      <c r="N105" s="20"/>
      <c r="O105" s="20"/>
      <c r="P105" s="20"/>
    </row>
    <row r="106" spans="2:16">
      <c r="B106" s="64"/>
      <c r="C106" s="20"/>
      <c r="D106" s="20"/>
      <c r="E106" s="20"/>
      <c r="F106" s="64"/>
      <c r="G106" s="64"/>
      <c r="H106" s="64"/>
      <c r="I106" s="20"/>
      <c r="J106" s="20"/>
      <c r="K106" s="20"/>
      <c r="L106" s="20"/>
      <c r="M106" s="20"/>
      <c r="N106" s="20"/>
      <c r="O106" s="20"/>
      <c r="P106" s="20"/>
    </row>
    <row r="107" spans="2:16">
      <c r="B107" s="64"/>
      <c r="C107" s="20"/>
      <c r="D107" s="20"/>
      <c r="E107" s="20"/>
      <c r="F107" s="64"/>
      <c r="G107" s="64"/>
      <c r="H107" s="64"/>
      <c r="I107" s="20"/>
      <c r="J107" s="20"/>
      <c r="K107" s="20"/>
      <c r="L107" s="20"/>
      <c r="M107" s="20"/>
      <c r="N107" s="20"/>
      <c r="O107" s="20"/>
      <c r="P107" s="20"/>
    </row>
    <row r="108" spans="2:16">
      <c r="B108" s="64"/>
      <c r="C108" s="20"/>
      <c r="D108" s="20"/>
      <c r="E108" s="20"/>
      <c r="F108" s="64"/>
      <c r="G108" s="64"/>
      <c r="H108" s="64"/>
      <c r="I108" s="20"/>
      <c r="J108" s="20"/>
      <c r="K108" s="20"/>
      <c r="L108" s="20"/>
      <c r="M108" s="20"/>
      <c r="N108" s="20"/>
      <c r="O108" s="20"/>
      <c r="P108" s="20"/>
    </row>
    <row r="109" spans="2:16">
      <c r="B109" s="64"/>
      <c r="C109" s="20"/>
      <c r="D109" s="20"/>
      <c r="E109" s="20"/>
      <c r="F109" s="64"/>
      <c r="G109" s="64"/>
      <c r="H109" s="64"/>
      <c r="I109" s="20"/>
      <c r="J109" s="20"/>
      <c r="K109" s="20"/>
      <c r="L109" s="20"/>
      <c r="M109" s="20"/>
      <c r="N109" s="20"/>
      <c r="O109" s="20"/>
      <c r="P109" s="20"/>
    </row>
    <row r="110" spans="2:16">
      <c r="B110" s="64"/>
      <c r="C110" s="20"/>
      <c r="D110" s="20"/>
      <c r="E110" s="20"/>
      <c r="F110" s="64"/>
      <c r="G110" s="64"/>
      <c r="H110" s="64"/>
      <c r="I110" s="20"/>
      <c r="J110" s="20"/>
      <c r="K110" s="20"/>
      <c r="L110" s="20"/>
      <c r="M110" s="20"/>
      <c r="N110" s="20"/>
      <c r="O110" s="20"/>
      <c r="P110" s="20"/>
    </row>
    <row r="111" spans="2:16">
      <c r="B111" s="64"/>
      <c r="C111" s="20"/>
      <c r="D111" s="20"/>
      <c r="E111" s="20"/>
      <c r="F111" s="64"/>
      <c r="G111" s="64"/>
      <c r="H111" s="64"/>
      <c r="I111" s="20"/>
      <c r="J111" s="20"/>
      <c r="K111" s="20"/>
      <c r="L111" s="20"/>
      <c r="M111" s="20"/>
      <c r="N111" s="20"/>
      <c r="O111" s="20"/>
      <c r="P111" s="20"/>
    </row>
    <row r="112" spans="2:16">
      <c r="B112" s="64"/>
      <c r="C112" s="20"/>
      <c r="D112" s="20"/>
      <c r="E112" s="20"/>
      <c r="F112" s="64"/>
      <c r="G112" s="64"/>
      <c r="H112" s="64"/>
      <c r="I112" s="20"/>
      <c r="J112" s="20"/>
      <c r="K112" s="20"/>
      <c r="L112" s="20"/>
      <c r="M112" s="20"/>
      <c r="N112" s="20"/>
      <c r="O112" s="20"/>
      <c r="P112" s="20"/>
    </row>
    <row r="113" spans="1:16">
      <c r="B113" s="64"/>
      <c r="C113" s="20"/>
      <c r="D113" s="20"/>
      <c r="E113" s="20"/>
      <c r="F113" s="64"/>
      <c r="G113" s="64"/>
      <c r="H113" s="64"/>
      <c r="I113" s="20"/>
      <c r="J113" s="20"/>
      <c r="K113" s="20"/>
      <c r="L113" s="20"/>
      <c r="M113" s="20"/>
      <c r="N113" s="20"/>
      <c r="O113" s="20"/>
      <c r="P113" s="20"/>
    </row>
    <row r="114" spans="1:16">
      <c r="B114" s="64"/>
      <c r="C114" s="20"/>
      <c r="D114" s="20"/>
      <c r="E114" s="20"/>
      <c r="F114" s="64"/>
      <c r="G114" s="64"/>
      <c r="H114" s="64"/>
      <c r="I114" s="20"/>
      <c r="J114" s="20"/>
      <c r="K114" s="20"/>
      <c r="L114" s="20"/>
      <c r="M114" s="20"/>
      <c r="N114" s="20"/>
      <c r="O114" s="20"/>
      <c r="P114" s="20"/>
    </row>
    <row r="115" spans="1:16">
      <c r="B115" s="64"/>
      <c r="C115" s="20"/>
      <c r="D115" s="20"/>
      <c r="E115" s="20"/>
      <c r="F115" s="64"/>
      <c r="G115" s="64"/>
      <c r="H115" s="64"/>
      <c r="I115" s="20"/>
      <c r="J115" s="20"/>
      <c r="K115" s="20"/>
      <c r="L115" s="20"/>
      <c r="M115" s="20"/>
      <c r="N115" s="20"/>
      <c r="O115" s="20"/>
      <c r="P115" s="20"/>
    </row>
    <row r="116" spans="1:16">
      <c r="B116" s="64"/>
      <c r="C116" s="20"/>
      <c r="D116" s="20"/>
      <c r="E116" s="20"/>
      <c r="F116" s="64"/>
      <c r="G116" s="64"/>
      <c r="H116" s="64"/>
      <c r="I116" s="20"/>
      <c r="J116" s="20"/>
      <c r="K116" s="20"/>
      <c r="L116" s="20"/>
      <c r="M116" s="20"/>
      <c r="N116" s="20"/>
      <c r="O116" s="20"/>
      <c r="P116" s="20"/>
    </row>
    <row r="117" spans="1:16">
      <c r="B117" s="64"/>
      <c r="C117" s="20"/>
      <c r="D117" s="20"/>
      <c r="E117" s="20"/>
      <c r="F117" s="64"/>
      <c r="G117" s="64"/>
      <c r="H117" s="64"/>
      <c r="I117" s="20"/>
      <c r="J117" s="20"/>
      <c r="K117" s="20"/>
      <c r="L117" s="20"/>
      <c r="M117" s="20"/>
      <c r="N117" s="20"/>
      <c r="O117" s="20"/>
      <c r="P117" s="20"/>
    </row>
    <row r="118" spans="1:16">
      <c r="B118" s="64"/>
      <c r="C118" s="20"/>
      <c r="D118" s="20"/>
      <c r="E118" s="20"/>
      <c r="F118" s="64"/>
      <c r="G118" s="64"/>
      <c r="H118" s="64"/>
      <c r="I118" s="20"/>
      <c r="J118" s="20"/>
      <c r="K118" s="20"/>
      <c r="L118" s="20"/>
      <c r="M118" s="20"/>
      <c r="N118" s="20"/>
      <c r="O118" s="20"/>
      <c r="P118" s="20"/>
    </row>
    <row r="119" spans="1:16">
      <c r="B119" s="64"/>
      <c r="C119" s="20"/>
      <c r="D119" s="20"/>
      <c r="E119" s="20"/>
      <c r="F119" s="64"/>
      <c r="G119" s="64"/>
      <c r="H119" s="64"/>
      <c r="I119" s="20"/>
      <c r="J119" s="20"/>
      <c r="K119" s="20"/>
      <c r="L119" s="20"/>
      <c r="M119" s="20"/>
      <c r="N119" s="20"/>
      <c r="O119" s="20"/>
      <c r="P119" s="20"/>
    </row>
    <row r="120" spans="1:16">
      <c r="B120" s="64"/>
      <c r="C120" s="20"/>
      <c r="D120" s="20"/>
      <c r="E120" s="20"/>
      <c r="F120" s="64"/>
      <c r="G120" s="64"/>
      <c r="H120" s="64"/>
      <c r="I120" s="20"/>
      <c r="J120" s="20"/>
      <c r="K120" s="20"/>
      <c r="L120" s="20"/>
      <c r="M120" s="20"/>
      <c r="N120" s="20"/>
      <c r="O120" s="20"/>
      <c r="P120" s="20"/>
    </row>
    <row r="121" spans="1:16">
      <c r="B121" s="64"/>
      <c r="C121" s="20"/>
      <c r="D121" s="20"/>
      <c r="E121" s="20"/>
      <c r="F121" s="64"/>
      <c r="G121" s="64"/>
      <c r="H121" s="64"/>
      <c r="I121" s="20"/>
      <c r="J121" s="20"/>
      <c r="K121" s="20"/>
      <c r="L121" s="20"/>
      <c r="M121" s="20"/>
      <c r="N121" s="20"/>
      <c r="O121" s="20"/>
      <c r="P121" s="20"/>
    </row>
    <row r="122" spans="1:16">
      <c r="B122" s="64"/>
      <c r="C122" s="20"/>
      <c r="D122" s="20"/>
      <c r="E122" s="20"/>
      <c r="F122" s="64"/>
      <c r="G122" s="64"/>
      <c r="H122" s="64"/>
      <c r="I122" s="20"/>
      <c r="J122" s="20"/>
      <c r="K122" s="20"/>
      <c r="L122" s="20"/>
      <c r="M122" s="20"/>
      <c r="N122" s="20"/>
      <c r="O122" s="20"/>
      <c r="P122" s="20"/>
    </row>
    <row r="123" spans="1:16">
      <c r="B123" s="64"/>
      <c r="C123" s="20"/>
      <c r="D123" s="20"/>
      <c r="E123" s="20"/>
      <c r="F123" s="64"/>
      <c r="G123" s="64"/>
      <c r="H123" s="64"/>
      <c r="I123" s="20"/>
      <c r="J123" s="20"/>
      <c r="K123" s="20"/>
      <c r="L123" s="20"/>
      <c r="M123" s="20"/>
      <c r="N123" s="20"/>
      <c r="O123" s="20"/>
      <c r="P123" s="20"/>
    </row>
    <row r="124" spans="1:16">
      <c r="A124" s="20"/>
      <c r="B124" s="64"/>
      <c r="C124" s="20"/>
      <c r="D124" s="20"/>
      <c r="E124" s="20"/>
      <c r="F124" s="64"/>
      <c r="G124" s="64"/>
      <c r="H124" s="64"/>
      <c r="I124" s="20"/>
      <c r="J124" s="20"/>
      <c r="K124" s="20"/>
      <c r="L124" s="20"/>
      <c r="M124" s="20"/>
      <c r="N124" s="20"/>
      <c r="O124" s="20"/>
      <c r="P124" s="20"/>
    </row>
    <row r="125" spans="1:16">
      <c r="A125" s="20"/>
      <c r="B125" s="64"/>
      <c r="C125" s="20"/>
      <c r="D125" s="20"/>
      <c r="E125" s="20"/>
      <c r="F125" s="64"/>
      <c r="G125" s="64"/>
      <c r="H125" s="64"/>
      <c r="I125" s="20"/>
      <c r="J125" s="20"/>
      <c r="K125" s="20"/>
      <c r="L125" s="20"/>
      <c r="M125" s="20"/>
      <c r="N125" s="20"/>
      <c r="O125" s="20"/>
      <c r="P125" s="20"/>
    </row>
    <row r="126" spans="1:16">
      <c r="A126" s="20"/>
      <c r="B126" s="64"/>
      <c r="C126" s="20"/>
      <c r="D126" s="20"/>
      <c r="E126" s="20"/>
      <c r="F126" s="64"/>
      <c r="G126" s="64"/>
      <c r="H126" s="64"/>
      <c r="I126" s="20"/>
      <c r="J126" s="20"/>
      <c r="K126" s="20"/>
      <c r="L126" s="20"/>
      <c r="M126" s="20"/>
      <c r="N126" s="20"/>
      <c r="O126" s="20"/>
      <c r="P126" s="20"/>
    </row>
    <row r="127" spans="1:16">
      <c r="A127" s="20"/>
      <c r="B127" s="64"/>
      <c r="C127" s="20"/>
      <c r="D127" s="20"/>
      <c r="E127" s="20"/>
      <c r="F127" s="64"/>
      <c r="G127" s="64"/>
      <c r="H127" s="64"/>
      <c r="I127" s="20"/>
      <c r="J127" s="20"/>
      <c r="K127" s="20"/>
      <c r="L127" s="20"/>
      <c r="M127" s="20"/>
      <c r="N127" s="20"/>
      <c r="O127" s="20"/>
      <c r="P127" s="20"/>
    </row>
    <row r="128" spans="1:16">
      <c r="A128" s="20"/>
      <c r="B128" s="64"/>
      <c r="C128" s="20"/>
      <c r="D128" s="20"/>
      <c r="E128" s="20"/>
      <c r="F128" s="64"/>
      <c r="G128" s="64"/>
      <c r="H128" s="64"/>
      <c r="I128" s="20"/>
      <c r="J128" s="20"/>
      <c r="K128" s="20"/>
      <c r="L128" s="20"/>
      <c r="M128" s="20"/>
      <c r="N128" s="20"/>
      <c r="O128" s="20"/>
      <c r="P128" s="20"/>
    </row>
    <row r="129" spans="1:16">
      <c r="A129" s="20"/>
      <c r="B129" s="64"/>
      <c r="C129" s="20"/>
      <c r="D129" s="20"/>
      <c r="E129" s="20"/>
      <c r="F129" s="64"/>
      <c r="G129" s="64"/>
      <c r="H129" s="64"/>
      <c r="I129" s="20"/>
      <c r="J129" s="20"/>
      <c r="K129" s="20"/>
      <c r="L129" s="20"/>
      <c r="M129" s="20"/>
      <c r="N129" s="20"/>
      <c r="O129" s="20"/>
      <c r="P129" s="20"/>
    </row>
    <row r="130" spans="1:16">
      <c r="A130" s="20"/>
      <c r="B130" s="64"/>
      <c r="C130" s="20"/>
      <c r="D130" s="20"/>
      <c r="E130" s="20"/>
      <c r="F130" s="64"/>
      <c r="G130" s="64"/>
      <c r="H130" s="64"/>
      <c r="I130" s="20"/>
      <c r="J130" s="20"/>
      <c r="K130" s="20"/>
      <c r="L130" s="20"/>
      <c r="M130" s="20"/>
      <c r="N130" s="20"/>
      <c r="O130" s="20"/>
      <c r="P130" s="20"/>
    </row>
    <row r="131" spans="1:16">
      <c r="A131" s="20"/>
      <c r="B131" s="64"/>
      <c r="C131" s="20"/>
      <c r="D131" s="20"/>
      <c r="E131" s="20"/>
      <c r="F131" s="64"/>
      <c r="G131" s="64"/>
      <c r="H131" s="64"/>
      <c r="I131" s="20"/>
      <c r="J131" s="20"/>
      <c r="K131" s="20"/>
      <c r="L131" s="20"/>
      <c r="M131" s="20"/>
      <c r="N131" s="20"/>
      <c r="O131" s="20"/>
      <c r="P131" s="20"/>
    </row>
    <row r="132" spans="1:16">
      <c r="A132" s="20"/>
      <c r="B132" s="64"/>
      <c r="C132" s="20"/>
      <c r="D132" s="20"/>
      <c r="E132" s="20"/>
      <c r="F132" s="64"/>
      <c r="G132" s="64"/>
      <c r="H132" s="64"/>
      <c r="I132" s="20"/>
      <c r="J132" s="20"/>
      <c r="K132" s="20"/>
      <c r="L132" s="20"/>
      <c r="M132" s="20"/>
      <c r="N132" s="20"/>
      <c r="O132" s="20"/>
      <c r="P132" s="20"/>
    </row>
    <row r="133" spans="1:16">
      <c r="A133" s="20"/>
      <c r="B133" s="64"/>
      <c r="C133" s="20"/>
      <c r="D133" s="20"/>
      <c r="E133" s="20"/>
      <c r="F133" s="64"/>
      <c r="G133" s="64"/>
      <c r="H133" s="64"/>
      <c r="I133" s="20"/>
      <c r="J133" s="20"/>
      <c r="K133" s="20"/>
      <c r="L133" s="20"/>
      <c r="M133" s="20"/>
      <c r="N133" s="20"/>
      <c r="O133" s="20"/>
      <c r="P133" s="20"/>
    </row>
    <row r="134" spans="1:16">
      <c r="A134" s="20"/>
      <c r="B134" s="64"/>
      <c r="C134" s="20"/>
      <c r="D134" s="20"/>
      <c r="E134" s="20"/>
      <c r="F134" s="64"/>
      <c r="G134" s="64"/>
      <c r="H134" s="64"/>
      <c r="I134" s="20"/>
      <c r="J134" s="20"/>
      <c r="K134" s="20"/>
      <c r="L134" s="20"/>
      <c r="M134" s="20"/>
      <c r="N134" s="20"/>
      <c r="O134" s="20"/>
      <c r="P134" s="20"/>
    </row>
    <row r="135" spans="1:16">
      <c r="A135" s="20"/>
      <c r="B135" s="64"/>
      <c r="C135" s="20"/>
      <c r="D135" s="20"/>
      <c r="E135" s="20"/>
      <c r="F135" s="64"/>
      <c r="G135" s="64"/>
      <c r="H135" s="64"/>
      <c r="I135" s="20"/>
      <c r="J135" s="20"/>
      <c r="K135" s="20"/>
      <c r="L135" s="20"/>
      <c r="M135" s="20"/>
      <c r="N135" s="20"/>
      <c r="O135" s="20"/>
      <c r="P135" s="20"/>
    </row>
    <row r="136" spans="1:16">
      <c r="A136" s="20"/>
      <c r="B136" s="64"/>
      <c r="C136" s="20"/>
      <c r="D136" s="20"/>
      <c r="E136" s="20"/>
      <c r="F136" s="64"/>
      <c r="G136" s="64"/>
      <c r="H136" s="64"/>
      <c r="I136" s="20"/>
      <c r="J136" s="20"/>
      <c r="K136" s="20"/>
      <c r="L136" s="20"/>
      <c r="M136" s="20"/>
      <c r="N136" s="20"/>
      <c r="O136" s="20"/>
      <c r="P136" s="20"/>
    </row>
    <row r="137" spans="1:16">
      <c r="A137" s="20"/>
      <c r="B137" s="64"/>
      <c r="C137" s="20"/>
      <c r="D137" s="20"/>
      <c r="E137" s="20"/>
      <c r="F137" s="64"/>
      <c r="G137" s="64"/>
      <c r="H137" s="64"/>
      <c r="I137" s="20"/>
      <c r="J137" s="20"/>
      <c r="K137" s="20"/>
      <c r="L137" s="20"/>
      <c r="M137" s="20"/>
      <c r="N137" s="20"/>
      <c r="O137" s="20"/>
      <c r="P137" s="20"/>
    </row>
    <row r="138" spans="1:16">
      <c r="A138" s="20"/>
      <c r="B138" s="64"/>
      <c r="C138" s="20"/>
      <c r="D138" s="20"/>
      <c r="E138" s="20"/>
      <c r="F138" s="64"/>
      <c r="G138" s="64"/>
      <c r="H138" s="64"/>
      <c r="I138" s="20"/>
      <c r="J138" s="20"/>
      <c r="K138" s="20"/>
      <c r="L138" s="20"/>
      <c r="M138" s="20"/>
      <c r="N138" s="20"/>
      <c r="O138" s="20"/>
      <c r="P138" s="20"/>
    </row>
    <row r="139" spans="1:16">
      <c r="A139" s="20"/>
      <c r="B139" s="64"/>
      <c r="C139" s="20"/>
      <c r="D139" s="20"/>
      <c r="E139" s="20"/>
      <c r="F139" s="64"/>
      <c r="G139" s="64"/>
      <c r="H139" s="64"/>
      <c r="I139" s="20"/>
      <c r="J139" s="20"/>
      <c r="K139" s="20"/>
      <c r="L139" s="20"/>
      <c r="M139" s="20"/>
      <c r="N139" s="20"/>
      <c r="O139" s="20"/>
      <c r="P139" s="20"/>
    </row>
    <row r="140" spans="1:16">
      <c r="A140" s="20"/>
      <c r="B140" s="64"/>
      <c r="C140" s="20"/>
      <c r="D140" s="20"/>
      <c r="E140" s="20"/>
      <c r="F140" s="64"/>
      <c r="G140" s="64"/>
      <c r="H140" s="64"/>
      <c r="I140" s="20"/>
      <c r="J140" s="20"/>
      <c r="K140" s="20"/>
      <c r="L140" s="20"/>
      <c r="M140" s="20"/>
      <c r="N140" s="20"/>
      <c r="O140" s="20"/>
      <c r="P140" s="20"/>
    </row>
    <row r="141" spans="1:16">
      <c r="A141" s="20"/>
      <c r="B141" s="64"/>
      <c r="C141" s="20"/>
      <c r="D141" s="20"/>
      <c r="E141" s="20"/>
      <c r="F141" s="64"/>
      <c r="G141" s="64"/>
      <c r="H141" s="64"/>
      <c r="I141" s="20"/>
      <c r="J141" s="20"/>
      <c r="K141" s="20"/>
      <c r="L141" s="20"/>
      <c r="M141" s="20"/>
      <c r="N141" s="20"/>
      <c r="O141" s="20"/>
      <c r="P141" s="20"/>
    </row>
    <row r="142" spans="1:16">
      <c r="A142" s="20"/>
      <c r="B142" s="64"/>
      <c r="C142" s="20"/>
      <c r="D142" s="20"/>
      <c r="E142" s="20"/>
      <c r="F142" s="64"/>
      <c r="G142" s="64"/>
      <c r="H142" s="64"/>
      <c r="I142" s="20"/>
      <c r="J142" s="20"/>
      <c r="K142" s="20"/>
      <c r="L142" s="20"/>
      <c r="M142" s="20"/>
      <c r="N142" s="20"/>
      <c r="O142" s="20"/>
      <c r="P142" s="20"/>
    </row>
    <row r="143" spans="1:16">
      <c r="A143" s="20"/>
      <c r="B143" s="64"/>
      <c r="C143" s="20"/>
      <c r="D143" s="20"/>
      <c r="E143" s="20"/>
      <c r="F143" s="64"/>
      <c r="G143" s="64"/>
      <c r="H143" s="64"/>
      <c r="I143" s="20"/>
      <c r="J143" s="20"/>
      <c r="K143" s="20"/>
      <c r="L143" s="20"/>
      <c r="M143" s="20"/>
      <c r="N143" s="20"/>
      <c r="O143" s="20"/>
      <c r="P143" s="20"/>
    </row>
    <row r="144" spans="1:16">
      <c r="A144" s="20"/>
      <c r="B144" s="64"/>
      <c r="C144" s="20"/>
      <c r="D144" s="20"/>
      <c r="E144" s="20"/>
      <c r="F144" s="64"/>
      <c r="G144" s="64"/>
      <c r="H144" s="64"/>
      <c r="I144" s="20"/>
      <c r="J144" s="20"/>
      <c r="K144" s="20"/>
      <c r="L144" s="20"/>
      <c r="M144" s="20"/>
      <c r="N144" s="20"/>
      <c r="O144" s="20"/>
      <c r="P144" s="20"/>
    </row>
    <row r="145" spans="1:16">
      <c r="A145" s="20"/>
      <c r="B145" s="64"/>
      <c r="C145" s="20"/>
      <c r="D145" s="20"/>
      <c r="E145" s="20"/>
      <c r="F145" s="64"/>
      <c r="G145" s="64"/>
      <c r="H145" s="64"/>
      <c r="I145" s="20"/>
      <c r="J145" s="20"/>
      <c r="K145" s="20"/>
      <c r="L145" s="20"/>
      <c r="M145" s="20"/>
      <c r="N145" s="20"/>
      <c r="O145" s="20"/>
      <c r="P145" s="20"/>
    </row>
    <row r="146" spans="1:16">
      <c r="A146" s="20"/>
      <c r="B146" s="64"/>
      <c r="C146" s="20"/>
      <c r="D146" s="20"/>
      <c r="E146" s="20"/>
      <c r="F146" s="64"/>
      <c r="G146" s="64"/>
      <c r="H146" s="64"/>
      <c r="I146" s="20"/>
      <c r="J146" s="20"/>
      <c r="K146" s="20"/>
      <c r="L146" s="20"/>
      <c r="M146" s="20"/>
      <c r="N146" s="20"/>
      <c r="O146" s="20"/>
      <c r="P146" s="20"/>
    </row>
    <row r="147" spans="1:16">
      <c r="A147" s="20"/>
      <c r="B147" s="64"/>
      <c r="C147" s="20"/>
      <c r="D147" s="20"/>
      <c r="E147" s="20"/>
      <c r="F147" s="64"/>
      <c r="G147" s="64"/>
      <c r="H147" s="64"/>
      <c r="I147" s="20"/>
      <c r="J147" s="20"/>
      <c r="K147" s="20"/>
      <c r="L147" s="20"/>
      <c r="M147" s="20"/>
      <c r="N147" s="20"/>
      <c r="O147" s="20"/>
      <c r="P147" s="20"/>
    </row>
    <row r="148" spans="1:16">
      <c r="A148" s="20"/>
      <c r="B148" s="64"/>
      <c r="C148" s="20"/>
      <c r="D148" s="20"/>
      <c r="E148" s="20"/>
      <c r="F148" s="64"/>
      <c r="G148" s="64"/>
      <c r="H148" s="64"/>
      <c r="I148" s="20"/>
      <c r="J148" s="20"/>
      <c r="K148" s="20"/>
      <c r="L148" s="20"/>
      <c r="M148" s="20"/>
      <c r="N148" s="20"/>
      <c r="O148" s="20"/>
      <c r="P148" s="20"/>
    </row>
    <row r="149" spans="1:16">
      <c r="A149" s="20"/>
      <c r="B149" s="64"/>
      <c r="C149" s="20"/>
      <c r="D149" s="20"/>
      <c r="E149" s="20"/>
      <c r="F149" s="64"/>
      <c r="G149" s="64"/>
      <c r="H149" s="64"/>
      <c r="I149" s="20"/>
      <c r="J149" s="20"/>
      <c r="K149" s="20"/>
      <c r="L149" s="20"/>
      <c r="M149" s="20"/>
      <c r="N149" s="20"/>
      <c r="O149" s="20"/>
      <c r="P149" s="20"/>
    </row>
    <row r="150" spans="1:16">
      <c r="A150" s="20"/>
      <c r="B150" s="64"/>
      <c r="C150" s="20"/>
      <c r="D150" s="20"/>
      <c r="E150" s="20"/>
      <c r="F150" s="64"/>
      <c r="G150" s="64"/>
      <c r="H150" s="64"/>
      <c r="I150" s="20"/>
      <c r="J150" s="20"/>
      <c r="K150" s="20"/>
      <c r="L150" s="20"/>
      <c r="M150" s="20"/>
      <c r="N150" s="20"/>
      <c r="O150" s="20"/>
      <c r="P150" s="20"/>
    </row>
    <row r="151" spans="1:16">
      <c r="A151" s="20"/>
      <c r="B151" s="64"/>
      <c r="C151" s="20"/>
      <c r="D151" s="20"/>
      <c r="E151" s="20"/>
      <c r="F151" s="64"/>
      <c r="G151" s="64"/>
      <c r="H151" s="64"/>
      <c r="I151" s="20"/>
      <c r="J151" s="20"/>
      <c r="K151" s="20"/>
      <c r="L151" s="20"/>
      <c r="M151" s="20"/>
      <c r="N151" s="20"/>
      <c r="O151" s="20"/>
      <c r="P151" s="20"/>
    </row>
    <row r="152" spans="1:16">
      <c r="A152" s="20"/>
      <c r="B152" s="64"/>
      <c r="C152" s="20"/>
      <c r="D152" s="20"/>
      <c r="E152" s="20"/>
      <c r="F152" s="64"/>
      <c r="G152" s="64"/>
      <c r="H152" s="64"/>
      <c r="I152" s="20"/>
      <c r="J152" s="20"/>
      <c r="K152" s="20"/>
      <c r="L152" s="20"/>
      <c r="M152" s="20"/>
      <c r="N152" s="20"/>
      <c r="O152" s="20"/>
      <c r="P152" s="20"/>
    </row>
    <row r="153" spans="1:16">
      <c r="A153" s="20"/>
      <c r="B153" s="64"/>
      <c r="C153" s="20"/>
      <c r="D153" s="20"/>
      <c r="E153" s="20"/>
      <c r="F153" s="64"/>
      <c r="G153" s="64"/>
      <c r="H153" s="64"/>
      <c r="I153" s="20"/>
      <c r="J153" s="20"/>
      <c r="K153" s="20"/>
      <c r="L153" s="20"/>
      <c r="M153" s="20"/>
      <c r="N153" s="20"/>
      <c r="O153" s="20"/>
      <c r="P153" s="20"/>
    </row>
    <row r="154" spans="1:16">
      <c r="A154" s="20"/>
      <c r="B154" s="64"/>
      <c r="C154" s="20"/>
      <c r="D154" s="20"/>
      <c r="E154" s="20"/>
      <c r="F154" s="64"/>
      <c r="G154" s="64"/>
      <c r="H154" s="64"/>
      <c r="I154" s="20"/>
      <c r="J154" s="20"/>
      <c r="K154" s="20"/>
      <c r="L154" s="20"/>
      <c r="M154" s="20"/>
      <c r="N154" s="20"/>
      <c r="O154" s="20"/>
      <c r="P154" s="20"/>
    </row>
    <row r="155" spans="1:16">
      <c r="A155" s="20"/>
      <c r="B155" s="64"/>
      <c r="C155" s="20"/>
      <c r="D155" s="20"/>
      <c r="E155" s="20"/>
      <c r="F155" s="64"/>
      <c r="G155" s="64"/>
      <c r="H155" s="64"/>
      <c r="I155" s="20"/>
      <c r="J155" s="20"/>
      <c r="K155" s="20"/>
      <c r="L155" s="20"/>
      <c r="M155" s="20"/>
      <c r="N155" s="20"/>
      <c r="O155" s="20"/>
      <c r="P155" s="20"/>
    </row>
    <row r="156" spans="1:16">
      <c r="A156" s="20"/>
      <c r="B156" s="64"/>
      <c r="C156" s="20"/>
      <c r="D156" s="20"/>
      <c r="E156" s="20"/>
      <c r="F156" s="64"/>
      <c r="G156" s="64"/>
      <c r="H156" s="64"/>
      <c r="I156" s="20"/>
      <c r="J156" s="20"/>
      <c r="K156" s="20"/>
      <c r="L156" s="20"/>
      <c r="M156" s="20"/>
      <c r="N156" s="20"/>
      <c r="O156" s="20"/>
      <c r="P156" s="20"/>
    </row>
    <row r="157" spans="1:16">
      <c r="A157" s="20"/>
      <c r="B157" s="64"/>
      <c r="C157" s="20"/>
      <c r="D157" s="20"/>
      <c r="E157" s="20"/>
      <c r="F157" s="64"/>
      <c r="G157" s="64"/>
      <c r="H157" s="64"/>
      <c r="I157" s="20"/>
      <c r="J157" s="20"/>
      <c r="K157" s="20"/>
      <c r="L157" s="20"/>
      <c r="M157" s="20"/>
      <c r="N157" s="20"/>
      <c r="O157" s="20"/>
      <c r="P157" s="20"/>
    </row>
    <row r="158" spans="1:16">
      <c r="A158" s="20"/>
      <c r="B158" s="64"/>
      <c r="C158" s="20"/>
      <c r="D158" s="20"/>
      <c r="E158" s="20"/>
      <c r="F158" s="64"/>
      <c r="G158" s="64"/>
      <c r="H158" s="64"/>
      <c r="I158" s="20"/>
      <c r="J158" s="20"/>
      <c r="K158" s="20"/>
      <c r="L158" s="20"/>
      <c r="M158" s="20"/>
      <c r="N158" s="20"/>
      <c r="O158" s="20"/>
      <c r="P158" s="20"/>
    </row>
    <row r="159" spans="1:16">
      <c r="A159" s="20"/>
      <c r="B159" s="64"/>
      <c r="C159" s="20"/>
      <c r="D159" s="20"/>
      <c r="E159" s="20"/>
      <c r="F159" s="64"/>
      <c r="G159" s="64"/>
      <c r="H159" s="64"/>
      <c r="I159" s="20"/>
      <c r="J159" s="20"/>
      <c r="K159" s="20"/>
      <c r="L159" s="20"/>
      <c r="M159" s="20"/>
      <c r="N159" s="20"/>
      <c r="O159" s="20"/>
      <c r="P159" s="20"/>
    </row>
    <row r="160" spans="1:16">
      <c r="A160" s="20"/>
      <c r="B160" s="64"/>
      <c r="C160" s="20"/>
      <c r="D160" s="20"/>
      <c r="E160" s="20"/>
      <c r="F160" s="64"/>
      <c r="G160" s="64"/>
      <c r="H160" s="64"/>
      <c r="I160" s="20"/>
      <c r="J160" s="20"/>
      <c r="K160" s="20"/>
      <c r="L160" s="20"/>
      <c r="M160" s="20"/>
      <c r="N160" s="20"/>
      <c r="O160" s="20"/>
      <c r="P160" s="20"/>
    </row>
    <row r="161" spans="1:16">
      <c r="A161" s="20"/>
      <c r="B161" s="64"/>
      <c r="C161" s="20"/>
      <c r="D161" s="20"/>
      <c r="E161" s="20"/>
      <c r="F161" s="64"/>
      <c r="G161" s="64"/>
      <c r="H161" s="64"/>
      <c r="I161" s="20"/>
      <c r="J161" s="20"/>
      <c r="K161" s="20"/>
      <c r="L161" s="20"/>
      <c r="M161" s="20"/>
      <c r="N161" s="20"/>
      <c r="O161" s="20"/>
      <c r="P161" s="20"/>
    </row>
    <row r="162" spans="1:16">
      <c r="A162" s="20"/>
      <c r="B162" s="64"/>
      <c r="C162" s="20"/>
      <c r="D162" s="20"/>
      <c r="E162" s="20"/>
      <c r="F162" s="64"/>
      <c r="G162" s="64"/>
      <c r="H162" s="64"/>
      <c r="I162" s="20"/>
      <c r="J162" s="20"/>
      <c r="K162" s="20"/>
      <c r="L162" s="20"/>
      <c r="M162" s="20"/>
      <c r="N162" s="20"/>
      <c r="O162" s="20"/>
      <c r="P162" s="20"/>
    </row>
    <row r="163" spans="1:16">
      <c r="A163" s="20"/>
      <c r="B163" s="64"/>
      <c r="C163" s="20"/>
      <c r="D163" s="20"/>
      <c r="E163" s="20"/>
      <c r="F163" s="64"/>
      <c r="G163" s="64"/>
      <c r="H163" s="64"/>
      <c r="I163" s="20"/>
      <c r="J163" s="20"/>
      <c r="K163" s="20"/>
      <c r="L163" s="20"/>
      <c r="M163" s="20"/>
      <c r="N163" s="20"/>
      <c r="O163" s="20"/>
      <c r="P163" s="20"/>
    </row>
    <row r="164" spans="1:16">
      <c r="A164" s="20"/>
      <c r="B164" s="64"/>
      <c r="C164" s="20"/>
      <c r="D164" s="20"/>
      <c r="E164" s="20"/>
      <c r="F164" s="64"/>
      <c r="G164" s="64"/>
      <c r="H164" s="64"/>
      <c r="I164" s="20"/>
      <c r="J164" s="20"/>
      <c r="K164" s="20"/>
      <c r="L164" s="20"/>
      <c r="M164" s="20"/>
      <c r="N164" s="20"/>
      <c r="O164" s="20"/>
      <c r="P164" s="20"/>
    </row>
    <row r="165" spans="1:16">
      <c r="A165" s="20"/>
      <c r="B165" s="64"/>
      <c r="C165" s="20"/>
      <c r="D165" s="20"/>
      <c r="E165" s="20"/>
      <c r="F165" s="64"/>
      <c r="G165" s="64"/>
      <c r="H165" s="64"/>
      <c r="I165" s="20"/>
      <c r="J165" s="20"/>
      <c r="K165" s="20"/>
      <c r="L165" s="20"/>
      <c r="M165" s="20"/>
      <c r="N165" s="20"/>
      <c r="O165" s="20"/>
      <c r="P165" s="20"/>
    </row>
    <row r="166" spans="1:16">
      <c r="A166" s="20"/>
      <c r="B166" s="64"/>
      <c r="C166" s="20"/>
      <c r="D166" s="20"/>
      <c r="E166" s="20"/>
      <c r="F166" s="64"/>
      <c r="G166" s="64"/>
      <c r="H166" s="64"/>
      <c r="I166" s="20"/>
      <c r="J166" s="20"/>
      <c r="K166" s="20"/>
      <c r="L166" s="20"/>
      <c r="M166" s="20"/>
      <c r="N166" s="20"/>
      <c r="O166" s="20"/>
      <c r="P166" s="20"/>
    </row>
    <row r="167" spans="1:16">
      <c r="A167" s="20"/>
      <c r="B167" s="64"/>
      <c r="C167" s="20"/>
      <c r="D167" s="20"/>
      <c r="E167" s="20"/>
      <c r="F167" s="64"/>
      <c r="G167" s="64"/>
      <c r="H167" s="64"/>
      <c r="I167" s="20"/>
      <c r="J167" s="20"/>
      <c r="K167" s="20"/>
      <c r="L167" s="20"/>
      <c r="M167" s="20"/>
      <c r="N167" s="20"/>
      <c r="O167" s="20"/>
      <c r="P167" s="20"/>
    </row>
    <row r="168" spans="1:16">
      <c r="A168" s="20"/>
      <c r="B168" s="64"/>
      <c r="C168" s="20"/>
      <c r="D168" s="20"/>
      <c r="E168" s="20"/>
      <c r="F168" s="64"/>
      <c r="G168" s="64"/>
      <c r="H168" s="64"/>
      <c r="I168" s="20"/>
      <c r="J168" s="20"/>
      <c r="K168" s="20"/>
      <c r="L168" s="20"/>
      <c r="M168" s="20"/>
      <c r="N168" s="20"/>
      <c r="O168" s="20"/>
      <c r="P168" s="20"/>
    </row>
    <row r="169" spans="1:16">
      <c r="A169" s="20"/>
      <c r="B169" s="64"/>
      <c r="C169" s="20"/>
      <c r="D169" s="20"/>
      <c r="E169" s="20"/>
      <c r="F169" s="64"/>
      <c r="G169" s="64"/>
      <c r="H169" s="64"/>
      <c r="I169" s="20"/>
      <c r="J169" s="20"/>
      <c r="K169" s="20"/>
      <c r="L169" s="20"/>
      <c r="M169" s="20"/>
      <c r="N169" s="20"/>
      <c r="O169" s="20"/>
      <c r="P169" s="20"/>
    </row>
    <row r="170" spans="1:16">
      <c r="A170" s="20"/>
      <c r="B170" s="64"/>
      <c r="C170" s="20"/>
      <c r="D170" s="20"/>
      <c r="E170" s="20"/>
      <c r="F170" s="64"/>
      <c r="G170" s="64"/>
      <c r="H170" s="64"/>
      <c r="I170" s="20"/>
      <c r="J170" s="20"/>
      <c r="K170" s="20"/>
      <c r="L170" s="20"/>
      <c r="M170" s="20"/>
      <c r="N170" s="20"/>
      <c r="O170" s="20"/>
      <c r="P170" s="20"/>
    </row>
    <row r="171" spans="1:16">
      <c r="A171" s="20"/>
      <c r="B171" s="64"/>
      <c r="C171" s="20"/>
      <c r="D171" s="20"/>
      <c r="E171" s="20"/>
      <c r="F171" s="64"/>
      <c r="G171" s="64"/>
      <c r="H171" s="64"/>
      <c r="I171" s="20"/>
      <c r="J171" s="20"/>
      <c r="K171" s="20"/>
      <c r="L171" s="20"/>
      <c r="M171" s="20"/>
      <c r="N171" s="20"/>
      <c r="O171" s="20"/>
      <c r="P171" s="20"/>
    </row>
    <row r="172" spans="1:16">
      <c r="A172" s="20"/>
      <c r="B172" s="64"/>
      <c r="C172" s="20"/>
      <c r="D172" s="20"/>
      <c r="E172" s="20"/>
      <c r="F172" s="64"/>
      <c r="G172" s="64"/>
      <c r="H172" s="64"/>
      <c r="I172" s="20"/>
      <c r="J172" s="20"/>
      <c r="K172" s="20"/>
      <c r="L172" s="20"/>
      <c r="M172" s="20"/>
      <c r="N172" s="20"/>
      <c r="O172" s="20"/>
      <c r="P172" s="20"/>
    </row>
    <row r="173" spans="1:16">
      <c r="A173" s="20"/>
      <c r="B173" s="64"/>
      <c r="C173" s="20"/>
      <c r="D173" s="20"/>
      <c r="E173" s="20"/>
      <c r="F173" s="64"/>
      <c r="G173" s="64"/>
      <c r="H173" s="64"/>
      <c r="I173" s="20"/>
      <c r="J173" s="20"/>
      <c r="K173" s="20"/>
      <c r="L173" s="20"/>
      <c r="M173" s="20"/>
      <c r="N173" s="20"/>
      <c r="O173" s="20"/>
      <c r="P173" s="20"/>
    </row>
    <row r="174" spans="1:16">
      <c r="A174" s="20"/>
      <c r="B174" s="64"/>
      <c r="C174" s="20"/>
      <c r="D174" s="20"/>
      <c r="E174" s="20"/>
      <c r="F174" s="64"/>
      <c r="G174" s="64"/>
      <c r="H174" s="64"/>
      <c r="I174" s="20"/>
      <c r="J174" s="20"/>
      <c r="K174" s="20"/>
      <c r="L174" s="20"/>
      <c r="M174" s="20"/>
      <c r="N174" s="20"/>
      <c r="O174" s="20"/>
      <c r="P174" s="20"/>
    </row>
    <row r="175" spans="1:16">
      <c r="A175" s="20"/>
      <c r="B175" s="64"/>
      <c r="C175" s="20"/>
      <c r="D175" s="20"/>
      <c r="E175" s="20"/>
      <c r="F175" s="64"/>
      <c r="G175" s="64"/>
      <c r="H175" s="64"/>
      <c r="I175" s="20"/>
      <c r="J175" s="20"/>
      <c r="K175" s="20"/>
      <c r="L175" s="20"/>
      <c r="M175" s="20"/>
      <c r="N175" s="20"/>
      <c r="O175" s="20"/>
      <c r="P175" s="20"/>
    </row>
    <row r="176" spans="1:16">
      <c r="A176" s="20"/>
      <c r="B176" s="64"/>
      <c r="C176" s="20"/>
      <c r="D176" s="20"/>
      <c r="E176" s="20"/>
      <c r="F176" s="64"/>
      <c r="G176" s="64"/>
      <c r="H176" s="64"/>
      <c r="I176" s="20"/>
      <c r="J176" s="20"/>
      <c r="K176" s="20"/>
      <c r="L176" s="20"/>
      <c r="M176" s="20"/>
      <c r="N176" s="20"/>
      <c r="O176" s="20"/>
      <c r="P176" s="20"/>
    </row>
    <row r="177" spans="1:16">
      <c r="A177" s="20"/>
      <c r="B177" s="64"/>
      <c r="C177" s="20"/>
      <c r="D177" s="20"/>
      <c r="E177" s="20"/>
      <c r="F177" s="64"/>
      <c r="G177" s="64"/>
      <c r="H177" s="64"/>
      <c r="I177" s="20"/>
      <c r="J177" s="20"/>
      <c r="K177" s="20"/>
      <c r="L177" s="20"/>
      <c r="M177" s="20"/>
      <c r="N177" s="20"/>
      <c r="O177" s="20"/>
      <c r="P177" s="20"/>
    </row>
    <row r="178" spans="1:16">
      <c r="A178" s="20"/>
      <c r="B178" s="64"/>
      <c r="C178" s="20"/>
      <c r="D178" s="20"/>
      <c r="E178" s="20"/>
      <c r="F178" s="64"/>
      <c r="G178" s="64"/>
      <c r="H178" s="64"/>
      <c r="I178" s="20"/>
      <c r="J178" s="20"/>
      <c r="K178" s="20"/>
      <c r="L178" s="20"/>
      <c r="M178" s="20"/>
      <c r="N178" s="20"/>
      <c r="O178" s="20"/>
      <c r="P178" s="20"/>
    </row>
    <row r="179" spans="1:16">
      <c r="A179" s="20"/>
      <c r="B179" s="64"/>
      <c r="C179" s="20"/>
      <c r="D179" s="20"/>
      <c r="E179" s="20"/>
      <c r="F179" s="64"/>
      <c r="G179" s="64"/>
      <c r="H179" s="64"/>
      <c r="I179" s="20"/>
      <c r="J179" s="20"/>
      <c r="K179" s="20"/>
      <c r="L179" s="20"/>
      <c r="M179" s="20"/>
      <c r="N179" s="20"/>
      <c r="O179" s="20"/>
      <c r="P179" s="20"/>
    </row>
  </sheetData>
  <dataConsolidate/>
  <mergeCells count="35">
    <mergeCell ref="J1:N1"/>
    <mergeCell ref="A28:A32"/>
    <mergeCell ref="A49:A50"/>
    <mergeCell ref="A51:A52"/>
    <mergeCell ref="R1:T1"/>
    <mergeCell ref="O6:P8"/>
    <mergeCell ref="O21:P24"/>
    <mergeCell ref="R19:W19"/>
    <mergeCell ref="O33:O35"/>
    <mergeCell ref="P33:P35"/>
    <mergeCell ref="O36:O37"/>
    <mergeCell ref="O4:P5"/>
    <mergeCell ref="O1:P1"/>
    <mergeCell ref="O3:P3"/>
    <mergeCell ref="A33:A35"/>
    <mergeCell ref="A45:A48"/>
    <mergeCell ref="C1:I1"/>
    <mergeCell ref="A4:A5"/>
    <mergeCell ref="A26:A27"/>
    <mergeCell ref="A6:A8"/>
    <mergeCell ref="A9:A13"/>
    <mergeCell ref="A15:A20"/>
    <mergeCell ref="A21:A24"/>
    <mergeCell ref="AA31:AF31"/>
    <mergeCell ref="A55:A56"/>
    <mergeCell ref="A36:A37"/>
    <mergeCell ref="A39:A40"/>
    <mergeCell ref="A41:A43"/>
    <mergeCell ref="O44:P44"/>
    <mergeCell ref="O45:O48"/>
    <mergeCell ref="P45:P48"/>
    <mergeCell ref="O41:P43"/>
    <mergeCell ref="A53:A54"/>
    <mergeCell ref="P36:P37"/>
    <mergeCell ref="R40:W40"/>
  </mergeCells>
  <conditionalFormatting sqref="N3:N56">
    <cfRule type="cellIs" dxfId="84" priority="7" operator="lessThan">
      <formula>0</formula>
    </cfRule>
  </conditionalFormatting>
  <conditionalFormatting sqref="L3:L56">
    <cfRule type="expression" dxfId="83" priority="6">
      <formula>(L3&lt;E3)</formula>
    </cfRule>
  </conditionalFormatting>
  <conditionalFormatting sqref="X57:AC61 Y50:AC56">
    <cfRule type="cellIs" dxfId="82" priority="5" operator="greaterThan">
      <formula>0</formula>
    </cfRule>
  </conditionalFormatting>
  <conditionalFormatting sqref="X68:AC79">
    <cfRule type="cellIs" dxfId="81" priority="4" operator="greaterThan">
      <formula>0</formula>
    </cfRule>
  </conditionalFormatting>
  <conditionalFormatting sqref="S21:X32">
    <cfRule type="cellIs" dxfId="80" priority="3" operator="greaterThan">
      <formula>0</formula>
    </cfRule>
  </conditionalFormatting>
  <conditionalFormatting sqref="S42:X53">
    <cfRule type="cellIs" dxfId="79" priority="2" operator="greaterThan">
      <formula>0</formula>
    </cfRule>
  </conditionalFormatting>
  <conditionalFormatting sqref="AB33:AG44">
    <cfRule type="cellIs" dxfId="78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79"/>
  <sheetViews>
    <sheetView topLeftCell="Q10" zoomScaleNormal="100" workbookViewId="0">
      <selection activeCell="Y54" sqref="Y54"/>
    </sheetView>
  </sheetViews>
  <sheetFormatPr defaultColWidth="9" defaultRowHeight="12.75"/>
  <cols>
    <col min="1" max="1" width="13.42578125" style="5" customWidth="1"/>
    <col min="2" max="2" width="22.7109375" style="63" customWidth="1"/>
    <col min="3" max="3" width="26.7109375" style="59" customWidth="1"/>
    <col min="4" max="4" width="16.85546875" style="59" customWidth="1"/>
    <col min="5" max="5" width="16.7109375" style="62" customWidth="1"/>
    <col min="6" max="8" width="23.7109375" style="61" customWidth="1"/>
    <col min="9" max="9" width="16.140625" style="59" customWidth="1"/>
    <col min="10" max="10" width="28.85546875" style="59" customWidth="1"/>
    <col min="11" max="11" width="17.7109375" style="59" customWidth="1"/>
    <col min="12" max="12" width="16.140625" style="59" customWidth="1"/>
    <col min="13" max="13" width="17.7109375" style="59" customWidth="1"/>
    <col min="14" max="14" width="23.28515625" style="59" customWidth="1"/>
    <col min="15" max="15" width="26.42578125" style="59" customWidth="1"/>
    <col min="16" max="16" width="30.7109375" style="59" customWidth="1"/>
    <col min="17" max="17" width="23" style="58" customWidth="1"/>
    <col min="18" max="18" width="22.85546875" style="5" customWidth="1"/>
    <col min="19" max="19" width="23.7109375" style="5" customWidth="1"/>
    <col min="20" max="20" width="21.5703125" style="5" customWidth="1"/>
    <col min="21" max="26" width="9" style="5"/>
    <col min="27" max="27" width="12.42578125" style="5" customWidth="1"/>
    <col min="28" max="28" width="11.7109375" style="5" customWidth="1"/>
    <col min="29" max="29" width="11.85546875" style="5" customWidth="1"/>
    <col min="30" max="30" width="10.85546875" style="5" customWidth="1"/>
    <col min="31" max="31" width="11.7109375" style="5" customWidth="1"/>
    <col min="32" max="16384" width="9" style="5"/>
  </cols>
  <sheetData>
    <row r="1" spans="1:25" ht="14.25" customHeight="1">
      <c r="A1" s="388"/>
      <c r="B1" s="200"/>
      <c r="C1" s="516" t="s">
        <v>453</v>
      </c>
      <c r="D1" s="517"/>
      <c r="E1" s="517"/>
      <c r="F1" s="517"/>
      <c r="G1" s="517"/>
      <c r="H1" s="517"/>
      <c r="I1" s="518"/>
      <c r="J1" s="521" t="s">
        <v>452</v>
      </c>
      <c r="K1" s="522"/>
      <c r="L1" s="522"/>
      <c r="M1" s="522"/>
      <c r="N1" s="522"/>
      <c r="O1" s="530" t="s">
        <v>520</v>
      </c>
      <c r="P1" s="531"/>
      <c r="R1" s="532"/>
      <c r="S1" s="532"/>
      <c r="T1" s="532"/>
    </row>
    <row r="2" spans="1:25" ht="14.25" customHeight="1" thickBot="1">
      <c r="A2" s="388" t="s">
        <v>451</v>
      </c>
      <c r="B2" s="198" t="s">
        <v>450</v>
      </c>
      <c r="C2" s="197" t="s">
        <v>449</v>
      </c>
      <c r="D2" s="196" t="s">
        <v>34</v>
      </c>
      <c r="E2" s="196" t="s">
        <v>33</v>
      </c>
      <c r="F2" s="196" t="s">
        <v>448</v>
      </c>
      <c r="G2" s="196" t="s">
        <v>460</v>
      </c>
      <c r="H2" s="196" t="s">
        <v>461</v>
      </c>
      <c r="I2" s="195" t="s">
        <v>445</v>
      </c>
      <c r="J2" s="194" t="s">
        <v>447</v>
      </c>
      <c r="K2" s="194" t="s">
        <v>34</v>
      </c>
      <c r="L2" s="194" t="s">
        <v>33</v>
      </c>
      <c r="M2" s="193" t="s">
        <v>446</v>
      </c>
      <c r="N2" s="192" t="s">
        <v>445</v>
      </c>
      <c r="O2" s="191" t="s">
        <v>444</v>
      </c>
      <c r="P2" s="190" t="s">
        <v>443</v>
      </c>
      <c r="R2" s="390"/>
      <c r="S2" s="390"/>
      <c r="T2" s="390"/>
    </row>
    <row r="3" spans="1:25" ht="15" customHeight="1" thickBot="1">
      <c r="A3" s="164" t="s">
        <v>439</v>
      </c>
      <c r="B3" s="186" t="s">
        <v>438</v>
      </c>
      <c r="C3" s="185" t="s">
        <v>437</v>
      </c>
      <c r="D3" s="184">
        <v>386.9</v>
      </c>
      <c r="E3" s="184">
        <v>200</v>
      </c>
      <c r="F3" s="184">
        <v>131.95400000000001</v>
      </c>
      <c r="G3" s="184">
        <v>0.5</v>
      </c>
      <c r="H3" s="184">
        <f>G3*F3</f>
        <v>65.977000000000004</v>
      </c>
      <c r="I3" s="183">
        <f>E3-H3</f>
        <v>134.023</v>
      </c>
      <c r="J3" s="182" t="s">
        <v>436</v>
      </c>
      <c r="K3" s="182">
        <v>598.85</v>
      </c>
      <c r="L3" s="182">
        <v>150</v>
      </c>
      <c r="M3" s="181">
        <f t="shared" ref="M3:M13" si="0">F3</f>
        <v>131.95400000000001</v>
      </c>
      <c r="N3" s="180">
        <f>L3-H3</f>
        <v>84.022999999999996</v>
      </c>
      <c r="O3" s="512" t="s">
        <v>351</v>
      </c>
      <c r="P3" s="513"/>
      <c r="R3" s="388"/>
      <c r="S3" s="388"/>
      <c r="T3" s="388"/>
    </row>
    <row r="4" spans="1:25" ht="15" customHeight="1" thickBot="1">
      <c r="A4" s="497" t="s">
        <v>44</v>
      </c>
      <c r="B4" s="179" t="s">
        <v>3</v>
      </c>
      <c r="C4" s="178" t="s">
        <v>44</v>
      </c>
      <c r="D4" s="177">
        <v>424.31</v>
      </c>
      <c r="E4" s="177">
        <v>200</v>
      </c>
      <c r="F4" s="177">
        <v>79.758499999999998</v>
      </c>
      <c r="G4" s="184">
        <v>0.5</v>
      </c>
      <c r="H4" s="184">
        <f t="shared" ref="H4:H56" si="1">G4*F4</f>
        <v>39.879249999999999</v>
      </c>
      <c r="I4" s="183">
        <f t="shared" ref="I4:I13" si="2">E4-H4</f>
        <v>160.12074999999999</v>
      </c>
      <c r="J4" s="176" t="s">
        <v>435</v>
      </c>
      <c r="K4" s="176">
        <v>561.44000000000005</v>
      </c>
      <c r="L4" s="176">
        <v>150</v>
      </c>
      <c r="M4" s="175">
        <f t="shared" si="0"/>
        <v>79.758499999999998</v>
      </c>
      <c r="N4" s="180">
        <f t="shared" ref="N4:N13" si="3">L4-H4</f>
        <v>110.12075</v>
      </c>
      <c r="O4" s="508" t="s">
        <v>351</v>
      </c>
      <c r="P4" s="509"/>
      <c r="R4" s="523" t="s">
        <v>504</v>
      </c>
      <c r="S4" s="524"/>
      <c r="T4" s="525"/>
      <c r="W4" s="383" t="s">
        <v>476</v>
      </c>
      <c r="X4" s="383" t="s">
        <v>477</v>
      </c>
      <c r="Y4" s="345" t="s">
        <v>485</v>
      </c>
    </row>
    <row r="5" spans="1:25" ht="14.25" customHeight="1" thickBot="1">
      <c r="A5" s="498"/>
      <c r="B5" s="174" t="s">
        <v>25</v>
      </c>
      <c r="C5" s="114" t="s">
        <v>65</v>
      </c>
      <c r="D5" s="94">
        <v>645.40499999999997</v>
      </c>
      <c r="E5" s="94">
        <v>150</v>
      </c>
      <c r="F5" s="93">
        <v>101.52370000000001</v>
      </c>
      <c r="G5" s="184">
        <v>0.5</v>
      </c>
      <c r="H5" s="184">
        <f t="shared" si="1"/>
        <v>50.761850000000003</v>
      </c>
      <c r="I5" s="183">
        <f t="shared" si="2"/>
        <v>99.23814999999999</v>
      </c>
      <c r="J5" s="92" t="s">
        <v>430</v>
      </c>
      <c r="K5" s="92">
        <v>691.82</v>
      </c>
      <c r="L5" s="92">
        <v>150</v>
      </c>
      <c r="M5" s="91">
        <f t="shared" si="0"/>
        <v>101.52370000000001</v>
      </c>
      <c r="N5" s="180">
        <f t="shared" si="3"/>
        <v>99.23814999999999</v>
      </c>
      <c r="O5" s="512"/>
      <c r="P5" s="513"/>
      <c r="R5" s="90"/>
      <c r="S5" s="390"/>
      <c r="T5" s="99"/>
      <c r="W5" s="61" t="s">
        <v>471</v>
      </c>
      <c r="X5" s="61">
        <v>100</v>
      </c>
      <c r="Y5" s="62">
        <v>15</v>
      </c>
    </row>
    <row r="6" spans="1:25" ht="14.25" customHeight="1" thickBot="1">
      <c r="A6" s="497" t="s">
        <v>434</v>
      </c>
      <c r="B6" s="87" t="s">
        <v>433</v>
      </c>
      <c r="C6" s="86" t="s">
        <v>392</v>
      </c>
      <c r="D6" s="85">
        <v>774.56</v>
      </c>
      <c r="E6" s="85">
        <v>450</v>
      </c>
      <c r="F6" s="85">
        <v>593.39</v>
      </c>
      <c r="G6" s="184">
        <v>0.5</v>
      </c>
      <c r="H6" s="184">
        <f t="shared" si="1"/>
        <v>296.69499999999999</v>
      </c>
      <c r="I6" s="183">
        <f t="shared" si="2"/>
        <v>153.30500000000001</v>
      </c>
      <c r="J6" s="83" t="s">
        <v>432</v>
      </c>
      <c r="K6" s="83">
        <v>778.62</v>
      </c>
      <c r="L6" s="83">
        <v>450</v>
      </c>
      <c r="M6" s="82">
        <f t="shared" si="0"/>
        <v>593.39</v>
      </c>
      <c r="N6" s="180">
        <f t="shared" si="3"/>
        <v>153.30500000000001</v>
      </c>
      <c r="O6" s="508" t="s">
        <v>351</v>
      </c>
      <c r="P6" s="509"/>
      <c r="R6" s="138" t="s">
        <v>390</v>
      </c>
      <c r="S6" s="137" t="s">
        <v>389</v>
      </c>
      <c r="T6" s="136" t="s">
        <v>388</v>
      </c>
      <c r="W6" s="346" t="s">
        <v>472</v>
      </c>
      <c r="X6" s="346">
        <v>150</v>
      </c>
      <c r="Y6" s="60">
        <v>16.3689</v>
      </c>
    </row>
    <row r="7" spans="1:25" ht="14.25" customHeight="1" thickBot="1">
      <c r="A7" s="499"/>
      <c r="B7" s="96" t="s">
        <v>4</v>
      </c>
      <c r="C7" s="95" t="s">
        <v>45</v>
      </c>
      <c r="D7" s="108">
        <v>221.095</v>
      </c>
      <c r="E7" s="108">
        <v>250</v>
      </c>
      <c r="F7" s="108">
        <v>165.54</v>
      </c>
      <c r="G7" s="184">
        <v>0.5</v>
      </c>
      <c r="H7" s="184">
        <f t="shared" si="1"/>
        <v>82.77</v>
      </c>
      <c r="I7" s="183">
        <f t="shared" si="2"/>
        <v>167.23000000000002</v>
      </c>
      <c r="J7" s="106" t="s">
        <v>431</v>
      </c>
      <c r="K7" s="106">
        <v>904.18</v>
      </c>
      <c r="L7" s="106">
        <v>150</v>
      </c>
      <c r="M7" s="105">
        <f t="shared" si="0"/>
        <v>165.54</v>
      </c>
      <c r="N7" s="180">
        <f t="shared" si="3"/>
        <v>67.23</v>
      </c>
      <c r="O7" s="510"/>
      <c r="P7" s="511"/>
      <c r="R7" s="133" t="s">
        <v>384</v>
      </c>
      <c r="S7" s="132">
        <v>11</v>
      </c>
      <c r="T7" s="99">
        <f>S7/400*100</f>
        <v>2.75</v>
      </c>
      <c r="W7" s="346" t="s">
        <v>473</v>
      </c>
      <c r="X7" s="346">
        <v>200</v>
      </c>
      <c r="Y7" s="60">
        <v>16.746700000000001</v>
      </c>
    </row>
    <row r="8" spans="1:25" ht="14.25" customHeight="1" thickBot="1">
      <c r="A8" s="499"/>
      <c r="B8" s="96" t="s">
        <v>25</v>
      </c>
      <c r="C8" s="95" t="s">
        <v>65</v>
      </c>
      <c r="D8" s="94">
        <v>645.40499999999997</v>
      </c>
      <c r="E8" s="94">
        <v>150</v>
      </c>
      <c r="F8" s="94">
        <v>101.52370000000001</v>
      </c>
      <c r="G8" s="184">
        <v>0.5</v>
      </c>
      <c r="H8" s="184">
        <f t="shared" si="1"/>
        <v>50.761850000000003</v>
      </c>
      <c r="I8" s="183">
        <f t="shared" si="2"/>
        <v>99.23814999999999</v>
      </c>
      <c r="J8" s="92" t="s">
        <v>430</v>
      </c>
      <c r="K8" s="92">
        <v>691.82</v>
      </c>
      <c r="L8" s="92">
        <v>150</v>
      </c>
      <c r="M8" s="91">
        <f t="shared" si="0"/>
        <v>101.52370000000001</v>
      </c>
      <c r="N8" s="180">
        <f t="shared" si="3"/>
        <v>99.23814999999999</v>
      </c>
      <c r="O8" s="512"/>
      <c r="P8" s="513"/>
      <c r="R8" s="133"/>
      <c r="S8" s="132"/>
      <c r="T8" s="99"/>
      <c r="W8" s="346" t="s">
        <v>474</v>
      </c>
      <c r="X8" s="346">
        <v>250</v>
      </c>
      <c r="Y8" s="60">
        <v>16.886600000000001</v>
      </c>
    </row>
    <row r="9" spans="1:25" ht="14.25" customHeight="1" thickBot="1">
      <c r="A9" s="497" t="s">
        <v>46</v>
      </c>
      <c r="B9" s="87" t="s">
        <v>5</v>
      </c>
      <c r="C9" s="86" t="s">
        <v>46</v>
      </c>
      <c r="D9" s="85">
        <v>87.444999999999993</v>
      </c>
      <c r="E9" s="85">
        <v>300</v>
      </c>
      <c r="F9" s="85">
        <v>330.03719999999998</v>
      </c>
      <c r="G9" s="184">
        <v>0.5</v>
      </c>
      <c r="H9" s="184">
        <f t="shared" si="1"/>
        <v>165.01859999999999</v>
      </c>
      <c r="I9" s="183">
        <f t="shared" si="2"/>
        <v>134.98140000000001</v>
      </c>
      <c r="J9" s="83" t="s">
        <v>429</v>
      </c>
      <c r="K9" s="83">
        <v>243.73500000000001</v>
      </c>
      <c r="L9" s="83">
        <v>250</v>
      </c>
      <c r="M9" s="82">
        <f t="shared" si="0"/>
        <v>330.03719999999998</v>
      </c>
      <c r="N9" s="180">
        <f t="shared" si="3"/>
        <v>84.981400000000008</v>
      </c>
      <c r="O9" s="80"/>
      <c r="P9" s="123"/>
      <c r="R9" s="133" t="s">
        <v>19</v>
      </c>
      <c r="S9" s="132">
        <v>47</v>
      </c>
      <c r="T9" s="99">
        <f>S9/500*100</f>
        <v>9.4</v>
      </c>
      <c r="W9" s="347" t="s">
        <v>475</v>
      </c>
      <c r="X9" s="347">
        <v>400</v>
      </c>
      <c r="Y9" s="326">
        <v>17</v>
      </c>
    </row>
    <row r="10" spans="1:25" ht="14.25" customHeight="1" thickBot="1">
      <c r="A10" s="499"/>
      <c r="B10" s="96" t="s">
        <v>7</v>
      </c>
      <c r="C10" s="95" t="s">
        <v>48</v>
      </c>
      <c r="D10" s="108">
        <v>457.755</v>
      </c>
      <c r="E10" s="108">
        <v>200</v>
      </c>
      <c r="F10" s="108">
        <v>200.11</v>
      </c>
      <c r="G10" s="184">
        <v>0.5</v>
      </c>
      <c r="H10" s="184">
        <f t="shared" si="1"/>
        <v>100.05500000000001</v>
      </c>
      <c r="I10" s="183">
        <f t="shared" si="2"/>
        <v>99.944999999999993</v>
      </c>
      <c r="J10" s="106" t="s">
        <v>428</v>
      </c>
      <c r="K10" s="106">
        <v>614.06500000000005</v>
      </c>
      <c r="L10" s="106">
        <v>150</v>
      </c>
      <c r="M10" s="105">
        <f t="shared" si="0"/>
        <v>200.11</v>
      </c>
      <c r="N10" s="180">
        <f t="shared" si="3"/>
        <v>49.944999999999993</v>
      </c>
      <c r="O10" s="151"/>
      <c r="P10" s="150"/>
      <c r="R10" s="133"/>
      <c r="S10" s="132"/>
      <c r="T10" s="99"/>
    </row>
    <row r="11" spans="1:25" ht="14.25" customHeight="1" thickBot="1">
      <c r="A11" s="499"/>
      <c r="B11" s="96" t="s">
        <v>8</v>
      </c>
      <c r="C11" s="95" t="s">
        <v>74</v>
      </c>
      <c r="D11" s="108">
        <v>632.29</v>
      </c>
      <c r="E11" s="108">
        <v>300</v>
      </c>
      <c r="F11" s="108">
        <v>416.14780000000002</v>
      </c>
      <c r="G11" s="184">
        <v>0.5</v>
      </c>
      <c r="H11" s="184">
        <f t="shared" si="1"/>
        <v>208.07390000000001</v>
      </c>
      <c r="I11" s="183">
        <f t="shared" si="2"/>
        <v>91.926099999999991</v>
      </c>
      <c r="J11" s="106" t="s">
        <v>427</v>
      </c>
      <c r="K11" s="106">
        <v>692.19500000000005</v>
      </c>
      <c r="L11" s="106">
        <v>300</v>
      </c>
      <c r="M11" s="105">
        <f t="shared" si="0"/>
        <v>416.14780000000002</v>
      </c>
      <c r="N11" s="180">
        <f t="shared" si="3"/>
        <v>91.926099999999991</v>
      </c>
      <c r="O11" s="151"/>
      <c r="P11" s="150"/>
      <c r="R11" s="126" t="s">
        <v>369</v>
      </c>
      <c r="S11" s="125">
        <f>SUM(S7:S10)</f>
        <v>58</v>
      </c>
      <c r="T11" s="89"/>
      <c r="U11" s="389"/>
      <c r="V11" s="389"/>
      <c r="W11" s="389"/>
      <c r="X11" s="389"/>
    </row>
    <row r="12" spans="1:25" ht="14.25" customHeight="1" thickBot="1">
      <c r="A12" s="499"/>
      <c r="B12" s="96" t="s">
        <v>12</v>
      </c>
      <c r="C12" s="95" t="s">
        <v>52</v>
      </c>
      <c r="D12" s="108">
        <v>428.91</v>
      </c>
      <c r="E12" s="108">
        <v>200</v>
      </c>
      <c r="F12" s="108">
        <v>320.77999999999997</v>
      </c>
      <c r="G12" s="184">
        <v>0.5</v>
      </c>
      <c r="H12" s="184">
        <f t="shared" si="1"/>
        <v>160.38999999999999</v>
      </c>
      <c r="I12" s="183">
        <f t="shared" si="2"/>
        <v>39.610000000000014</v>
      </c>
      <c r="J12" s="106" t="s">
        <v>421</v>
      </c>
      <c r="K12" s="106">
        <v>440.09</v>
      </c>
      <c r="L12" s="106">
        <v>200</v>
      </c>
      <c r="M12" s="105">
        <f t="shared" si="0"/>
        <v>320.77999999999997</v>
      </c>
      <c r="N12" s="180">
        <f t="shared" si="3"/>
        <v>39.610000000000014</v>
      </c>
      <c r="O12" s="151"/>
      <c r="P12" s="150"/>
      <c r="R12" s="17" t="s">
        <v>365</v>
      </c>
      <c r="S12" s="17">
        <f>S11/8650*100</f>
        <v>0.67052023121387283</v>
      </c>
      <c r="U12" s="534"/>
      <c r="V12" s="534"/>
      <c r="W12" s="389"/>
      <c r="X12" s="389"/>
    </row>
    <row r="13" spans="1:25" ht="14.25" customHeight="1" thickBot="1">
      <c r="A13" s="499"/>
      <c r="B13" s="96" t="s">
        <v>397</v>
      </c>
      <c r="C13" s="95" t="s">
        <v>63</v>
      </c>
      <c r="D13" s="94">
        <v>530.30999999999995</v>
      </c>
      <c r="E13" s="94">
        <v>200</v>
      </c>
      <c r="F13" s="94">
        <v>22.35</v>
      </c>
      <c r="G13" s="184">
        <v>0.5</v>
      </c>
      <c r="H13" s="184">
        <f t="shared" si="1"/>
        <v>11.175000000000001</v>
      </c>
      <c r="I13" s="183">
        <f t="shared" si="2"/>
        <v>188.82499999999999</v>
      </c>
      <c r="J13" s="92" t="s">
        <v>419</v>
      </c>
      <c r="K13" s="92">
        <v>541.49</v>
      </c>
      <c r="L13" s="92">
        <v>150</v>
      </c>
      <c r="M13" s="91">
        <f t="shared" si="0"/>
        <v>22.35</v>
      </c>
      <c r="N13" s="180">
        <f t="shared" si="3"/>
        <v>138.82499999999999</v>
      </c>
      <c r="O13" s="70"/>
      <c r="P13" s="118"/>
      <c r="R13" s="384"/>
      <c r="S13" s="384"/>
      <c r="T13" s="384"/>
      <c r="U13" s="384"/>
      <c r="V13" s="384"/>
      <c r="W13" s="389"/>
      <c r="X13" s="389"/>
    </row>
    <row r="14" spans="1:25" ht="13.5" thickBot="1">
      <c r="A14" s="387" t="s">
        <v>427</v>
      </c>
      <c r="B14" s="87" t="s">
        <v>351</v>
      </c>
      <c r="C14" s="163"/>
      <c r="D14" s="85"/>
      <c r="E14" s="85"/>
      <c r="F14" s="85"/>
      <c r="G14" s="184">
        <v>0.5</v>
      </c>
      <c r="H14" s="184">
        <f t="shared" si="1"/>
        <v>0</v>
      </c>
      <c r="I14" s="84"/>
      <c r="J14" s="83"/>
      <c r="K14" s="83"/>
      <c r="L14" s="83"/>
      <c r="M14" s="82"/>
      <c r="N14" s="100"/>
      <c r="O14" s="162"/>
      <c r="P14" s="385"/>
      <c r="R14" s="389"/>
      <c r="S14" s="389"/>
      <c r="T14" s="18"/>
      <c r="U14" s="389"/>
      <c r="V14" s="389"/>
      <c r="W14" s="389"/>
      <c r="X14" s="389"/>
    </row>
    <row r="15" spans="1:25" ht="14.25" customHeight="1" thickBot="1">
      <c r="A15" s="497" t="s">
        <v>49</v>
      </c>
      <c r="B15" s="87" t="s">
        <v>426</v>
      </c>
      <c r="C15" s="86" t="s">
        <v>47</v>
      </c>
      <c r="D15" s="85">
        <v>341.36500000000001</v>
      </c>
      <c r="E15" s="85">
        <v>400</v>
      </c>
      <c r="F15" s="85">
        <v>414.50749999999999</v>
      </c>
      <c r="G15" s="184">
        <v>0.5</v>
      </c>
      <c r="H15" s="184">
        <f t="shared" si="1"/>
        <v>207.25375</v>
      </c>
      <c r="I15" s="84">
        <f>E15-H15</f>
        <v>192.74625</v>
      </c>
      <c r="J15" s="83" t="s">
        <v>425</v>
      </c>
      <c r="K15" s="83">
        <v>527.53499999999997</v>
      </c>
      <c r="L15" s="83">
        <v>600</v>
      </c>
      <c r="M15" s="82">
        <f t="shared" ref="M15:M24" si="4">F15</f>
        <v>414.50749999999999</v>
      </c>
      <c r="N15" s="100">
        <f>L15-H15</f>
        <v>392.74625000000003</v>
      </c>
      <c r="O15" s="171"/>
      <c r="P15" s="123"/>
      <c r="R15" s="389"/>
      <c r="S15" s="389"/>
      <c r="T15" s="18"/>
      <c r="U15" s="389"/>
      <c r="V15" s="389"/>
      <c r="W15" s="389"/>
      <c r="X15" s="389"/>
    </row>
    <row r="16" spans="1:25" ht="14.25" customHeight="1" thickBot="1">
      <c r="A16" s="499"/>
      <c r="B16" s="96" t="s">
        <v>9</v>
      </c>
      <c r="C16" s="95" t="s">
        <v>424</v>
      </c>
      <c r="D16" s="108">
        <v>72.555000000000007</v>
      </c>
      <c r="E16" s="108">
        <v>300</v>
      </c>
      <c r="F16" s="108">
        <v>249.06020000000001</v>
      </c>
      <c r="G16" s="184">
        <v>0.5</v>
      </c>
      <c r="H16" s="184">
        <f t="shared" si="1"/>
        <v>124.5301</v>
      </c>
      <c r="I16" s="84">
        <f t="shared" ref="I16:I24" si="5">E16-H16</f>
        <v>175.4699</v>
      </c>
      <c r="J16" s="106" t="s">
        <v>423</v>
      </c>
      <c r="K16" s="106">
        <v>258.625</v>
      </c>
      <c r="L16" s="106">
        <v>250</v>
      </c>
      <c r="M16" s="105">
        <f t="shared" si="4"/>
        <v>249.06020000000001</v>
      </c>
      <c r="N16" s="100">
        <f t="shared" ref="N16:N24" si="6">L16-H16</f>
        <v>125.4699</v>
      </c>
      <c r="O16" s="170"/>
      <c r="P16" s="147"/>
      <c r="R16" s="494" t="s">
        <v>538</v>
      </c>
      <c r="S16" s="495"/>
      <c r="T16" s="495"/>
      <c r="U16" s="495"/>
      <c r="V16" s="495"/>
      <c r="W16" s="496"/>
      <c r="X16" s="166"/>
    </row>
    <row r="17" spans="1:30" ht="14.25" customHeight="1" thickBot="1">
      <c r="A17" s="499"/>
      <c r="B17" s="96" t="s">
        <v>10</v>
      </c>
      <c r="C17" s="95" t="s">
        <v>386</v>
      </c>
      <c r="D17" s="108">
        <v>894.93</v>
      </c>
      <c r="E17" s="108">
        <v>150</v>
      </c>
      <c r="F17" s="108">
        <v>185.4342</v>
      </c>
      <c r="G17" s="184">
        <v>0.5</v>
      </c>
      <c r="H17" s="184">
        <f t="shared" si="1"/>
        <v>92.717100000000002</v>
      </c>
      <c r="I17" s="84">
        <f t="shared" si="5"/>
        <v>57.282899999999998</v>
      </c>
      <c r="J17" s="106" t="s">
        <v>385</v>
      </c>
      <c r="K17" s="106">
        <v>975.03499999999997</v>
      </c>
      <c r="L17" s="106">
        <v>150</v>
      </c>
      <c r="M17" s="105">
        <f t="shared" si="4"/>
        <v>185.4342</v>
      </c>
      <c r="N17" s="100">
        <f t="shared" si="6"/>
        <v>57.282899999999998</v>
      </c>
      <c r="O17" s="170"/>
      <c r="P17" s="147"/>
      <c r="R17" s="336" t="s">
        <v>470</v>
      </c>
      <c r="S17" s="337" t="s">
        <v>471</v>
      </c>
      <c r="T17" s="337" t="s">
        <v>472</v>
      </c>
      <c r="U17" s="337" t="s">
        <v>473</v>
      </c>
      <c r="V17" s="338" t="s">
        <v>474</v>
      </c>
      <c r="W17" s="339" t="s">
        <v>527</v>
      </c>
      <c r="X17" s="340" t="s">
        <v>418</v>
      </c>
    </row>
    <row r="18" spans="1:30" ht="14.25" customHeight="1" thickBot="1">
      <c r="A18" s="499"/>
      <c r="B18" s="96" t="s">
        <v>11</v>
      </c>
      <c r="C18" s="95" t="s">
        <v>378</v>
      </c>
      <c r="D18" s="108">
        <v>839.23</v>
      </c>
      <c r="E18" s="108">
        <v>150</v>
      </c>
      <c r="F18" s="108">
        <v>213.84829999999999</v>
      </c>
      <c r="G18" s="184">
        <v>0.5</v>
      </c>
      <c r="H18" s="184">
        <f t="shared" si="1"/>
        <v>106.92415</v>
      </c>
      <c r="I18" s="84">
        <f t="shared" si="5"/>
        <v>43.075850000000003</v>
      </c>
      <c r="J18" s="106" t="s">
        <v>422</v>
      </c>
      <c r="K18" s="106">
        <v>1025.3</v>
      </c>
      <c r="L18" s="106">
        <v>150</v>
      </c>
      <c r="M18" s="105">
        <f t="shared" si="4"/>
        <v>213.84829999999999</v>
      </c>
      <c r="N18" s="100">
        <f t="shared" si="6"/>
        <v>43.075850000000003</v>
      </c>
      <c r="O18" s="131"/>
      <c r="P18" s="147"/>
      <c r="R18" s="60" t="s">
        <v>84</v>
      </c>
      <c r="S18" s="341">
        <v>0</v>
      </c>
      <c r="T18" s="341">
        <v>0</v>
      </c>
      <c r="U18" s="342">
        <v>0</v>
      </c>
      <c r="V18" s="342">
        <v>0</v>
      </c>
      <c r="W18" s="343">
        <v>0</v>
      </c>
      <c r="X18" s="344">
        <f>SUM(S18:W18)</f>
        <v>0</v>
      </c>
    </row>
    <row r="19" spans="1:30" ht="14.25" customHeight="1" thickBot="1">
      <c r="A19" s="499"/>
      <c r="B19" s="96" t="s">
        <v>12</v>
      </c>
      <c r="C19" s="95" t="s">
        <v>52</v>
      </c>
      <c r="D19" s="108">
        <v>428.91</v>
      </c>
      <c r="E19" s="108">
        <v>200</v>
      </c>
      <c r="F19" s="108">
        <v>320.7817</v>
      </c>
      <c r="G19" s="184">
        <v>0.5</v>
      </c>
      <c r="H19" s="184">
        <f t="shared" si="1"/>
        <v>160.39085</v>
      </c>
      <c r="I19" s="84">
        <f t="shared" si="5"/>
        <v>39.60915</v>
      </c>
      <c r="J19" s="106" t="s">
        <v>421</v>
      </c>
      <c r="K19" s="106">
        <v>440.09</v>
      </c>
      <c r="L19" s="106">
        <v>200</v>
      </c>
      <c r="M19" s="105">
        <f t="shared" si="4"/>
        <v>320.7817</v>
      </c>
      <c r="N19" s="100">
        <f t="shared" si="6"/>
        <v>39.60915</v>
      </c>
      <c r="O19" s="131"/>
      <c r="P19" s="147"/>
      <c r="R19" s="60" t="s">
        <v>85</v>
      </c>
      <c r="S19" s="341">
        <v>0</v>
      </c>
      <c r="T19" s="341">
        <v>0</v>
      </c>
      <c r="U19" s="341">
        <v>0</v>
      </c>
      <c r="V19" s="341">
        <v>0</v>
      </c>
      <c r="W19" s="343">
        <v>0</v>
      </c>
      <c r="X19" s="60">
        <f t="shared" ref="X19:X29" si="7">SUM(S19:W19)</f>
        <v>0</v>
      </c>
    </row>
    <row r="20" spans="1:30" ht="14.25" customHeight="1" thickBot="1">
      <c r="A20" s="499"/>
      <c r="B20" s="96" t="s">
        <v>420</v>
      </c>
      <c r="C20" s="95" t="s">
        <v>412</v>
      </c>
      <c r="D20" s="94">
        <v>530.30999999999995</v>
      </c>
      <c r="E20" s="94">
        <v>200</v>
      </c>
      <c r="F20" s="94">
        <v>22.35</v>
      </c>
      <c r="G20" s="184">
        <v>0.5</v>
      </c>
      <c r="H20" s="184">
        <f t="shared" si="1"/>
        <v>11.175000000000001</v>
      </c>
      <c r="I20" s="84">
        <f t="shared" si="5"/>
        <v>188.82499999999999</v>
      </c>
      <c r="J20" s="92" t="s">
        <v>419</v>
      </c>
      <c r="K20" s="92">
        <v>541.49</v>
      </c>
      <c r="L20" s="92">
        <v>150</v>
      </c>
      <c r="M20" s="91">
        <f t="shared" si="4"/>
        <v>22.35</v>
      </c>
      <c r="N20" s="100">
        <f t="shared" si="6"/>
        <v>138.82499999999999</v>
      </c>
      <c r="O20" s="167"/>
      <c r="P20" s="118"/>
      <c r="R20" s="60" t="s">
        <v>86</v>
      </c>
      <c r="S20" s="341">
        <v>0</v>
      </c>
      <c r="T20" s="341">
        <v>0</v>
      </c>
      <c r="U20" s="341">
        <v>0</v>
      </c>
      <c r="V20" s="341">
        <v>0</v>
      </c>
      <c r="W20" s="343">
        <v>0</v>
      </c>
      <c r="X20" s="60">
        <f t="shared" si="7"/>
        <v>0</v>
      </c>
    </row>
    <row r="21" spans="1:30" ht="14.25" customHeight="1" thickBot="1">
      <c r="A21" s="497" t="s">
        <v>414</v>
      </c>
      <c r="B21" s="87" t="s">
        <v>7</v>
      </c>
      <c r="C21" s="86" t="s">
        <v>48</v>
      </c>
      <c r="D21" s="85">
        <v>457.755</v>
      </c>
      <c r="E21" s="85">
        <v>200</v>
      </c>
      <c r="F21" s="85">
        <v>200.1122</v>
      </c>
      <c r="G21" s="184">
        <v>0.5</v>
      </c>
      <c r="H21" s="184">
        <f t="shared" si="1"/>
        <v>100.0561</v>
      </c>
      <c r="I21" s="84">
        <f t="shared" si="5"/>
        <v>99.943899999999999</v>
      </c>
      <c r="J21" s="83" t="s">
        <v>417</v>
      </c>
      <c r="K21" s="83">
        <v>733.18499999999995</v>
      </c>
      <c r="L21" s="83">
        <v>150</v>
      </c>
      <c r="M21" s="82">
        <f t="shared" si="4"/>
        <v>200.1122</v>
      </c>
      <c r="N21" s="100">
        <f t="shared" si="6"/>
        <v>49.943899999999999</v>
      </c>
      <c r="O21" s="508" t="s">
        <v>351</v>
      </c>
      <c r="P21" s="509"/>
      <c r="R21" s="60" t="s">
        <v>87</v>
      </c>
      <c r="S21" s="341">
        <v>1</v>
      </c>
      <c r="T21" s="341">
        <v>0</v>
      </c>
      <c r="U21" s="341">
        <v>0</v>
      </c>
      <c r="V21" s="341">
        <v>0</v>
      </c>
      <c r="W21" s="343">
        <v>0</v>
      </c>
      <c r="X21" s="60">
        <f t="shared" si="7"/>
        <v>1</v>
      </c>
    </row>
    <row r="22" spans="1:30" ht="14.25" customHeight="1" thickBot="1">
      <c r="A22" s="499"/>
      <c r="B22" s="96" t="s">
        <v>416</v>
      </c>
      <c r="C22" s="95" t="s">
        <v>74</v>
      </c>
      <c r="D22" s="108">
        <v>632.29</v>
      </c>
      <c r="E22" s="108">
        <v>300</v>
      </c>
      <c r="F22" s="108">
        <v>416.14780000000002</v>
      </c>
      <c r="G22" s="184">
        <v>0.5</v>
      </c>
      <c r="H22" s="184">
        <f t="shared" si="1"/>
        <v>208.07390000000001</v>
      </c>
      <c r="I22" s="84">
        <f t="shared" si="5"/>
        <v>91.926099999999991</v>
      </c>
      <c r="J22" s="106" t="s">
        <v>361</v>
      </c>
      <c r="K22" s="106">
        <v>692.19500000000005</v>
      </c>
      <c r="L22" s="106">
        <v>300</v>
      </c>
      <c r="M22" s="105">
        <f t="shared" si="4"/>
        <v>416.14780000000002</v>
      </c>
      <c r="N22" s="100">
        <f t="shared" si="6"/>
        <v>91.926099999999991</v>
      </c>
      <c r="O22" s="510"/>
      <c r="P22" s="511"/>
      <c r="R22" s="60" t="s">
        <v>88</v>
      </c>
      <c r="S22" s="341">
        <v>1</v>
      </c>
      <c r="T22" s="341">
        <v>0</v>
      </c>
      <c r="U22" s="341">
        <v>0</v>
      </c>
      <c r="V22" s="341">
        <v>0</v>
      </c>
      <c r="W22" s="343">
        <v>0</v>
      </c>
      <c r="X22" s="60">
        <f t="shared" si="7"/>
        <v>1</v>
      </c>
    </row>
    <row r="23" spans="1:30" ht="14.25" customHeight="1" thickBot="1">
      <c r="A23" s="499"/>
      <c r="B23" s="96" t="s">
        <v>415</v>
      </c>
      <c r="C23" s="95" t="s">
        <v>414</v>
      </c>
      <c r="D23" s="108">
        <v>370.31</v>
      </c>
      <c r="E23" s="108">
        <v>200</v>
      </c>
      <c r="F23" s="108">
        <v>24.103000000000002</v>
      </c>
      <c r="G23" s="184">
        <v>0.5</v>
      </c>
      <c r="H23" s="184">
        <f t="shared" si="1"/>
        <v>12.051500000000001</v>
      </c>
      <c r="I23" s="84">
        <f t="shared" si="5"/>
        <v>187.9485</v>
      </c>
      <c r="J23" s="106" t="s">
        <v>413</v>
      </c>
      <c r="K23" s="106">
        <v>820.63</v>
      </c>
      <c r="L23" s="106">
        <v>150</v>
      </c>
      <c r="M23" s="105">
        <f t="shared" si="4"/>
        <v>24.103000000000002</v>
      </c>
      <c r="N23" s="100">
        <f t="shared" si="6"/>
        <v>137.9485</v>
      </c>
      <c r="O23" s="510"/>
      <c r="P23" s="511"/>
      <c r="R23" s="60" t="s">
        <v>89</v>
      </c>
      <c r="S23" s="341">
        <v>0</v>
      </c>
      <c r="T23" s="341">
        <v>0</v>
      </c>
      <c r="U23" s="341">
        <v>0</v>
      </c>
      <c r="V23" s="341">
        <v>0</v>
      </c>
      <c r="W23" s="343">
        <v>0</v>
      </c>
      <c r="X23" s="60">
        <f t="shared" si="7"/>
        <v>0</v>
      </c>
    </row>
    <row r="24" spans="1:30" ht="14.25" customHeight="1" thickBot="1">
      <c r="A24" s="499"/>
      <c r="B24" s="96" t="s">
        <v>397</v>
      </c>
      <c r="C24" s="95" t="s">
        <v>412</v>
      </c>
      <c r="D24" s="94">
        <v>530.30999999999995</v>
      </c>
      <c r="E24" s="94">
        <v>200</v>
      </c>
      <c r="F24" s="94">
        <v>22.35</v>
      </c>
      <c r="G24" s="184">
        <v>0.5</v>
      </c>
      <c r="H24" s="184">
        <f t="shared" si="1"/>
        <v>11.175000000000001</v>
      </c>
      <c r="I24" s="84">
        <f t="shared" si="5"/>
        <v>188.82499999999999</v>
      </c>
      <c r="J24" s="92" t="s">
        <v>411</v>
      </c>
      <c r="K24" s="92">
        <v>660.63</v>
      </c>
      <c r="L24" s="92">
        <v>150</v>
      </c>
      <c r="M24" s="91">
        <f t="shared" si="4"/>
        <v>22.35</v>
      </c>
      <c r="N24" s="100">
        <f t="shared" si="6"/>
        <v>138.82499999999999</v>
      </c>
      <c r="O24" s="512"/>
      <c r="P24" s="513"/>
      <c r="R24" s="60" t="s">
        <v>90</v>
      </c>
      <c r="S24" s="341">
        <v>0</v>
      </c>
      <c r="T24" s="341">
        <v>0</v>
      </c>
      <c r="U24" s="341">
        <v>0</v>
      </c>
      <c r="V24" s="341">
        <v>0</v>
      </c>
      <c r="W24" s="343">
        <v>0</v>
      </c>
      <c r="X24" s="60">
        <f t="shared" si="7"/>
        <v>0</v>
      </c>
    </row>
    <row r="25" spans="1:30" ht="15" customHeight="1" thickBot="1">
      <c r="A25" s="164" t="s">
        <v>410</v>
      </c>
      <c r="B25" s="87" t="s">
        <v>409</v>
      </c>
      <c r="C25" s="163"/>
      <c r="D25" s="85"/>
      <c r="E25" s="85"/>
      <c r="F25" s="85"/>
      <c r="G25" s="184">
        <v>0.5</v>
      </c>
      <c r="H25" s="184">
        <f t="shared" si="1"/>
        <v>0</v>
      </c>
      <c r="I25" s="84"/>
      <c r="J25" s="83"/>
      <c r="K25" s="83"/>
      <c r="L25" s="83"/>
      <c r="M25" s="82"/>
      <c r="N25" s="100"/>
      <c r="O25" s="162"/>
      <c r="P25" s="385"/>
      <c r="R25" s="60" t="s">
        <v>91</v>
      </c>
      <c r="S25" s="341">
        <v>0</v>
      </c>
      <c r="T25" s="341">
        <v>0</v>
      </c>
      <c r="U25" s="343">
        <v>0</v>
      </c>
      <c r="V25" s="343">
        <v>0</v>
      </c>
      <c r="W25" s="343">
        <v>0</v>
      </c>
      <c r="X25" s="60">
        <f t="shared" si="7"/>
        <v>0</v>
      </c>
    </row>
    <row r="26" spans="1:30" ht="13.5" thickBot="1">
      <c r="A26" s="519" t="s">
        <v>408</v>
      </c>
      <c r="B26" s="160" t="s">
        <v>14</v>
      </c>
      <c r="C26" s="86" t="s">
        <v>407</v>
      </c>
      <c r="D26" s="85">
        <v>391.72</v>
      </c>
      <c r="E26" s="84">
        <v>400</v>
      </c>
      <c r="F26" s="85">
        <v>664.51419999999996</v>
      </c>
      <c r="G26" s="184">
        <v>0.5</v>
      </c>
      <c r="H26" s="184">
        <f t="shared" si="1"/>
        <v>332.25709999999998</v>
      </c>
      <c r="I26" s="84">
        <f>E26-H26</f>
        <v>67.74290000000002</v>
      </c>
      <c r="J26" s="83" t="s">
        <v>406</v>
      </c>
      <c r="K26" s="83">
        <v>799.22</v>
      </c>
      <c r="L26" s="83">
        <v>300</v>
      </c>
      <c r="M26" s="82">
        <f t="shared" ref="M26:M56" si="8">F26</f>
        <v>664.51419999999996</v>
      </c>
      <c r="N26" s="81">
        <f>L26-H26</f>
        <v>-32.25709999999998</v>
      </c>
      <c r="O26" s="80" t="s">
        <v>384</v>
      </c>
      <c r="P26" s="123">
        <v>11</v>
      </c>
      <c r="R26" s="60" t="s">
        <v>92</v>
      </c>
      <c r="S26" s="343">
        <v>0</v>
      </c>
      <c r="T26" s="343">
        <v>0</v>
      </c>
      <c r="U26" s="343">
        <v>0</v>
      </c>
      <c r="V26" s="343">
        <v>0</v>
      </c>
      <c r="W26" s="343">
        <v>0</v>
      </c>
      <c r="X26" s="60">
        <f t="shared" si="7"/>
        <v>0</v>
      </c>
    </row>
    <row r="27" spans="1:30" ht="14.25" customHeight="1" thickBot="1">
      <c r="A27" s="520"/>
      <c r="B27" s="75" t="s">
        <v>360</v>
      </c>
      <c r="C27" s="74" t="s">
        <v>55</v>
      </c>
      <c r="D27" s="157">
        <v>566.26</v>
      </c>
      <c r="E27" s="157">
        <v>300</v>
      </c>
      <c r="F27" s="157">
        <v>424.66829999999999</v>
      </c>
      <c r="G27" s="184">
        <v>0.5</v>
      </c>
      <c r="H27" s="184">
        <f t="shared" si="1"/>
        <v>212.33414999999999</v>
      </c>
      <c r="I27" s="84">
        <f t="shared" ref="I27:I56" si="9">E27-H27</f>
        <v>87.665850000000006</v>
      </c>
      <c r="J27" s="156" t="s">
        <v>405</v>
      </c>
      <c r="K27" s="156">
        <v>973.76</v>
      </c>
      <c r="L27" s="156">
        <v>300</v>
      </c>
      <c r="M27" s="71">
        <f t="shared" si="8"/>
        <v>424.66829999999999</v>
      </c>
      <c r="N27" s="81">
        <f t="shared" ref="N27:N56" si="10">L27-H27</f>
        <v>87.665850000000006</v>
      </c>
      <c r="O27" s="155"/>
      <c r="P27" s="154"/>
      <c r="R27" s="60" t="s">
        <v>93</v>
      </c>
      <c r="S27" s="343">
        <v>1</v>
      </c>
      <c r="T27" s="341">
        <v>0</v>
      </c>
      <c r="U27" s="343">
        <v>0</v>
      </c>
      <c r="V27" s="343">
        <v>0</v>
      </c>
      <c r="W27" s="343">
        <v>0</v>
      </c>
      <c r="X27" s="60">
        <f t="shared" si="7"/>
        <v>1</v>
      </c>
      <c r="AB27" s="405" t="s">
        <v>476</v>
      </c>
      <c r="AC27" s="405" t="s">
        <v>477</v>
      </c>
      <c r="AD27" s="345" t="s">
        <v>478</v>
      </c>
    </row>
    <row r="28" spans="1:30" ht="13.5" thickBot="1">
      <c r="A28" s="499" t="s">
        <v>404</v>
      </c>
      <c r="B28" s="63" t="s">
        <v>6</v>
      </c>
      <c r="C28" s="114" t="s">
        <v>47</v>
      </c>
      <c r="D28" s="94">
        <v>341.46499999999997</v>
      </c>
      <c r="E28" s="93">
        <v>400</v>
      </c>
      <c r="F28" s="94">
        <v>414.50749999999999</v>
      </c>
      <c r="G28" s="184">
        <v>0.5</v>
      </c>
      <c r="H28" s="184">
        <f t="shared" si="1"/>
        <v>207.25375</v>
      </c>
      <c r="I28" s="84">
        <f t="shared" si="9"/>
        <v>192.74625</v>
      </c>
      <c r="J28" s="92" t="s">
        <v>403</v>
      </c>
      <c r="K28" s="92">
        <v>849.47500000000002</v>
      </c>
      <c r="L28" s="92">
        <v>400</v>
      </c>
      <c r="M28" s="91">
        <f t="shared" si="8"/>
        <v>414.50749999999999</v>
      </c>
      <c r="N28" s="81">
        <f t="shared" si="10"/>
        <v>192.74625</v>
      </c>
      <c r="O28" s="80" t="s">
        <v>351</v>
      </c>
      <c r="P28" s="123"/>
      <c r="R28" s="60" t="s">
        <v>94</v>
      </c>
      <c r="S28" s="343">
        <v>0</v>
      </c>
      <c r="T28" s="341">
        <v>0</v>
      </c>
      <c r="U28" s="343">
        <v>0</v>
      </c>
      <c r="V28" s="343">
        <v>0</v>
      </c>
      <c r="W28" s="343">
        <v>0</v>
      </c>
      <c r="X28" s="60">
        <f t="shared" si="7"/>
        <v>0</v>
      </c>
      <c r="AB28" s="61" t="s">
        <v>471</v>
      </c>
      <c r="AC28" s="61">
        <v>100</v>
      </c>
      <c r="AD28" s="413">
        <v>15</v>
      </c>
    </row>
    <row r="29" spans="1:30" ht="14.25" customHeight="1" thickBot="1">
      <c r="A29" s="499"/>
      <c r="B29" s="63" t="s">
        <v>402</v>
      </c>
      <c r="C29" s="114" t="s">
        <v>386</v>
      </c>
      <c r="D29" s="94">
        <v>894.93</v>
      </c>
      <c r="E29" s="93">
        <v>150</v>
      </c>
      <c r="F29" s="94">
        <v>185.4342</v>
      </c>
      <c r="G29" s="184">
        <v>0.5</v>
      </c>
      <c r="H29" s="184">
        <f t="shared" si="1"/>
        <v>92.717100000000002</v>
      </c>
      <c r="I29" s="84">
        <f t="shared" si="9"/>
        <v>57.282899999999998</v>
      </c>
      <c r="J29" s="92" t="s">
        <v>385</v>
      </c>
      <c r="K29" s="92">
        <v>975.03499999999997</v>
      </c>
      <c r="L29" s="92">
        <v>150</v>
      </c>
      <c r="M29" s="91">
        <f t="shared" si="8"/>
        <v>185.4342</v>
      </c>
      <c r="N29" s="81">
        <f t="shared" si="10"/>
        <v>57.282899999999998</v>
      </c>
      <c r="O29" s="131"/>
      <c r="P29" s="147"/>
      <c r="R29" s="326" t="s">
        <v>469</v>
      </c>
      <c r="S29" s="348">
        <v>0</v>
      </c>
      <c r="T29" s="348">
        <v>0</v>
      </c>
      <c r="U29" s="348">
        <v>0</v>
      </c>
      <c r="V29" s="348">
        <v>0</v>
      </c>
      <c r="W29" s="348">
        <v>0</v>
      </c>
      <c r="X29" s="326">
        <f t="shared" si="7"/>
        <v>0</v>
      </c>
      <c r="AB29" s="346" t="s">
        <v>472</v>
      </c>
      <c r="AC29" s="346">
        <v>150</v>
      </c>
      <c r="AD29" s="414">
        <v>16.3689</v>
      </c>
    </row>
    <row r="30" spans="1:30" ht="14.25" customHeight="1" thickBot="1">
      <c r="A30" s="499"/>
      <c r="B30" s="96" t="s">
        <v>401</v>
      </c>
      <c r="C30" s="95" t="s">
        <v>378</v>
      </c>
      <c r="D30" s="108">
        <v>839.23</v>
      </c>
      <c r="E30" s="108">
        <v>150</v>
      </c>
      <c r="F30" s="108">
        <v>213.84829999999999</v>
      </c>
      <c r="G30" s="184">
        <v>0.5</v>
      </c>
      <c r="H30" s="184">
        <f t="shared" si="1"/>
        <v>106.92415</v>
      </c>
      <c r="I30" s="84">
        <f t="shared" si="9"/>
        <v>43.075850000000003</v>
      </c>
      <c r="J30" s="106" t="s">
        <v>400</v>
      </c>
      <c r="K30" s="106">
        <v>1347.24</v>
      </c>
      <c r="L30" s="106">
        <v>100</v>
      </c>
      <c r="M30" s="105">
        <f t="shared" si="8"/>
        <v>213.84829999999999</v>
      </c>
      <c r="N30" s="81">
        <f t="shared" si="10"/>
        <v>-6.9241499999999974</v>
      </c>
      <c r="O30" s="151"/>
      <c r="P30" s="150"/>
      <c r="R30" s="340" t="s">
        <v>479</v>
      </c>
      <c r="S30" s="349">
        <f t="shared" ref="S30:X30" si="11">SUM(S18:S29)</f>
        <v>3</v>
      </c>
      <c r="T30" s="349">
        <f t="shared" si="11"/>
        <v>0</v>
      </c>
      <c r="U30" s="349">
        <f t="shared" si="11"/>
        <v>0</v>
      </c>
      <c r="V30" s="349">
        <f t="shared" si="11"/>
        <v>0</v>
      </c>
      <c r="W30" s="349">
        <f t="shared" si="11"/>
        <v>0</v>
      </c>
      <c r="X30" s="350">
        <f t="shared" si="11"/>
        <v>3</v>
      </c>
      <c r="AB30" s="346" t="s">
        <v>473</v>
      </c>
      <c r="AC30" s="346">
        <v>200</v>
      </c>
      <c r="AD30" s="414">
        <v>16.746700000000001</v>
      </c>
    </row>
    <row r="31" spans="1:30" ht="14.25" customHeight="1" thickBot="1">
      <c r="A31" s="499"/>
      <c r="B31" s="96" t="s">
        <v>399</v>
      </c>
      <c r="C31" s="95" t="s">
        <v>52</v>
      </c>
      <c r="D31" s="94">
        <v>428.91</v>
      </c>
      <c r="E31" s="93">
        <v>200</v>
      </c>
      <c r="F31" s="94">
        <v>320.7817</v>
      </c>
      <c r="G31" s="184">
        <v>0.5</v>
      </c>
      <c r="H31" s="184">
        <f t="shared" si="1"/>
        <v>160.39085</v>
      </c>
      <c r="I31" s="84">
        <f t="shared" si="9"/>
        <v>39.60915</v>
      </c>
      <c r="J31" s="92" t="s">
        <v>398</v>
      </c>
      <c r="K31" s="92">
        <v>762.03</v>
      </c>
      <c r="L31" s="92">
        <v>150</v>
      </c>
      <c r="M31" s="91">
        <f t="shared" si="8"/>
        <v>320.7817</v>
      </c>
      <c r="N31" s="81">
        <f t="shared" si="10"/>
        <v>-10.39085</v>
      </c>
      <c r="O31" s="131"/>
      <c r="P31" s="147"/>
      <c r="R31" s="340" t="s">
        <v>478</v>
      </c>
      <c r="S31" s="351">
        <f>PRODUCT(S30*AD28)</f>
        <v>45</v>
      </c>
      <c r="T31" s="351">
        <f>PRODUCT(T30*AD29)</f>
        <v>0</v>
      </c>
      <c r="U31" s="351">
        <f>PRODUCT(U30*AD30)</f>
        <v>0</v>
      </c>
      <c r="V31" s="351">
        <f>PRODUCT(V30*AD31)</f>
        <v>0</v>
      </c>
      <c r="W31" s="351">
        <f>PRODUCT(W30*AD32)</f>
        <v>0</v>
      </c>
      <c r="X31" s="340">
        <f>SUM(S31:W31)</f>
        <v>45</v>
      </c>
      <c r="AB31" s="346" t="s">
        <v>474</v>
      </c>
      <c r="AC31" s="346">
        <v>250</v>
      </c>
      <c r="AD31" s="414">
        <v>16.886600000000001</v>
      </c>
    </row>
    <row r="32" spans="1:30" ht="14.25" customHeight="1" thickBot="1">
      <c r="A32" s="499"/>
      <c r="B32" s="96" t="s">
        <v>396</v>
      </c>
      <c r="C32" s="95" t="s">
        <v>56</v>
      </c>
      <c r="D32" s="94">
        <v>268.91000000000003</v>
      </c>
      <c r="E32" s="94">
        <v>250</v>
      </c>
      <c r="F32" s="94">
        <v>277.57420000000002</v>
      </c>
      <c r="G32" s="184">
        <v>0.5</v>
      </c>
      <c r="H32" s="184">
        <f t="shared" si="1"/>
        <v>138.78710000000001</v>
      </c>
      <c r="I32" s="84">
        <f t="shared" si="9"/>
        <v>111.21289999999999</v>
      </c>
      <c r="J32" s="92" t="s">
        <v>395</v>
      </c>
      <c r="K32" s="92">
        <v>922.03</v>
      </c>
      <c r="L32" s="92">
        <v>250</v>
      </c>
      <c r="M32" s="105">
        <f t="shared" si="8"/>
        <v>277.57420000000002</v>
      </c>
      <c r="N32" s="81">
        <f t="shared" si="10"/>
        <v>111.21289999999999</v>
      </c>
      <c r="O32" s="70"/>
      <c r="P32" s="118"/>
      <c r="R32" s="340" t="s">
        <v>477</v>
      </c>
      <c r="S32" s="351">
        <f>S30*AC28</f>
        <v>300</v>
      </c>
      <c r="T32" s="351">
        <f>T30*AC29</f>
        <v>0</v>
      </c>
      <c r="U32" s="351">
        <f>U30*AC30</f>
        <v>0</v>
      </c>
      <c r="V32" s="351">
        <f>V30*AC31</f>
        <v>0</v>
      </c>
      <c r="W32" s="351">
        <f>W30*AC32</f>
        <v>0</v>
      </c>
      <c r="X32" s="340">
        <f>SUM(S32:W32)</f>
        <v>300</v>
      </c>
      <c r="AB32" s="347" t="s">
        <v>527</v>
      </c>
      <c r="AC32" s="347">
        <v>300</v>
      </c>
      <c r="AD32" s="415">
        <v>17</v>
      </c>
    </row>
    <row r="33" spans="1:36" ht="13.5" thickBot="1">
      <c r="A33" s="497" t="s">
        <v>382</v>
      </c>
      <c r="B33" s="87" t="s">
        <v>393</v>
      </c>
      <c r="C33" s="86" t="s">
        <v>392</v>
      </c>
      <c r="D33" s="85">
        <v>774.56</v>
      </c>
      <c r="E33" s="85">
        <v>450</v>
      </c>
      <c r="F33" s="85">
        <v>593.39</v>
      </c>
      <c r="G33" s="184">
        <v>0.5</v>
      </c>
      <c r="H33" s="184">
        <f t="shared" si="1"/>
        <v>296.69499999999999</v>
      </c>
      <c r="I33" s="84">
        <f t="shared" si="9"/>
        <v>153.30500000000001</v>
      </c>
      <c r="J33" s="83" t="s">
        <v>391</v>
      </c>
      <c r="K33" s="83">
        <v>778.62</v>
      </c>
      <c r="L33" s="83">
        <v>450</v>
      </c>
      <c r="M33" s="82">
        <f t="shared" si="8"/>
        <v>593.39</v>
      </c>
      <c r="N33" s="81">
        <f t="shared" si="10"/>
        <v>153.30500000000001</v>
      </c>
      <c r="O33" s="526"/>
      <c r="P33" s="514"/>
    </row>
    <row r="34" spans="1:36" ht="14.25" customHeight="1" thickBot="1">
      <c r="A34" s="499"/>
      <c r="B34" s="96" t="s">
        <v>387</v>
      </c>
      <c r="C34" s="95" t="s">
        <v>386</v>
      </c>
      <c r="D34" s="108">
        <v>894.93</v>
      </c>
      <c r="E34" s="107">
        <v>150</v>
      </c>
      <c r="F34" s="108">
        <v>185.4342</v>
      </c>
      <c r="G34" s="184">
        <v>0.5</v>
      </c>
      <c r="H34" s="184">
        <f t="shared" si="1"/>
        <v>92.717100000000002</v>
      </c>
      <c r="I34" s="84">
        <f t="shared" si="9"/>
        <v>57.282899999999998</v>
      </c>
      <c r="J34" s="106" t="s">
        <v>385</v>
      </c>
      <c r="K34" s="106">
        <v>975.03499999999997</v>
      </c>
      <c r="L34" s="106">
        <v>150</v>
      </c>
      <c r="M34" s="105">
        <f t="shared" si="8"/>
        <v>185.4342</v>
      </c>
      <c r="N34" s="81">
        <f t="shared" si="10"/>
        <v>57.282899999999998</v>
      </c>
      <c r="O34" s="527"/>
      <c r="P34" s="528"/>
    </row>
    <row r="35" spans="1:36" ht="14.25" customHeight="1" thickBot="1">
      <c r="A35" s="499"/>
      <c r="B35" s="96" t="s">
        <v>383</v>
      </c>
      <c r="C35" s="95" t="s">
        <v>382</v>
      </c>
      <c r="D35" s="94">
        <v>553.46500000000003</v>
      </c>
      <c r="E35" s="93">
        <v>300</v>
      </c>
      <c r="F35" s="94">
        <v>491.47570000000002</v>
      </c>
      <c r="G35" s="184">
        <v>0.5</v>
      </c>
      <c r="H35" s="184">
        <f t="shared" si="1"/>
        <v>245.73785000000001</v>
      </c>
      <c r="I35" s="84">
        <f t="shared" si="9"/>
        <v>54.262149999999991</v>
      </c>
      <c r="J35" s="92" t="s">
        <v>381</v>
      </c>
      <c r="K35" s="92">
        <v>660.12</v>
      </c>
      <c r="L35" s="92">
        <v>300</v>
      </c>
      <c r="M35" s="91">
        <f t="shared" si="8"/>
        <v>491.47570000000002</v>
      </c>
      <c r="N35" s="81">
        <f t="shared" si="10"/>
        <v>54.262149999999991</v>
      </c>
      <c r="O35" s="527"/>
      <c r="P35" s="528"/>
      <c r="AA35" s="494" t="s">
        <v>537</v>
      </c>
      <c r="AB35" s="495"/>
      <c r="AC35" s="495"/>
      <c r="AD35" s="495"/>
      <c r="AE35" s="495"/>
      <c r="AF35" s="496"/>
      <c r="AG35" s="166"/>
    </row>
    <row r="36" spans="1:36" ht="13.5" thickBot="1">
      <c r="A36" s="497" t="s">
        <v>375</v>
      </c>
      <c r="B36" s="87" t="s">
        <v>379</v>
      </c>
      <c r="C36" s="86" t="s">
        <v>378</v>
      </c>
      <c r="D36" s="85">
        <v>839.23</v>
      </c>
      <c r="E36" s="84">
        <v>150</v>
      </c>
      <c r="F36" s="85">
        <v>213.84829999999999</v>
      </c>
      <c r="G36" s="184">
        <v>0.5</v>
      </c>
      <c r="H36" s="184">
        <f t="shared" si="1"/>
        <v>106.92415</v>
      </c>
      <c r="I36" s="84">
        <f t="shared" si="9"/>
        <v>43.075850000000003</v>
      </c>
      <c r="J36" s="83" t="s">
        <v>377</v>
      </c>
      <c r="K36" s="83">
        <v>844.89</v>
      </c>
      <c r="L36" s="83">
        <v>150</v>
      </c>
      <c r="M36" s="82">
        <f t="shared" si="8"/>
        <v>213.84829999999999</v>
      </c>
      <c r="N36" s="81">
        <f t="shared" si="10"/>
        <v>43.075850000000003</v>
      </c>
      <c r="O36" s="526"/>
      <c r="P36" s="514"/>
      <c r="R36" s="494" t="s">
        <v>536</v>
      </c>
      <c r="S36" s="495"/>
      <c r="T36" s="495"/>
      <c r="U36" s="495"/>
      <c r="V36" s="495"/>
      <c r="W36" s="496"/>
      <c r="X36" s="166"/>
      <c r="AA36" s="336" t="s">
        <v>470</v>
      </c>
      <c r="AB36" s="337" t="s">
        <v>471</v>
      </c>
      <c r="AC36" s="337" t="s">
        <v>472</v>
      </c>
      <c r="AD36" s="337" t="s">
        <v>473</v>
      </c>
      <c r="AE36" s="338" t="s">
        <v>474</v>
      </c>
      <c r="AF36" s="339" t="s">
        <v>527</v>
      </c>
      <c r="AG36" s="340" t="s">
        <v>418</v>
      </c>
    </row>
    <row r="37" spans="1:36" ht="14.25" customHeight="1" thickBot="1">
      <c r="A37" s="499"/>
      <c r="B37" s="96" t="s">
        <v>376</v>
      </c>
      <c r="C37" s="95" t="s">
        <v>375</v>
      </c>
      <c r="D37" s="94">
        <v>497.76499999999999</v>
      </c>
      <c r="E37" s="94">
        <v>800</v>
      </c>
      <c r="F37" s="94">
        <v>1151.328</v>
      </c>
      <c r="G37" s="184">
        <v>0.5</v>
      </c>
      <c r="H37" s="184">
        <f t="shared" si="1"/>
        <v>575.66399999999999</v>
      </c>
      <c r="I37" s="84">
        <f t="shared" si="9"/>
        <v>224.33600000000001</v>
      </c>
      <c r="J37" s="92" t="s">
        <v>374</v>
      </c>
      <c r="K37" s="92">
        <v>503.42500000000001</v>
      </c>
      <c r="L37" s="92">
        <v>800</v>
      </c>
      <c r="M37" s="91">
        <f t="shared" si="8"/>
        <v>1151.328</v>
      </c>
      <c r="N37" s="81">
        <f t="shared" si="10"/>
        <v>224.33600000000001</v>
      </c>
      <c r="O37" s="529"/>
      <c r="P37" s="515"/>
      <c r="R37" s="336" t="s">
        <v>470</v>
      </c>
      <c r="S37" s="337" t="s">
        <v>471</v>
      </c>
      <c r="T37" s="337" t="s">
        <v>472</v>
      </c>
      <c r="U37" s="337" t="s">
        <v>473</v>
      </c>
      <c r="V37" s="338" t="s">
        <v>474</v>
      </c>
      <c r="W37" s="339" t="s">
        <v>527</v>
      </c>
      <c r="X37" s="340" t="s">
        <v>418</v>
      </c>
      <c r="AA37" s="60" t="s">
        <v>84</v>
      </c>
      <c r="AB37" s="343">
        <f>S18+S38</f>
        <v>0</v>
      </c>
      <c r="AC37" s="343">
        <f t="shared" ref="AC37:AF48" si="12">T18+T38</f>
        <v>3</v>
      </c>
      <c r="AD37" s="343">
        <f t="shared" si="12"/>
        <v>2</v>
      </c>
      <c r="AE37" s="343">
        <f t="shared" si="12"/>
        <v>1</v>
      </c>
      <c r="AF37" s="343">
        <f t="shared" si="12"/>
        <v>0</v>
      </c>
      <c r="AG37" s="344">
        <f>SUM(AB37:AF37)</f>
        <v>6</v>
      </c>
    </row>
    <row r="38" spans="1:36" ht="13.5" thickBot="1">
      <c r="A38" s="387" t="s">
        <v>372</v>
      </c>
      <c r="B38" s="87" t="s">
        <v>373</v>
      </c>
      <c r="C38" s="86" t="s">
        <v>372</v>
      </c>
      <c r="D38" s="85">
        <v>285.27999999999997</v>
      </c>
      <c r="E38" s="85">
        <v>500</v>
      </c>
      <c r="F38" s="85">
        <v>779.52329999999995</v>
      </c>
      <c r="G38" s="184">
        <v>0.5</v>
      </c>
      <c r="H38" s="184">
        <f t="shared" si="1"/>
        <v>389.76164999999997</v>
      </c>
      <c r="I38" s="84">
        <f t="shared" si="9"/>
        <v>110.23835000000003</v>
      </c>
      <c r="J38" s="83" t="s">
        <v>371</v>
      </c>
      <c r="K38" s="83">
        <v>539.80499999999995</v>
      </c>
      <c r="L38" s="83">
        <v>300</v>
      </c>
      <c r="M38" s="82">
        <f t="shared" si="8"/>
        <v>779.52329999999995</v>
      </c>
      <c r="N38" s="81">
        <f t="shared" si="10"/>
        <v>-89.761649999999975</v>
      </c>
      <c r="O38" s="131" t="s">
        <v>370</v>
      </c>
      <c r="P38" s="130">
        <v>46.5</v>
      </c>
      <c r="R38" s="60" t="s">
        <v>84</v>
      </c>
      <c r="S38" s="343">
        <v>0</v>
      </c>
      <c r="T38" s="343">
        <f>3</f>
        <v>3</v>
      </c>
      <c r="U38" s="419">
        <f>1+1</f>
        <v>2</v>
      </c>
      <c r="V38" s="419">
        <f>1</f>
        <v>1</v>
      </c>
      <c r="W38" s="343">
        <v>0</v>
      </c>
      <c r="X38" s="344">
        <f>SUM(S38:W38)</f>
        <v>6</v>
      </c>
      <c r="AA38" s="60" t="s">
        <v>85</v>
      </c>
      <c r="AB38" s="343">
        <f t="shared" ref="AB38:AB48" si="13">S19+S39</f>
        <v>0</v>
      </c>
      <c r="AC38" s="343">
        <f t="shared" si="12"/>
        <v>4</v>
      </c>
      <c r="AD38" s="343">
        <f t="shared" si="12"/>
        <v>3</v>
      </c>
      <c r="AE38" s="343">
        <f t="shared" si="12"/>
        <v>0</v>
      </c>
      <c r="AF38" s="343">
        <f t="shared" si="12"/>
        <v>2</v>
      </c>
      <c r="AG38" s="60">
        <f t="shared" ref="AG38:AG48" si="14">SUM(AB38:AF38)</f>
        <v>9</v>
      </c>
    </row>
    <row r="39" spans="1:36" ht="13.5" thickBot="1">
      <c r="A39" s="497" t="s">
        <v>60</v>
      </c>
      <c r="B39" s="87" t="s">
        <v>368</v>
      </c>
      <c r="C39" s="86" t="s">
        <v>367</v>
      </c>
      <c r="D39" s="85">
        <v>239.47</v>
      </c>
      <c r="E39" s="84">
        <v>750</v>
      </c>
      <c r="F39" s="85">
        <v>886.15449999999998</v>
      </c>
      <c r="G39" s="184">
        <v>0.5</v>
      </c>
      <c r="H39" s="184">
        <f t="shared" si="1"/>
        <v>443.07724999999999</v>
      </c>
      <c r="I39" s="84">
        <f t="shared" si="9"/>
        <v>306.92275000000001</v>
      </c>
      <c r="J39" s="83" t="s">
        <v>366</v>
      </c>
      <c r="K39" s="83">
        <v>585.61500000000001</v>
      </c>
      <c r="L39" s="83">
        <v>450</v>
      </c>
      <c r="M39" s="82">
        <f t="shared" si="8"/>
        <v>886.15449999999998</v>
      </c>
      <c r="N39" s="81">
        <f t="shared" si="10"/>
        <v>6.9227500000000077</v>
      </c>
      <c r="O39" s="80"/>
      <c r="P39" s="123"/>
      <c r="R39" s="60" t="s">
        <v>85</v>
      </c>
      <c r="S39" s="343">
        <v>0</v>
      </c>
      <c r="T39" s="343">
        <f>2+1+1</f>
        <v>4</v>
      </c>
      <c r="U39" s="343">
        <f>2+1</f>
        <v>3</v>
      </c>
      <c r="V39" s="343">
        <v>0</v>
      </c>
      <c r="W39" s="343">
        <f>1+1</f>
        <v>2</v>
      </c>
      <c r="X39" s="60">
        <f t="shared" ref="X39:X49" si="15">SUM(S39:W39)</f>
        <v>9</v>
      </c>
      <c r="AA39" s="60" t="s">
        <v>86</v>
      </c>
      <c r="AB39" s="343">
        <f t="shared" si="13"/>
        <v>0</v>
      </c>
      <c r="AC39" s="343">
        <f t="shared" si="12"/>
        <v>0</v>
      </c>
      <c r="AD39" s="343">
        <f t="shared" si="12"/>
        <v>2</v>
      </c>
      <c r="AE39" s="343">
        <f t="shared" si="12"/>
        <v>0</v>
      </c>
      <c r="AF39" s="343">
        <f t="shared" si="12"/>
        <v>1</v>
      </c>
      <c r="AG39" s="60">
        <f t="shared" si="14"/>
        <v>3</v>
      </c>
    </row>
    <row r="40" spans="1:36" ht="14.25" customHeight="1" thickBot="1">
      <c r="A40" s="498"/>
      <c r="B40" s="75" t="s">
        <v>364</v>
      </c>
      <c r="C40" s="74" t="s">
        <v>61</v>
      </c>
      <c r="D40" s="73">
        <v>381.34</v>
      </c>
      <c r="E40" s="73">
        <v>200</v>
      </c>
      <c r="F40" s="73">
        <v>233.80699999999999</v>
      </c>
      <c r="G40" s="184">
        <v>0.5</v>
      </c>
      <c r="H40" s="184">
        <f t="shared" si="1"/>
        <v>116.90349999999999</v>
      </c>
      <c r="I40" s="84">
        <f t="shared" si="9"/>
        <v>83.096500000000006</v>
      </c>
      <c r="J40" s="72" t="s">
        <v>328</v>
      </c>
      <c r="K40" s="72">
        <v>673.16499999999996</v>
      </c>
      <c r="L40" s="72">
        <v>150</v>
      </c>
      <c r="M40" s="119">
        <f t="shared" si="8"/>
        <v>233.80699999999999</v>
      </c>
      <c r="N40" s="81">
        <f t="shared" si="10"/>
        <v>33.096500000000006</v>
      </c>
      <c r="O40" s="70"/>
      <c r="P40" s="118"/>
      <c r="R40" s="60" t="s">
        <v>86</v>
      </c>
      <c r="S40" s="341">
        <v>0</v>
      </c>
      <c r="T40" s="343">
        <v>0</v>
      </c>
      <c r="U40" s="341">
        <f>1+1</f>
        <v>2</v>
      </c>
      <c r="V40" s="343">
        <v>0</v>
      </c>
      <c r="W40" s="343">
        <f>1</f>
        <v>1</v>
      </c>
      <c r="X40" s="60">
        <f t="shared" si="15"/>
        <v>3</v>
      </c>
      <c r="AA40" s="60" t="s">
        <v>87</v>
      </c>
      <c r="AB40" s="343">
        <f t="shared" si="13"/>
        <v>1</v>
      </c>
      <c r="AC40" s="343">
        <f t="shared" si="12"/>
        <v>7</v>
      </c>
      <c r="AD40" s="343">
        <f t="shared" si="12"/>
        <v>10</v>
      </c>
      <c r="AE40" s="343">
        <f t="shared" si="12"/>
        <v>6</v>
      </c>
      <c r="AF40" s="343">
        <f t="shared" si="12"/>
        <v>0</v>
      </c>
      <c r="AG40" s="60">
        <f t="shared" si="14"/>
        <v>24</v>
      </c>
    </row>
    <row r="41" spans="1:36" ht="13.5" thickBot="1">
      <c r="A41" s="499" t="s">
        <v>363</v>
      </c>
      <c r="B41" s="63" t="s">
        <v>362</v>
      </c>
      <c r="C41" s="114" t="s">
        <v>74</v>
      </c>
      <c r="D41" s="94">
        <v>632.29499999999996</v>
      </c>
      <c r="E41" s="94">
        <v>300</v>
      </c>
      <c r="F41" s="94">
        <v>416.14780000000002</v>
      </c>
      <c r="G41" s="184">
        <v>0.5</v>
      </c>
      <c r="H41" s="184">
        <f t="shared" si="1"/>
        <v>208.07390000000001</v>
      </c>
      <c r="I41" s="84">
        <f t="shared" si="9"/>
        <v>91.926099999999991</v>
      </c>
      <c r="J41" s="92" t="s">
        <v>361</v>
      </c>
      <c r="K41" s="92">
        <v>692.19500000000005</v>
      </c>
      <c r="L41" s="92">
        <v>300</v>
      </c>
      <c r="M41" s="91">
        <f t="shared" si="8"/>
        <v>416.14780000000002</v>
      </c>
      <c r="N41" s="81">
        <f t="shared" si="10"/>
        <v>91.926099999999991</v>
      </c>
      <c r="O41" s="508" t="s">
        <v>351</v>
      </c>
      <c r="P41" s="509"/>
      <c r="R41" s="60" t="s">
        <v>87</v>
      </c>
      <c r="S41" s="341">
        <v>0</v>
      </c>
      <c r="T41" s="420">
        <f>3+2+2</f>
        <v>7</v>
      </c>
      <c r="U41" s="343">
        <f>2+1+2+4+1</f>
        <v>10</v>
      </c>
      <c r="V41" s="343">
        <f>1+2+3</f>
        <v>6</v>
      </c>
      <c r="W41" s="343">
        <v>0</v>
      </c>
      <c r="X41" s="60">
        <f t="shared" si="15"/>
        <v>23</v>
      </c>
      <c r="AA41" s="60" t="s">
        <v>88</v>
      </c>
      <c r="AB41" s="343">
        <f t="shared" si="13"/>
        <v>1</v>
      </c>
      <c r="AC41" s="343">
        <f t="shared" si="12"/>
        <v>0</v>
      </c>
      <c r="AD41" s="343">
        <f t="shared" si="12"/>
        <v>7</v>
      </c>
      <c r="AE41" s="343">
        <f t="shared" si="12"/>
        <v>1</v>
      </c>
      <c r="AF41" s="343">
        <f t="shared" si="12"/>
        <v>0</v>
      </c>
      <c r="AG41" s="60">
        <f t="shared" si="14"/>
        <v>9</v>
      </c>
    </row>
    <row r="42" spans="1:36" ht="14.25" customHeight="1" thickBot="1">
      <c r="A42" s="499"/>
      <c r="B42" s="96" t="s">
        <v>360</v>
      </c>
      <c r="C42" s="95" t="s">
        <v>55</v>
      </c>
      <c r="D42" s="108">
        <v>566.26</v>
      </c>
      <c r="E42" s="108">
        <v>300</v>
      </c>
      <c r="F42" s="108">
        <v>424.66829999999999</v>
      </c>
      <c r="G42" s="184">
        <v>0.5</v>
      </c>
      <c r="H42" s="184">
        <f t="shared" si="1"/>
        <v>212.33414999999999</v>
      </c>
      <c r="I42" s="84">
        <f t="shared" si="9"/>
        <v>87.665850000000006</v>
      </c>
      <c r="J42" s="106" t="s">
        <v>359</v>
      </c>
      <c r="K42" s="106">
        <v>1033.6600000000001</v>
      </c>
      <c r="L42" s="106">
        <v>300</v>
      </c>
      <c r="M42" s="105">
        <f t="shared" si="8"/>
        <v>424.66829999999999</v>
      </c>
      <c r="N42" s="81">
        <f t="shared" si="10"/>
        <v>87.665850000000006</v>
      </c>
      <c r="O42" s="510"/>
      <c r="P42" s="511"/>
      <c r="R42" s="60" t="s">
        <v>88</v>
      </c>
      <c r="S42" s="341">
        <v>0</v>
      </c>
      <c r="T42" s="343">
        <v>0</v>
      </c>
      <c r="U42" s="343">
        <f>1+1+1+2+1+1</f>
        <v>7</v>
      </c>
      <c r="V42" s="343">
        <f>1</f>
        <v>1</v>
      </c>
      <c r="W42" s="343">
        <v>0</v>
      </c>
      <c r="X42" s="60">
        <f t="shared" si="15"/>
        <v>8</v>
      </c>
      <c r="AA42" s="60" t="s">
        <v>89</v>
      </c>
      <c r="AB42" s="343">
        <f t="shared" si="13"/>
        <v>0</v>
      </c>
      <c r="AC42" s="343">
        <f t="shared" si="12"/>
        <v>5</v>
      </c>
      <c r="AD42" s="343">
        <f t="shared" si="12"/>
        <v>1</v>
      </c>
      <c r="AE42" s="343">
        <f t="shared" si="12"/>
        <v>1</v>
      </c>
      <c r="AF42" s="343">
        <f t="shared" si="12"/>
        <v>0</v>
      </c>
      <c r="AG42" s="60">
        <f t="shared" si="14"/>
        <v>7</v>
      </c>
    </row>
    <row r="43" spans="1:36" ht="14.25" customHeight="1" thickBot="1">
      <c r="A43" s="499"/>
      <c r="B43" s="96" t="s">
        <v>358</v>
      </c>
      <c r="C43" s="95" t="s">
        <v>62</v>
      </c>
      <c r="D43" s="94">
        <v>174.54</v>
      </c>
      <c r="E43" s="94">
        <v>250</v>
      </c>
      <c r="F43" s="94">
        <v>80.336669999999998</v>
      </c>
      <c r="G43" s="184">
        <v>0.5</v>
      </c>
      <c r="H43" s="184">
        <f t="shared" si="1"/>
        <v>40.168334999999999</v>
      </c>
      <c r="I43" s="84">
        <f t="shared" si="9"/>
        <v>209.83166499999999</v>
      </c>
      <c r="J43" s="92" t="s">
        <v>357</v>
      </c>
      <c r="K43" s="92">
        <v>811.21</v>
      </c>
      <c r="L43" s="92">
        <v>150</v>
      </c>
      <c r="M43" s="105">
        <f t="shared" si="8"/>
        <v>80.336669999999998</v>
      </c>
      <c r="N43" s="81">
        <f t="shared" si="10"/>
        <v>109.831665</v>
      </c>
      <c r="O43" s="512"/>
      <c r="P43" s="513"/>
      <c r="R43" s="60" t="s">
        <v>89</v>
      </c>
      <c r="S43" s="343">
        <v>0</v>
      </c>
      <c r="T43" s="343">
        <f>2+2+1</f>
        <v>5</v>
      </c>
      <c r="U43" s="343">
        <f>1</f>
        <v>1</v>
      </c>
      <c r="V43" s="343">
        <f>1</f>
        <v>1</v>
      </c>
      <c r="W43" s="343">
        <v>0</v>
      </c>
      <c r="X43" s="60">
        <f t="shared" si="15"/>
        <v>7</v>
      </c>
      <c r="AA43" s="60" t="s">
        <v>90</v>
      </c>
      <c r="AB43" s="343">
        <f t="shared" si="13"/>
        <v>0</v>
      </c>
      <c r="AC43" s="343">
        <f t="shared" si="12"/>
        <v>0</v>
      </c>
      <c r="AD43" s="343">
        <f t="shared" si="12"/>
        <v>1</v>
      </c>
      <c r="AE43" s="343">
        <f t="shared" si="12"/>
        <v>1</v>
      </c>
      <c r="AF43" s="343">
        <f t="shared" si="12"/>
        <v>1</v>
      </c>
      <c r="AG43" s="60">
        <f t="shared" si="14"/>
        <v>3</v>
      </c>
    </row>
    <row r="44" spans="1:36" ht="13.5" thickBot="1">
      <c r="A44" s="387" t="s">
        <v>355</v>
      </c>
      <c r="B44" s="87" t="s">
        <v>356</v>
      </c>
      <c r="C44" s="86" t="s">
        <v>355</v>
      </c>
      <c r="D44" s="85">
        <v>517.28</v>
      </c>
      <c r="E44" s="85">
        <v>200</v>
      </c>
      <c r="F44" s="85">
        <v>67.241829999999993</v>
      </c>
      <c r="G44" s="184">
        <v>0.5</v>
      </c>
      <c r="H44" s="184">
        <f t="shared" si="1"/>
        <v>33.620914999999997</v>
      </c>
      <c r="I44" s="84">
        <f t="shared" si="9"/>
        <v>166.379085</v>
      </c>
      <c r="J44" s="83" t="s">
        <v>354</v>
      </c>
      <c r="K44" s="83">
        <v>607.995</v>
      </c>
      <c r="L44" s="83">
        <v>150</v>
      </c>
      <c r="M44" s="82">
        <f t="shared" si="8"/>
        <v>67.241829999999993</v>
      </c>
      <c r="N44" s="81">
        <f t="shared" si="10"/>
        <v>116.379085</v>
      </c>
      <c r="O44" s="500" t="s">
        <v>351</v>
      </c>
      <c r="P44" s="501"/>
      <c r="R44" s="60" t="s">
        <v>90</v>
      </c>
      <c r="S44" s="341">
        <v>0</v>
      </c>
      <c r="T44" s="341">
        <v>0</v>
      </c>
      <c r="U44" s="341">
        <f>1</f>
        <v>1</v>
      </c>
      <c r="V44" s="343">
        <f>1</f>
        <v>1</v>
      </c>
      <c r="W44" s="343">
        <f>1</f>
        <v>1</v>
      </c>
      <c r="X44" s="60">
        <f t="shared" si="15"/>
        <v>3</v>
      </c>
      <c r="AA44" s="60" t="s">
        <v>91</v>
      </c>
      <c r="AB44" s="343">
        <f t="shared" si="13"/>
        <v>0</v>
      </c>
      <c r="AC44" s="343">
        <f t="shared" si="12"/>
        <v>7</v>
      </c>
      <c r="AD44" s="343">
        <f t="shared" si="12"/>
        <v>2</v>
      </c>
      <c r="AE44" s="343">
        <f t="shared" si="12"/>
        <v>1</v>
      </c>
      <c r="AF44" s="343">
        <f t="shared" si="12"/>
        <v>0</v>
      </c>
      <c r="AG44" s="60">
        <f t="shared" si="14"/>
        <v>10</v>
      </c>
    </row>
    <row r="45" spans="1:36" ht="13.5" thickBot="1">
      <c r="A45" s="497" t="s">
        <v>349</v>
      </c>
      <c r="B45" s="87" t="s">
        <v>353</v>
      </c>
      <c r="C45" s="86" t="s">
        <v>342</v>
      </c>
      <c r="D45" s="85">
        <v>592.98500000000001</v>
      </c>
      <c r="E45" s="85">
        <v>150</v>
      </c>
      <c r="F45" s="85">
        <v>175.91919999999999</v>
      </c>
      <c r="G45" s="184">
        <v>0.5</v>
      </c>
      <c r="H45" s="184">
        <f t="shared" si="1"/>
        <v>87.959599999999995</v>
      </c>
      <c r="I45" s="84">
        <f t="shared" si="9"/>
        <v>62.040400000000005</v>
      </c>
      <c r="J45" s="83" t="s">
        <v>352</v>
      </c>
      <c r="K45" s="83">
        <v>1051.23</v>
      </c>
      <c r="L45" s="83">
        <v>150</v>
      </c>
      <c r="M45" s="82">
        <f t="shared" si="8"/>
        <v>175.91919999999999</v>
      </c>
      <c r="N45" s="81">
        <f t="shared" si="10"/>
        <v>62.040400000000005</v>
      </c>
      <c r="O45" s="502" t="s">
        <v>351</v>
      </c>
      <c r="P45" s="505" t="s">
        <v>351</v>
      </c>
      <c r="R45" s="60" t="s">
        <v>91</v>
      </c>
      <c r="S45" s="341">
        <v>0</v>
      </c>
      <c r="T45" s="341">
        <f>1+2+1+1+1+1</f>
        <v>7</v>
      </c>
      <c r="U45" s="343">
        <f>1+1</f>
        <v>2</v>
      </c>
      <c r="V45" s="343">
        <f>1</f>
        <v>1</v>
      </c>
      <c r="W45" s="343">
        <v>0</v>
      </c>
      <c r="X45" s="60">
        <f t="shared" si="15"/>
        <v>10</v>
      </c>
      <c r="AA45" s="60" t="s">
        <v>92</v>
      </c>
      <c r="AB45" s="343">
        <f t="shared" si="13"/>
        <v>0</v>
      </c>
      <c r="AC45" s="343">
        <f t="shared" si="12"/>
        <v>2</v>
      </c>
      <c r="AD45" s="343">
        <f t="shared" si="12"/>
        <v>5</v>
      </c>
      <c r="AE45" s="343">
        <f t="shared" si="12"/>
        <v>0</v>
      </c>
      <c r="AF45" s="343">
        <f t="shared" si="12"/>
        <v>0</v>
      </c>
      <c r="AG45" s="60">
        <f t="shared" si="14"/>
        <v>7</v>
      </c>
      <c r="AH45" s="389"/>
      <c r="AI45" s="389"/>
      <c r="AJ45" s="389"/>
    </row>
    <row r="46" spans="1:36" ht="14.25" customHeight="1" thickBot="1">
      <c r="A46" s="499"/>
      <c r="B46" s="96" t="s">
        <v>350</v>
      </c>
      <c r="C46" s="95" t="s">
        <v>349</v>
      </c>
      <c r="D46" s="108">
        <v>374.84</v>
      </c>
      <c r="E46" s="108">
        <v>200</v>
      </c>
      <c r="F46" s="108">
        <v>115.1143</v>
      </c>
      <c r="G46" s="184">
        <v>0.5</v>
      </c>
      <c r="H46" s="184">
        <f t="shared" si="1"/>
        <v>57.55715</v>
      </c>
      <c r="I46" s="84">
        <f t="shared" si="9"/>
        <v>142.44284999999999</v>
      </c>
      <c r="J46" s="106" t="s">
        <v>348</v>
      </c>
      <c r="K46" s="106">
        <v>838.745</v>
      </c>
      <c r="L46" s="106">
        <v>150</v>
      </c>
      <c r="M46" s="105">
        <f t="shared" si="8"/>
        <v>115.1143</v>
      </c>
      <c r="N46" s="81">
        <f t="shared" si="10"/>
        <v>92.442849999999993</v>
      </c>
      <c r="O46" s="503"/>
      <c r="P46" s="506"/>
      <c r="R46" s="60" t="s">
        <v>92</v>
      </c>
      <c r="S46" s="343">
        <v>0</v>
      </c>
      <c r="T46" s="341">
        <f>1+1</f>
        <v>2</v>
      </c>
      <c r="U46" s="343">
        <f>4+1</f>
        <v>5</v>
      </c>
      <c r="V46" s="343">
        <v>0</v>
      </c>
      <c r="W46" s="343">
        <v>0</v>
      </c>
      <c r="X46" s="60">
        <f t="shared" si="15"/>
        <v>7</v>
      </c>
      <c r="Y46" s="360"/>
      <c r="Z46" s="360"/>
      <c r="AA46" s="60" t="s">
        <v>93</v>
      </c>
      <c r="AB46" s="343">
        <f t="shared" si="13"/>
        <v>1</v>
      </c>
      <c r="AC46" s="343">
        <f t="shared" si="12"/>
        <v>0</v>
      </c>
      <c r="AD46" s="343">
        <f t="shared" si="12"/>
        <v>2</v>
      </c>
      <c r="AE46" s="343">
        <f t="shared" si="12"/>
        <v>2</v>
      </c>
      <c r="AF46" s="343">
        <f t="shared" si="12"/>
        <v>0</v>
      </c>
      <c r="AG46" s="60">
        <f t="shared" si="14"/>
        <v>5</v>
      </c>
      <c r="AH46" s="384"/>
      <c r="AI46" s="384"/>
      <c r="AJ46" s="389"/>
    </row>
    <row r="47" spans="1:36" ht="14.25" customHeight="1" thickBot="1">
      <c r="A47" s="499"/>
      <c r="B47" s="96" t="s">
        <v>347</v>
      </c>
      <c r="C47" s="95" t="s">
        <v>335</v>
      </c>
      <c r="D47" s="108">
        <v>675.17499999999995</v>
      </c>
      <c r="E47" s="108">
        <v>150</v>
      </c>
      <c r="F47" s="108">
        <v>87.5685</v>
      </c>
      <c r="G47" s="184">
        <v>0.5</v>
      </c>
      <c r="H47" s="184">
        <f t="shared" si="1"/>
        <v>43.78425</v>
      </c>
      <c r="I47" s="84">
        <f t="shared" si="9"/>
        <v>106.21575</v>
      </c>
      <c r="J47" s="106" t="s">
        <v>346</v>
      </c>
      <c r="K47" s="106">
        <v>792.93499999999995</v>
      </c>
      <c r="L47" s="106">
        <v>150</v>
      </c>
      <c r="M47" s="105">
        <f t="shared" si="8"/>
        <v>87.5685</v>
      </c>
      <c r="N47" s="81">
        <f t="shared" si="10"/>
        <v>106.21575</v>
      </c>
      <c r="O47" s="503"/>
      <c r="P47" s="506"/>
      <c r="R47" s="60" t="s">
        <v>93</v>
      </c>
      <c r="S47" s="343">
        <v>0</v>
      </c>
      <c r="T47" s="341">
        <v>0</v>
      </c>
      <c r="U47" s="343">
        <f>1+1</f>
        <v>2</v>
      </c>
      <c r="V47" s="343">
        <f>2</f>
        <v>2</v>
      </c>
      <c r="W47" s="343">
        <v>0</v>
      </c>
      <c r="X47" s="60">
        <f t="shared" si="15"/>
        <v>4</v>
      </c>
      <c r="Y47" s="410"/>
      <c r="Z47" s="410"/>
      <c r="AA47" s="60" t="s">
        <v>94</v>
      </c>
      <c r="AB47" s="343">
        <f t="shared" si="13"/>
        <v>0</v>
      </c>
      <c r="AC47" s="343">
        <f t="shared" si="12"/>
        <v>1</v>
      </c>
      <c r="AD47" s="343">
        <f t="shared" si="12"/>
        <v>2</v>
      </c>
      <c r="AE47" s="343">
        <f t="shared" si="12"/>
        <v>3</v>
      </c>
      <c r="AF47" s="343">
        <f t="shared" si="12"/>
        <v>0</v>
      </c>
      <c r="AG47" s="60">
        <f t="shared" si="14"/>
        <v>6</v>
      </c>
      <c r="AH47" s="389"/>
      <c r="AI47" s="389"/>
      <c r="AJ47" s="389"/>
    </row>
    <row r="48" spans="1:36" ht="14.25" customHeight="1" thickBot="1">
      <c r="A48" s="499"/>
      <c r="B48" s="96" t="s">
        <v>339</v>
      </c>
      <c r="C48" s="95" t="s">
        <v>338</v>
      </c>
      <c r="D48" s="94">
        <v>768.38499999999999</v>
      </c>
      <c r="E48" s="94">
        <v>150</v>
      </c>
      <c r="F48" s="94">
        <v>46.164000000000001</v>
      </c>
      <c r="G48" s="184">
        <v>0.5</v>
      </c>
      <c r="H48" s="184">
        <f t="shared" si="1"/>
        <v>23.082000000000001</v>
      </c>
      <c r="I48" s="84">
        <f t="shared" si="9"/>
        <v>126.91800000000001</v>
      </c>
      <c r="J48" s="92" t="s">
        <v>345</v>
      </c>
      <c r="K48" s="92">
        <v>934.80499999999995</v>
      </c>
      <c r="L48" s="92">
        <v>150</v>
      </c>
      <c r="M48" s="91">
        <f t="shared" si="8"/>
        <v>46.164000000000001</v>
      </c>
      <c r="N48" s="81">
        <f t="shared" si="10"/>
        <v>126.91800000000001</v>
      </c>
      <c r="O48" s="504"/>
      <c r="P48" s="507"/>
      <c r="R48" s="60" t="s">
        <v>94</v>
      </c>
      <c r="S48" s="343">
        <v>0</v>
      </c>
      <c r="T48" s="420">
        <f>1</f>
        <v>1</v>
      </c>
      <c r="U48" s="343">
        <f>1+1</f>
        <v>2</v>
      </c>
      <c r="V48" s="343">
        <f>3</f>
        <v>3</v>
      </c>
      <c r="W48" s="343">
        <v>0</v>
      </c>
      <c r="X48" s="60">
        <f t="shared" si="15"/>
        <v>6</v>
      </c>
      <c r="Y48" s="422"/>
      <c r="Z48" s="422"/>
      <c r="AA48" s="326" t="s">
        <v>469</v>
      </c>
      <c r="AB48" s="343">
        <f t="shared" si="13"/>
        <v>0</v>
      </c>
      <c r="AC48" s="343">
        <f t="shared" si="12"/>
        <v>1</v>
      </c>
      <c r="AD48" s="343">
        <f t="shared" si="12"/>
        <v>1</v>
      </c>
      <c r="AE48" s="343">
        <f t="shared" si="12"/>
        <v>0</v>
      </c>
      <c r="AF48" s="343">
        <f t="shared" si="12"/>
        <v>0</v>
      </c>
      <c r="AG48" s="326">
        <f t="shared" si="14"/>
        <v>2</v>
      </c>
      <c r="AH48" s="334"/>
      <c r="AI48" s="334"/>
      <c r="AJ48" s="389"/>
    </row>
    <row r="49" spans="1:36" ht="13.5" thickBot="1">
      <c r="A49" s="497" t="s">
        <v>344</v>
      </c>
      <c r="B49" s="87" t="s">
        <v>343</v>
      </c>
      <c r="C49" s="86" t="s">
        <v>342</v>
      </c>
      <c r="D49" s="85">
        <v>592.98500000000001</v>
      </c>
      <c r="E49" s="85">
        <v>150</v>
      </c>
      <c r="F49" s="85">
        <v>175.91919999999999</v>
      </c>
      <c r="G49" s="184">
        <v>0.5</v>
      </c>
      <c r="H49" s="184">
        <f t="shared" si="1"/>
        <v>87.959599999999995</v>
      </c>
      <c r="I49" s="84">
        <f t="shared" si="9"/>
        <v>62.040400000000005</v>
      </c>
      <c r="J49" s="83" t="s">
        <v>341</v>
      </c>
      <c r="K49" s="83">
        <v>992.44500000000005</v>
      </c>
      <c r="L49" s="83">
        <v>150</v>
      </c>
      <c r="M49" s="82">
        <f t="shared" si="8"/>
        <v>175.91919999999999</v>
      </c>
      <c r="N49" s="81">
        <f t="shared" si="10"/>
        <v>62.040400000000005</v>
      </c>
      <c r="O49" s="274"/>
      <c r="P49" s="76"/>
      <c r="R49" s="326" t="s">
        <v>469</v>
      </c>
      <c r="S49" s="348">
        <v>0</v>
      </c>
      <c r="T49" s="348">
        <f>1</f>
        <v>1</v>
      </c>
      <c r="U49" s="348">
        <f>1</f>
        <v>1</v>
      </c>
      <c r="V49" s="348">
        <v>0</v>
      </c>
      <c r="W49" s="348">
        <v>0</v>
      </c>
      <c r="X49" s="326">
        <f t="shared" si="15"/>
        <v>2</v>
      </c>
      <c r="Y49" s="360"/>
      <c r="Z49" s="360"/>
      <c r="AA49" s="340" t="s">
        <v>479</v>
      </c>
      <c r="AB49" s="349">
        <f>SUM(AB37:AB48)</f>
        <v>3</v>
      </c>
      <c r="AC49" s="349">
        <f>SUM(AC37:AC48)</f>
        <v>30</v>
      </c>
      <c r="AD49" s="349">
        <f>SUM(AD37:AD48)</f>
        <v>38</v>
      </c>
      <c r="AE49" s="349">
        <f>SUM(AE37:AE48)</f>
        <v>16</v>
      </c>
      <c r="AF49" s="349">
        <f>SUM(AF37:AF48)</f>
        <v>4</v>
      </c>
      <c r="AG49" s="350">
        <f t="shared" ref="AG49" si="16">SUM(AG37:AG48)</f>
        <v>91</v>
      </c>
      <c r="AH49" s="389"/>
      <c r="AI49" s="389"/>
      <c r="AJ49" s="389"/>
    </row>
    <row r="50" spans="1:36" ht="14.25" customHeight="1" thickBot="1">
      <c r="A50" s="499"/>
      <c r="B50" s="96" t="s">
        <v>339</v>
      </c>
      <c r="C50" s="95" t="s">
        <v>338</v>
      </c>
      <c r="D50" s="94">
        <v>768.38499999999999</v>
      </c>
      <c r="E50" s="94">
        <v>150</v>
      </c>
      <c r="F50" s="94">
        <v>46.164000000000001</v>
      </c>
      <c r="G50" s="184">
        <v>0.5</v>
      </c>
      <c r="H50" s="184">
        <f t="shared" si="1"/>
        <v>23.082000000000001</v>
      </c>
      <c r="I50" s="84">
        <f t="shared" si="9"/>
        <v>126.91800000000001</v>
      </c>
      <c r="J50" s="92" t="s">
        <v>337</v>
      </c>
      <c r="K50" s="92">
        <v>817.04499999999996</v>
      </c>
      <c r="L50" s="92">
        <v>150</v>
      </c>
      <c r="M50" s="91">
        <f t="shared" si="8"/>
        <v>46.164000000000001</v>
      </c>
      <c r="N50" s="81">
        <f t="shared" si="10"/>
        <v>126.91800000000001</v>
      </c>
      <c r="O50" s="275"/>
      <c r="P50" s="88"/>
      <c r="R50" s="340" t="s">
        <v>479</v>
      </c>
      <c r="S50" s="349">
        <f>SUM(S38:S49)</f>
        <v>0</v>
      </c>
      <c r="T50" s="349">
        <f>SUM(T38:T49)</f>
        <v>30</v>
      </c>
      <c r="U50" s="349">
        <f>SUM(U38:U49)</f>
        <v>38</v>
      </c>
      <c r="V50" s="349">
        <f>SUM(V38:V49)</f>
        <v>16</v>
      </c>
      <c r="W50" s="349">
        <f>SUM(W38:W49)</f>
        <v>4</v>
      </c>
      <c r="X50" s="350">
        <f t="shared" ref="X50" si="17">SUM(X38:X49)</f>
        <v>88</v>
      </c>
      <c r="Y50" s="341"/>
      <c r="Z50" s="341"/>
      <c r="AA50" s="340" t="s">
        <v>478</v>
      </c>
      <c r="AB50" s="351">
        <f>PRODUCT(AB49*AD28)</f>
        <v>45</v>
      </c>
      <c r="AC50" s="416">
        <f>PRODUCT(AC49*AD29)</f>
        <v>491.06700000000001</v>
      </c>
      <c r="AD50" s="416">
        <f>PRODUCT(AD49*AD30)</f>
        <v>636.37459999999999</v>
      </c>
      <c r="AE50" s="416">
        <f>PRODUCT(AE49*AD31)</f>
        <v>270.18560000000002</v>
      </c>
      <c r="AF50" s="416">
        <f>PRODUCT(AF49*AD32)</f>
        <v>68</v>
      </c>
      <c r="AG50" s="421">
        <f>SUM(AB50:AF50)</f>
        <v>1510.6272000000001</v>
      </c>
      <c r="AH50" s="389"/>
      <c r="AI50" s="389"/>
      <c r="AJ50" s="389"/>
    </row>
    <row r="51" spans="1:36" ht="13.5" thickBot="1">
      <c r="A51" s="497" t="s">
        <v>340</v>
      </c>
      <c r="B51" s="87" t="s">
        <v>339</v>
      </c>
      <c r="C51" s="86" t="s">
        <v>338</v>
      </c>
      <c r="D51" s="85">
        <v>768.38499999999999</v>
      </c>
      <c r="E51" s="85">
        <v>150</v>
      </c>
      <c r="F51" s="85">
        <v>46.164000000000001</v>
      </c>
      <c r="G51" s="184">
        <v>0.5</v>
      </c>
      <c r="H51" s="184">
        <f t="shared" si="1"/>
        <v>23.082000000000001</v>
      </c>
      <c r="I51" s="84">
        <f t="shared" si="9"/>
        <v>126.91800000000001</v>
      </c>
      <c r="J51" s="83" t="s">
        <v>337</v>
      </c>
      <c r="K51" s="83">
        <v>817.04499999999996</v>
      </c>
      <c r="L51" s="83">
        <v>150</v>
      </c>
      <c r="M51" s="82">
        <f t="shared" si="8"/>
        <v>46.164000000000001</v>
      </c>
      <c r="N51" s="81">
        <f t="shared" si="10"/>
        <v>126.91800000000001</v>
      </c>
      <c r="O51" s="275"/>
      <c r="P51" s="88"/>
      <c r="R51" s="340" t="s">
        <v>478</v>
      </c>
      <c r="S51" s="416">
        <f>PRODUCT(S50*AD28)</f>
        <v>0</v>
      </c>
      <c r="T51" s="416">
        <f>PRODUCT(T50*AD29)</f>
        <v>491.06700000000001</v>
      </c>
      <c r="U51" s="416">
        <f>PRODUCT(U50*AD30)</f>
        <v>636.37459999999999</v>
      </c>
      <c r="V51" s="416">
        <f>PRODUCT(V50*AD31)</f>
        <v>270.18560000000002</v>
      </c>
      <c r="W51" s="416">
        <f>PRODUCT(W50*AD32)</f>
        <v>68</v>
      </c>
      <c r="X51" s="421">
        <f>SUM(S51:W51)</f>
        <v>1465.6272000000001</v>
      </c>
      <c r="Y51" s="341"/>
      <c r="Z51" s="341"/>
      <c r="AA51" s="340" t="s">
        <v>528</v>
      </c>
      <c r="AB51" s="351">
        <f>AB49*AC28</f>
        <v>300</v>
      </c>
      <c r="AC51" s="351">
        <f>AC49*AC29</f>
        <v>4500</v>
      </c>
      <c r="AD51" s="351">
        <f>AD49*AC30</f>
        <v>7600</v>
      </c>
      <c r="AE51" s="351">
        <f>AE49*AC31</f>
        <v>4000</v>
      </c>
      <c r="AF51" s="351">
        <f>AF49*AC32</f>
        <v>1200</v>
      </c>
      <c r="AG51" s="340">
        <f>SUM(AB51:AF51)</f>
        <v>17600</v>
      </c>
      <c r="AH51" s="389"/>
      <c r="AI51" s="389"/>
      <c r="AJ51" s="389"/>
    </row>
    <row r="52" spans="1:36" ht="14.25" customHeight="1" thickBot="1">
      <c r="A52" s="499"/>
      <c r="B52" s="96" t="s">
        <v>30</v>
      </c>
      <c r="C52" s="95" t="s">
        <v>326</v>
      </c>
      <c r="D52" s="94">
        <v>317.27</v>
      </c>
      <c r="E52" s="94">
        <v>200</v>
      </c>
      <c r="F52" s="94">
        <v>136.87530000000001</v>
      </c>
      <c r="G52" s="184">
        <v>0.5</v>
      </c>
      <c r="H52" s="184">
        <f t="shared" si="1"/>
        <v>68.437650000000005</v>
      </c>
      <c r="I52" s="84">
        <f t="shared" si="9"/>
        <v>131.56234999999998</v>
      </c>
      <c r="J52" s="92" t="s">
        <v>325</v>
      </c>
      <c r="K52" s="92">
        <v>518.48</v>
      </c>
      <c r="L52" s="92">
        <v>200</v>
      </c>
      <c r="M52" s="91">
        <f t="shared" si="8"/>
        <v>136.87530000000001</v>
      </c>
      <c r="N52" s="81">
        <f t="shared" si="10"/>
        <v>131.56234999999998</v>
      </c>
      <c r="O52" s="90"/>
      <c r="P52" s="99"/>
      <c r="R52" s="340" t="s">
        <v>528</v>
      </c>
      <c r="S52" s="351">
        <f>S50*AC28</f>
        <v>0</v>
      </c>
      <c r="T52" s="351">
        <f>T50*AC29</f>
        <v>4500</v>
      </c>
      <c r="U52" s="351">
        <f>U50*AC30</f>
        <v>7600</v>
      </c>
      <c r="V52" s="351">
        <f>V50*AC31</f>
        <v>4000</v>
      </c>
      <c r="W52" s="351">
        <f>W50*AC32</f>
        <v>1200</v>
      </c>
      <c r="X52" s="340">
        <f>SUM(S52:W52)</f>
        <v>17300</v>
      </c>
      <c r="Y52" s="341"/>
      <c r="Z52" s="341"/>
      <c r="AA52" s="341"/>
      <c r="AB52" s="343"/>
      <c r="AC52" s="389"/>
      <c r="AH52" s="389"/>
      <c r="AI52" s="389"/>
      <c r="AJ52" s="389"/>
    </row>
    <row r="53" spans="1:36" ht="13.5" thickBot="1">
      <c r="A53" s="497" t="s">
        <v>336</v>
      </c>
      <c r="B53" s="87" t="s">
        <v>28</v>
      </c>
      <c r="C53" s="86" t="s">
        <v>335</v>
      </c>
      <c r="D53" s="85">
        <v>675.17499999999995</v>
      </c>
      <c r="E53" s="85">
        <v>150</v>
      </c>
      <c r="F53" s="85">
        <v>87.5685</v>
      </c>
      <c r="G53" s="184">
        <v>0.5</v>
      </c>
      <c r="H53" s="184">
        <f t="shared" si="1"/>
        <v>43.78425</v>
      </c>
      <c r="I53" s="84">
        <f t="shared" si="9"/>
        <v>106.21575</v>
      </c>
      <c r="J53" s="83" t="s">
        <v>334</v>
      </c>
      <c r="K53" s="83">
        <v>792.93499999999995</v>
      </c>
      <c r="L53" s="83">
        <v>150</v>
      </c>
      <c r="M53" s="82">
        <f t="shared" si="8"/>
        <v>87.5685</v>
      </c>
      <c r="N53" s="81">
        <f t="shared" si="10"/>
        <v>106.21575</v>
      </c>
      <c r="O53" s="90"/>
      <c r="P53" s="99"/>
      <c r="W53" s="389"/>
      <c r="X53" s="341"/>
      <c r="Y53" s="341"/>
      <c r="Z53" s="341"/>
      <c r="AA53" s="341"/>
      <c r="AB53" s="343"/>
      <c r="AC53" s="389"/>
      <c r="AH53" s="389"/>
      <c r="AI53" s="389"/>
      <c r="AJ53" s="389"/>
    </row>
    <row r="54" spans="1:36" ht="13.5" thickBot="1">
      <c r="A54" s="499"/>
      <c r="B54" s="96" t="s">
        <v>333</v>
      </c>
      <c r="C54" s="95" t="s">
        <v>332</v>
      </c>
      <c r="D54" s="94">
        <v>300.33499999999998</v>
      </c>
      <c r="E54" s="94">
        <v>200</v>
      </c>
      <c r="F54" s="94">
        <v>33.29833</v>
      </c>
      <c r="G54" s="184">
        <v>0.5</v>
      </c>
      <c r="H54" s="184">
        <f t="shared" si="1"/>
        <v>16.649165</v>
      </c>
      <c r="I54" s="84">
        <f t="shared" si="9"/>
        <v>183.35083499999999</v>
      </c>
      <c r="J54" s="92" t="s">
        <v>331</v>
      </c>
      <c r="K54" s="92">
        <v>524.75</v>
      </c>
      <c r="L54" s="92">
        <v>200</v>
      </c>
      <c r="M54" s="91">
        <f t="shared" si="8"/>
        <v>33.29833</v>
      </c>
      <c r="N54" s="81">
        <f t="shared" si="10"/>
        <v>183.35083499999999</v>
      </c>
      <c r="O54" s="90"/>
      <c r="P54" s="89"/>
      <c r="W54" s="389"/>
      <c r="X54" s="341"/>
      <c r="Y54" s="341"/>
      <c r="Z54" s="341"/>
      <c r="AA54" s="341"/>
      <c r="AB54" s="343"/>
      <c r="AC54" s="389"/>
      <c r="AD54" s="389"/>
      <c r="AH54" s="389"/>
      <c r="AI54" s="389"/>
      <c r="AJ54" s="389"/>
    </row>
    <row r="55" spans="1:36" ht="13.5" thickBot="1">
      <c r="A55" s="497" t="s">
        <v>330</v>
      </c>
      <c r="B55" s="87" t="s">
        <v>329</v>
      </c>
      <c r="C55" s="86" t="s">
        <v>61</v>
      </c>
      <c r="D55" s="85">
        <v>381.34</v>
      </c>
      <c r="E55" s="85">
        <v>200</v>
      </c>
      <c r="F55" s="85">
        <v>233.80699999999999</v>
      </c>
      <c r="G55" s="184">
        <v>0.5</v>
      </c>
      <c r="H55" s="184">
        <f t="shared" si="1"/>
        <v>116.90349999999999</v>
      </c>
      <c r="I55" s="84">
        <f t="shared" si="9"/>
        <v>83.096500000000006</v>
      </c>
      <c r="J55" s="83" t="s">
        <v>328</v>
      </c>
      <c r="K55" s="83">
        <v>673.16499999999996</v>
      </c>
      <c r="L55" s="83">
        <v>200</v>
      </c>
      <c r="M55" s="82">
        <f t="shared" si="8"/>
        <v>233.80699999999999</v>
      </c>
      <c r="N55" s="81">
        <f t="shared" si="10"/>
        <v>83.096500000000006</v>
      </c>
      <c r="O55" s="80"/>
      <c r="P55" s="79"/>
      <c r="W55" s="389"/>
      <c r="X55" s="341"/>
      <c r="Y55" s="341"/>
      <c r="Z55" s="341"/>
      <c r="AA55" s="341"/>
      <c r="AB55" s="343"/>
      <c r="AC55" s="389"/>
      <c r="AD55" s="384"/>
      <c r="AH55" s="389"/>
      <c r="AI55" s="389"/>
      <c r="AJ55" s="389"/>
    </row>
    <row r="56" spans="1:36" ht="14.25" customHeight="1" thickBot="1">
      <c r="A56" s="498"/>
      <c r="B56" s="75" t="s">
        <v>30</v>
      </c>
      <c r="C56" s="74" t="s">
        <v>326</v>
      </c>
      <c r="D56" s="73">
        <v>317.27</v>
      </c>
      <c r="E56" s="73">
        <v>200</v>
      </c>
      <c r="F56" s="73">
        <v>136.87530000000001</v>
      </c>
      <c r="G56" s="184">
        <v>0.5</v>
      </c>
      <c r="H56" s="184">
        <f t="shared" si="1"/>
        <v>68.437650000000005</v>
      </c>
      <c r="I56" s="84">
        <f t="shared" si="9"/>
        <v>131.56234999999998</v>
      </c>
      <c r="J56" s="72" t="s">
        <v>325</v>
      </c>
      <c r="K56" s="72">
        <v>518.48</v>
      </c>
      <c r="L56" s="72">
        <v>200</v>
      </c>
      <c r="M56" s="71">
        <f t="shared" si="8"/>
        <v>136.87530000000001</v>
      </c>
      <c r="N56" s="81">
        <f t="shared" si="10"/>
        <v>131.56234999999998</v>
      </c>
      <c r="O56" s="70"/>
      <c r="P56" s="69"/>
      <c r="W56" s="389"/>
      <c r="X56" s="341"/>
      <c r="Y56" s="341"/>
      <c r="Z56" s="341"/>
      <c r="AA56" s="341"/>
      <c r="AB56" s="343"/>
      <c r="AC56" s="389"/>
      <c r="AD56" s="384"/>
      <c r="AH56" s="389"/>
      <c r="AI56" s="389"/>
      <c r="AJ56" s="389"/>
    </row>
    <row r="57" spans="1:36">
      <c r="A57" s="390"/>
      <c r="B57" s="64"/>
      <c r="C57" s="390"/>
      <c r="D57" s="390"/>
      <c r="E57" s="390"/>
      <c r="F57" s="64"/>
      <c r="G57" s="64"/>
      <c r="H57" s="64"/>
      <c r="I57" s="390"/>
      <c r="J57" s="390"/>
      <c r="K57" s="390"/>
      <c r="L57" s="390"/>
      <c r="M57" s="390"/>
      <c r="N57" s="390"/>
      <c r="O57" s="390"/>
      <c r="P57" s="390"/>
      <c r="W57" s="389"/>
      <c r="X57" s="341"/>
      <c r="Y57" s="341"/>
      <c r="Z57" s="343"/>
      <c r="AA57" s="343"/>
      <c r="AB57" s="343"/>
      <c r="AC57" s="389"/>
      <c r="AD57" s="389"/>
      <c r="AH57" s="389"/>
      <c r="AI57" s="389"/>
      <c r="AJ57" s="389"/>
    </row>
    <row r="58" spans="1:36">
      <c r="A58" s="390"/>
      <c r="B58" s="64"/>
      <c r="C58" s="390"/>
      <c r="D58" s="390"/>
      <c r="E58" s="390"/>
      <c r="F58" s="64"/>
      <c r="G58" s="64"/>
      <c r="H58" s="64"/>
      <c r="I58" s="390"/>
      <c r="J58" s="390"/>
      <c r="K58" s="390"/>
      <c r="L58" s="390"/>
      <c r="M58" s="390"/>
      <c r="N58" s="390"/>
      <c r="O58" s="390"/>
      <c r="P58" s="390"/>
      <c r="W58" s="389"/>
      <c r="X58" s="343"/>
      <c r="Y58" s="343"/>
      <c r="Z58" s="343"/>
      <c r="AA58" s="343"/>
      <c r="AB58" s="343"/>
      <c r="AC58" s="389"/>
      <c r="AD58" s="389"/>
      <c r="AE58" s="389"/>
      <c r="AF58" s="389"/>
      <c r="AH58" s="389"/>
      <c r="AI58" s="389"/>
      <c r="AJ58" s="389"/>
    </row>
    <row r="59" spans="1:36">
      <c r="A59" s="390"/>
      <c r="B59" s="64"/>
      <c r="C59" s="390"/>
      <c r="D59" s="390"/>
      <c r="E59" s="390"/>
      <c r="F59" s="64"/>
      <c r="G59" s="64"/>
      <c r="H59" s="64"/>
      <c r="I59" s="390"/>
      <c r="J59" s="390"/>
      <c r="K59" s="390"/>
      <c r="L59" s="390"/>
      <c r="M59" s="390"/>
      <c r="N59" s="390"/>
      <c r="O59" s="390"/>
      <c r="P59" s="390"/>
      <c r="R59" s="533"/>
      <c r="S59" s="533"/>
      <c r="T59" s="533"/>
      <c r="W59" s="389"/>
      <c r="X59" s="343"/>
      <c r="Y59" s="341"/>
      <c r="Z59" s="343"/>
      <c r="AA59" s="343"/>
      <c r="AB59" s="343"/>
      <c r="AC59" s="389"/>
      <c r="AD59" s="389"/>
      <c r="AE59" s="389"/>
      <c r="AF59" s="389"/>
      <c r="AH59" s="389"/>
      <c r="AI59" s="389"/>
      <c r="AJ59" s="389"/>
    </row>
    <row r="60" spans="1:36">
      <c r="A60" s="390"/>
      <c r="B60" s="64"/>
      <c r="C60" s="390"/>
      <c r="D60" s="390"/>
      <c r="E60" s="390"/>
      <c r="F60" s="64"/>
      <c r="G60" s="64"/>
      <c r="H60" s="64"/>
      <c r="I60" s="390"/>
      <c r="J60" s="390"/>
      <c r="K60" s="390"/>
      <c r="L60" s="390"/>
      <c r="M60" s="390"/>
      <c r="N60" s="390"/>
      <c r="O60" s="390"/>
      <c r="P60" s="390"/>
      <c r="R60" s="390"/>
      <c r="S60" s="390"/>
      <c r="T60" s="390"/>
      <c r="W60" s="389"/>
      <c r="X60" s="343"/>
      <c r="Y60" s="341"/>
      <c r="Z60" s="343"/>
      <c r="AA60" s="343"/>
      <c r="AB60" s="343"/>
      <c r="AC60" s="389"/>
      <c r="AD60" s="18"/>
      <c r="AE60" s="18"/>
      <c r="AF60" s="389"/>
      <c r="AH60" s="389"/>
      <c r="AI60" s="389"/>
      <c r="AJ60" s="389"/>
    </row>
    <row r="61" spans="1:36">
      <c r="A61" s="390"/>
      <c r="B61" s="64"/>
      <c r="C61" s="390"/>
      <c r="D61" s="390"/>
      <c r="E61" s="390"/>
      <c r="F61" s="64"/>
      <c r="G61" s="64"/>
      <c r="H61" s="64"/>
      <c r="I61" s="390"/>
      <c r="J61" s="390"/>
      <c r="K61" s="390"/>
      <c r="L61" s="390"/>
      <c r="M61" s="390"/>
      <c r="N61" s="390"/>
      <c r="O61" s="390"/>
      <c r="P61" s="390"/>
      <c r="R61" s="390"/>
      <c r="S61" s="390"/>
      <c r="T61" s="390"/>
      <c r="W61" s="389"/>
      <c r="X61" s="343"/>
      <c r="Y61" s="343"/>
      <c r="Z61" s="343"/>
      <c r="AA61" s="343"/>
      <c r="AB61" s="343"/>
      <c r="AC61" s="389"/>
      <c r="AD61" s="389"/>
      <c r="AE61" s="389"/>
      <c r="AF61" s="389"/>
      <c r="AH61" s="389"/>
      <c r="AI61" s="389"/>
      <c r="AJ61" s="389"/>
    </row>
    <row r="62" spans="1:36">
      <c r="A62" s="390"/>
      <c r="B62" s="65"/>
      <c r="C62" s="390"/>
      <c r="D62" s="390"/>
      <c r="E62" s="390"/>
      <c r="F62" s="64"/>
      <c r="G62" s="64"/>
      <c r="H62" s="64"/>
      <c r="I62" s="390"/>
      <c r="J62" s="390"/>
      <c r="K62" s="390"/>
      <c r="L62" s="390"/>
      <c r="M62" s="390"/>
      <c r="N62" s="390"/>
      <c r="O62" s="390"/>
      <c r="P62" s="390"/>
      <c r="R62" s="390"/>
      <c r="S62" s="390"/>
      <c r="T62" s="390"/>
      <c r="W62" s="384"/>
      <c r="X62" s="343"/>
      <c r="Y62" s="343"/>
      <c r="Z62" s="343"/>
      <c r="AA62" s="343"/>
      <c r="AB62" s="343"/>
      <c r="AC62" s="391"/>
      <c r="AD62" s="389"/>
      <c r="AE62" s="389"/>
      <c r="AF62" s="389"/>
      <c r="AH62" s="389"/>
      <c r="AI62" s="389"/>
      <c r="AJ62" s="389"/>
    </row>
    <row r="63" spans="1:36">
      <c r="A63" s="390"/>
      <c r="B63" s="65"/>
      <c r="C63" s="390"/>
      <c r="D63" s="390"/>
      <c r="E63" s="390"/>
      <c r="F63" s="64"/>
      <c r="G63" s="64"/>
      <c r="H63" s="64"/>
      <c r="I63" s="390"/>
      <c r="J63" s="390"/>
      <c r="K63" s="390"/>
      <c r="L63" s="390"/>
      <c r="M63" s="390"/>
      <c r="N63" s="390"/>
      <c r="O63" s="390"/>
      <c r="P63" s="390"/>
      <c r="R63" s="390"/>
      <c r="S63" s="390"/>
      <c r="T63" s="390"/>
      <c r="W63" s="384"/>
      <c r="X63" s="389"/>
      <c r="Y63" s="389"/>
      <c r="Z63" s="389"/>
      <c r="AA63" s="389"/>
      <c r="AB63" s="389"/>
      <c r="AC63" s="384"/>
      <c r="AD63" s="389"/>
      <c r="AE63" s="389"/>
      <c r="AF63" s="389"/>
      <c r="AH63" s="384"/>
      <c r="AI63" s="384"/>
      <c r="AJ63" s="389"/>
    </row>
    <row r="64" spans="1:36">
      <c r="A64" s="390"/>
      <c r="B64" s="65"/>
      <c r="C64" s="390"/>
      <c r="D64" s="390"/>
      <c r="E64" s="390"/>
      <c r="F64" s="64"/>
      <c r="G64" s="64"/>
      <c r="H64" s="64"/>
      <c r="I64" s="390"/>
      <c r="J64" s="390"/>
      <c r="K64" s="390"/>
      <c r="L64" s="390"/>
      <c r="M64" s="390"/>
      <c r="N64" s="390"/>
      <c r="O64" s="390"/>
      <c r="P64" s="390"/>
      <c r="R64" s="390"/>
      <c r="S64" s="390"/>
      <c r="T64" s="390"/>
      <c r="W64" s="384"/>
      <c r="X64" s="389"/>
      <c r="Y64" s="389"/>
      <c r="Z64" s="389"/>
      <c r="AA64" s="389"/>
      <c r="AB64" s="389"/>
      <c r="AC64" s="384"/>
      <c r="AD64" s="389"/>
      <c r="AE64" s="389"/>
      <c r="AF64" s="389"/>
      <c r="AH64" s="389"/>
      <c r="AI64" s="389"/>
      <c r="AJ64" s="389"/>
    </row>
    <row r="65" spans="1:37">
      <c r="A65" s="390"/>
      <c r="B65" s="64"/>
      <c r="C65" s="390"/>
      <c r="D65" s="390"/>
      <c r="L65" s="390"/>
      <c r="M65" s="390"/>
      <c r="O65" s="390"/>
      <c r="P65" s="390"/>
      <c r="R65" s="390"/>
      <c r="S65" s="390"/>
      <c r="T65" s="390"/>
      <c r="X65" s="18"/>
      <c r="Y65" s="389"/>
      <c r="Z65" s="389"/>
      <c r="AA65" s="389"/>
      <c r="AB65" s="389"/>
      <c r="AC65" s="389"/>
      <c r="AD65" s="389"/>
      <c r="AE65" s="532"/>
      <c r="AF65" s="532"/>
      <c r="AG65" s="532"/>
      <c r="AH65" s="532"/>
      <c r="AI65" s="532"/>
      <c r="AJ65" s="532"/>
      <c r="AK65" s="390"/>
    </row>
    <row r="66" spans="1:37">
      <c r="A66" s="390"/>
      <c r="B66" s="64"/>
      <c r="C66" s="390"/>
      <c r="D66" s="390"/>
      <c r="L66" s="390"/>
      <c r="M66" s="390"/>
      <c r="O66" s="390"/>
      <c r="P66" s="390"/>
      <c r="R66" s="390"/>
      <c r="S66" s="390"/>
      <c r="T66" s="390"/>
      <c r="AE66" s="359"/>
      <c r="AF66" s="360"/>
      <c r="AG66" s="360"/>
      <c r="AH66" s="360"/>
      <c r="AI66" s="384"/>
      <c r="AJ66" s="384"/>
      <c r="AK66" s="384"/>
    </row>
    <row r="67" spans="1:37">
      <c r="A67" s="390"/>
      <c r="B67" s="64"/>
      <c r="C67" s="390"/>
      <c r="D67" s="390"/>
      <c r="L67" s="390"/>
      <c r="M67" s="390"/>
      <c r="O67" s="390"/>
      <c r="P67" s="390"/>
      <c r="R67" s="390"/>
      <c r="S67" s="390"/>
      <c r="T67" s="390"/>
      <c r="AE67" s="389"/>
      <c r="AF67" s="341"/>
      <c r="AG67" s="341"/>
      <c r="AH67" s="341"/>
      <c r="AI67" s="341"/>
      <c r="AJ67" s="343"/>
      <c r="AK67" s="389"/>
    </row>
    <row r="68" spans="1:37">
      <c r="A68" s="390"/>
      <c r="B68" s="64"/>
      <c r="C68" s="390"/>
      <c r="D68" s="390"/>
      <c r="E68" s="390"/>
      <c r="F68" s="64"/>
      <c r="G68" s="64"/>
      <c r="H68" s="64"/>
      <c r="I68" s="390"/>
      <c r="J68" s="390"/>
      <c r="K68" s="390"/>
      <c r="L68" s="390"/>
      <c r="M68" s="390"/>
      <c r="N68" s="390"/>
      <c r="O68" s="390"/>
      <c r="P68" s="390"/>
      <c r="R68" s="390"/>
      <c r="S68" s="390"/>
      <c r="T68" s="390"/>
      <c r="AE68" s="389"/>
      <c r="AF68" s="341"/>
      <c r="AG68" s="341"/>
      <c r="AH68" s="341"/>
      <c r="AI68" s="341"/>
      <c r="AJ68" s="343"/>
      <c r="AK68" s="389"/>
    </row>
    <row r="69" spans="1:37">
      <c r="B69" s="64"/>
      <c r="C69" s="390"/>
      <c r="D69" s="390"/>
      <c r="E69" s="390"/>
      <c r="F69" s="64"/>
      <c r="G69" s="64"/>
      <c r="H69" s="64"/>
      <c r="I69" s="390"/>
      <c r="J69" s="390"/>
      <c r="K69" s="390"/>
      <c r="L69" s="390"/>
      <c r="M69" s="390"/>
      <c r="N69" s="390"/>
      <c r="O69" s="390"/>
      <c r="P69" s="390"/>
      <c r="R69" s="390"/>
      <c r="S69" s="390"/>
      <c r="T69" s="390"/>
      <c r="AE69" s="389"/>
      <c r="AF69" s="341"/>
      <c r="AG69" s="341"/>
      <c r="AH69" s="341"/>
      <c r="AI69" s="341"/>
      <c r="AJ69" s="343"/>
      <c r="AK69" s="389"/>
    </row>
    <row r="70" spans="1:37">
      <c r="B70" s="64"/>
      <c r="C70" s="390"/>
      <c r="D70" s="390"/>
      <c r="E70" s="390"/>
      <c r="F70" s="64"/>
      <c r="G70" s="64"/>
      <c r="H70" s="64"/>
      <c r="I70" s="390"/>
      <c r="J70" s="390"/>
      <c r="K70" s="390"/>
      <c r="L70" s="390"/>
      <c r="M70" s="390"/>
      <c r="N70" s="390"/>
      <c r="O70" s="390"/>
      <c r="P70" s="390"/>
      <c r="R70" s="390"/>
      <c r="S70" s="390"/>
      <c r="T70" s="390"/>
      <c r="AE70" s="389"/>
      <c r="AF70" s="341"/>
      <c r="AG70" s="341"/>
      <c r="AH70" s="341"/>
      <c r="AI70" s="341"/>
      <c r="AJ70" s="343"/>
      <c r="AK70" s="389"/>
    </row>
    <row r="71" spans="1:37">
      <c r="B71" s="64"/>
      <c r="C71" s="390"/>
      <c r="D71" s="390"/>
      <c r="E71" s="390"/>
      <c r="F71" s="64"/>
      <c r="G71" s="64"/>
      <c r="H71" s="64"/>
      <c r="I71" s="390"/>
      <c r="J71" s="390"/>
      <c r="K71" s="390"/>
      <c r="L71" s="390"/>
      <c r="M71" s="390"/>
      <c r="N71" s="390"/>
      <c r="O71" s="390"/>
      <c r="P71" s="390"/>
      <c r="R71" s="390"/>
      <c r="S71" s="390"/>
      <c r="T71" s="390"/>
      <c r="AE71" s="389"/>
      <c r="AF71" s="341"/>
      <c r="AG71" s="341"/>
      <c r="AH71" s="341"/>
      <c r="AI71" s="341"/>
      <c r="AJ71" s="343"/>
      <c r="AK71" s="389"/>
    </row>
    <row r="72" spans="1:37">
      <c r="B72" s="64"/>
      <c r="C72" s="390"/>
      <c r="D72" s="390"/>
      <c r="E72" s="390"/>
      <c r="F72" s="64"/>
      <c r="G72" s="64"/>
      <c r="H72" s="64"/>
      <c r="I72" s="390"/>
      <c r="J72" s="390"/>
      <c r="K72" s="390"/>
      <c r="L72" s="390"/>
      <c r="M72" s="390"/>
      <c r="N72" s="390"/>
      <c r="O72" s="390"/>
      <c r="P72" s="390"/>
      <c r="R72" s="390"/>
      <c r="S72" s="390"/>
      <c r="T72" s="390"/>
      <c r="AE72" s="389"/>
      <c r="AF72" s="341"/>
      <c r="AG72" s="341"/>
      <c r="AH72" s="341"/>
      <c r="AI72" s="341"/>
      <c r="AJ72" s="343"/>
      <c r="AK72" s="389"/>
    </row>
    <row r="73" spans="1:37">
      <c r="B73" s="64"/>
      <c r="C73" s="390"/>
      <c r="D73" s="390"/>
      <c r="E73" s="390"/>
      <c r="F73" s="64"/>
      <c r="G73" s="64"/>
      <c r="H73" s="64"/>
      <c r="I73" s="390"/>
      <c r="J73" s="390"/>
      <c r="K73" s="390"/>
      <c r="L73" s="390"/>
      <c r="M73" s="390"/>
      <c r="N73" s="390"/>
      <c r="O73" s="390"/>
      <c r="P73" s="390"/>
      <c r="R73" s="388"/>
      <c r="S73" s="390"/>
      <c r="T73" s="390"/>
      <c r="AE73" s="389"/>
      <c r="AF73" s="341"/>
      <c r="AG73" s="341"/>
      <c r="AH73" s="341"/>
      <c r="AI73" s="341"/>
      <c r="AJ73" s="343"/>
      <c r="AK73" s="389"/>
    </row>
    <row r="74" spans="1:37">
      <c r="B74" s="64"/>
      <c r="C74" s="390"/>
      <c r="D74" s="390"/>
      <c r="E74" s="390"/>
      <c r="F74" s="64"/>
      <c r="G74" s="64"/>
      <c r="H74" s="64"/>
      <c r="I74" s="390"/>
      <c r="J74" s="390"/>
      <c r="K74" s="390"/>
      <c r="L74" s="390"/>
      <c r="M74" s="390"/>
      <c r="N74" s="390"/>
      <c r="O74" s="390"/>
      <c r="P74" s="390"/>
      <c r="R74" s="253"/>
      <c r="S74" s="390"/>
      <c r="T74" s="390"/>
      <c r="AE74" s="389"/>
      <c r="AF74" s="341"/>
      <c r="AG74" s="341"/>
      <c r="AH74" s="343"/>
      <c r="AI74" s="343"/>
      <c r="AJ74" s="343"/>
      <c r="AK74" s="389"/>
    </row>
    <row r="75" spans="1:37">
      <c r="B75" s="64"/>
      <c r="C75" s="390"/>
      <c r="D75" s="390"/>
      <c r="E75" s="390"/>
      <c r="F75" s="64"/>
      <c r="G75" s="64"/>
      <c r="H75" s="64"/>
      <c r="I75" s="390"/>
      <c r="J75" s="390"/>
      <c r="K75" s="390"/>
      <c r="L75" s="390"/>
      <c r="M75" s="390"/>
      <c r="N75" s="390"/>
      <c r="O75" s="390"/>
      <c r="P75" s="390"/>
      <c r="R75" s="533"/>
      <c r="S75" s="533"/>
      <c r="T75" s="533"/>
      <c r="AE75" s="389"/>
      <c r="AF75" s="343"/>
      <c r="AG75" s="343"/>
      <c r="AH75" s="343"/>
      <c r="AI75" s="343"/>
      <c r="AJ75" s="343"/>
      <c r="AK75" s="389"/>
    </row>
    <row r="76" spans="1:37">
      <c r="B76" s="64"/>
      <c r="C76" s="390"/>
      <c r="D76" s="390"/>
      <c r="E76" s="390"/>
      <c r="F76" s="64"/>
      <c r="G76" s="64"/>
      <c r="H76" s="64"/>
      <c r="I76" s="390"/>
      <c r="J76" s="390"/>
      <c r="K76" s="390"/>
      <c r="L76" s="390"/>
      <c r="M76" s="390"/>
      <c r="N76" s="390"/>
      <c r="O76" s="390"/>
      <c r="P76" s="390"/>
      <c r="R76" s="390"/>
      <c r="S76" s="390"/>
      <c r="T76" s="390"/>
      <c r="AE76" s="389"/>
      <c r="AF76" s="343"/>
      <c r="AG76" s="341"/>
      <c r="AH76" s="343"/>
      <c r="AI76" s="343"/>
      <c r="AJ76" s="343"/>
      <c r="AK76" s="389"/>
    </row>
    <row r="77" spans="1:37">
      <c r="B77" s="64"/>
      <c r="C77" s="390"/>
      <c r="D77" s="390"/>
      <c r="E77" s="390"/>
      <c r="F77" s="64"/>
      <c r="G77" s="64"/>
      <c r="H77" s="64"/>
      <c r="I77" s="390"/>
      <c r="J77" s="390"/>
      <c r="K77" s="390"/>
      <c r="L77" s="390"/>
      <c r="M77" s="390"/>
      <c r="N77" s="390"/>
      <c r="O77" s="390"/>
      <c r="P77" s="390"/>
      <c r="R77" s="390"/>
      <c r="S77" s="390"/>
      <c r="T77" s="390"/>
      <c r="AE77" s="389"/>
      <c r="AF77" s="343"/>
      <c r="AG77" s="341"/>
      <c r="AH77" s="343"/>
      <c r="AI77" s="343"/>
      <c r="AJ77" s="343"/>
      <c r="AK77" s="389"/>
    </row>
    <row r="78" spans="1:37">
      <c r="B78" s="64"/>
      <c r="C78" s="390"/>
      <c r="D78" s="390"/>
      <c r="E78" s="390"/>
      <c r="F78" s="64"/>
      <c r="G78" s="64"/>
      <c r="H78" s="64"/>
      <c r="I78" s="390"/>
      <c r="J78" s="390"/>
      <c r="K78" s="390"/>
      <c r="L78" s="390"/>
      <c r="M78" s="390"/>
      <c r="N78" s="390"/>
      <c r="O78" s="390"/>
      <c r="P78" s="390"/>
      <c r="R78" s="390"/>
      <c r="S78" s="390"/>
      <c r="T78" s="390"/>
      <c r="AE78" s="389"/>
      <c r="AF78" s="343"/>
      <c r="AG78" s="343"/>
      <c r="AH78" s="343"/>
      <c r="AI78" s="343"/>
      <c r="AJ78" s="343"/>
      <c r="AK78" s="389"/>
    </row>
    <row r="79" spans="1:37">
      <c r="B79" s="64"/>
      <c r="C79" s="390"/>
      <c r="D79" s="390"/>
      <c r="E79" s="390"/>
      <c r="F79" s="64"/>
      <c r="G79" s="64"/>
      <c r="H79" s="64"/>
      <c r="I79" s="390"/>
      <c r="J79" s="390"/>
      <c r="K79" s="390"/>
      <c r="L79" s="390"/>
      <c r="M79" s="390"/>
      <c r="N79" s="390"/>
      <c r="O79" s="390"/>
      <c r="P79" s="390"/>
      <c r="R79" s="390"/>
      <c r="S79" s="390"/>
      <c r="T79" s="390"/>
      <c r="AE79" s="384"/>
      <c r="AF79" s="343"/>
      <c r="AG79" s="343"/>
      <c r="AH79" s="343"/>
      <c r="AI79" s="343"/>
      <c r="AJ79" s="343"/>
      <c r="AK79" s="391"/>
    </row>
    <row r="80" spans="1:37">
      <c r="B80" s="64"/>
      <c r="C80" s="390"/>
      <c r="D80" s="390"/>
      <c r="E80" s="390"/>
      <c r="F80" s="64"/>
      <c r="G80" s="64"/>
      <c r="H80" s="64"/>
      <c r="I80" s="390"/>
      <c r="J80" s="390"/>
      <c r="K80" s="390"/>
      <c r="L80" s="390"/>
      <c r="M80" s="390"/>
      <c r="N80" s="390"/>
      <c r="O80" s="390"/>
      <c r="P80" s="390"/>
      <c r="R80" s="390"/>
      <c r="S80" s="390"/>
      <c r="T80" s="390"/>
      <c r="AE80" s="384"/>
      <c r="AF80" s="389"/>
      <c r="AG80" s="389"/>
      <c r="AH80" s="389"/>
      <c r="AI80" s="389"/>
      <c r="AJ80" s="389"/>
      <c r="AK80" s="384"/>
    </row>
    <row r="81" spans="2:37">
      <c r="B81" s="64"/>
      <c r="C81" s="390"/>
      <c r="D81" s="390"/>
      <c r="E81" s="390"/>
      <c r="F81" s="64"/>
      <c r="G81" s="64"/>
      <c r="H81" s="64"/>
      <c r="I81" s="390"/>
      <c r="J81" s="390"/>
      <c r="K81" s="390"/>
      <c r="L81" s="390"/>
      <c r="M81" s="390"/>
      <c r="N81" s="390"/>
      <c r="O81" s="390"/>
      <c r="P81" s="390"/>
      <c r="R81" s="390"/>
      <c r="S81" s="390"/>
      <c r="T81" s="390"/>
      <c r="AE81" s="384"/>
      <c r="AF81" s="389"/>
      <c r="AG81" s="389"/>
      <c r="AH81" s="389"/>
      <c r="AI81" s="389"/>
      <c r="AJ81" s="389"/>
      <c r="AK81" s="384"/>
    </row>
    <row r="82" spans="2:37">
      <c r="B82" s="64"/>
      <c r="C82" s="390"/>
      <c r="D82" s="390"/>
      <c r="E82" s="390"/>
      <c r="F82" s="64"/>
      <c r="G82" s="64"/>
      <c r="H82" s="64"/>
      <c r="I82" s="390"/>
      <c r="J82" s="390"/>
      <c r="K82" s="390"/>
      <c r="L82" s="390"/>
      <c r="M82" s="390"/>
      <c r="N82" s="390"/>
      <c r="O82" s="390"/>
      <c r="P82" s="390"/>
      <c r="R82" s="390"/>
      <c r="S82" s="390"/>
      <c r="T82" s="390"/>
    </row>
    <row r="83" spans="2:37">
      <c r="B83" s="64"/>
      <c r="C83" s="390"/>
      <c r="D83" s="390"/>
      <c r="E83" s="390"/>
      <c r="F83" s="64"/>
      <c r="G83" s="64"/>
      <c r="H83" s="64"/>
      <c r="I83" s="390"/>
      <c r="J83" s="390"/>
      <c r="K83" s="390"/>
      <c r="L83" s="390"/>
      <c r="M83" s="390"/>
      <c r="N83" s="390"/>
      <c r="O83" s="390"/>
      <c r="P83" s="390"/>
      <c r="R83" s="390"/>
      <c r="S83" s="390"/>
      <c r="T83" s="390"/>
    </row>
    <row r="84" spans="2:37">
      <c r="B84" s="64"/>
      <c r="C84" s="390"/>
      <c r="D84" s="390"/>
      <c r="E84" s="390"/>
      <c r="F84" s="64"/>
      <c r="G84" s="64"/>
      <c r="H84" s="64"/>
      <c r="I84" s="390"/>
      <c r="J84" s="390"/>
      <c r="K84" s="390"/>
      <c r="L84" s="390"/>
      <c r="M84" s="390"/>
      <c r="N84" s="390"/>
      <c r="O84" s="390"/>
      <c r="P84" s="390"/>
      <c r="R84" s="390"/>
      <c r="S84" s="390"/>
      <c r="T84" s="390"/>
    </row>
    <row r="85" spans="2:37">
      <c r="B85" s="64"/>
      <c r="C85" s="390"/>
      <c r="D85" s="390"/>
      <c r="E85" s="390"/>
      <c r="F85" s="64"/>
      <c r="G85" s="64"/>
      <c r="H85" s="64"/>
      <c r="I85" s="390"/>
      <c r="J85" s="390"/>
      <c r="K85" s="390"/>
      <c r="L85" s="390"/>
      <c r="M85" s="390"/>
      <c r="N85" s="390"/>
      <c r="O85" s="390"/>
      <c r="P85" s="390"/>
      <c r="R85" s="390"/>
      <c r="S85" s="390"/>
      <c r="T85" s="390"/>
    </row>
    <row r="86" spans="2:37">
      <c r="B86" s="64"/>
      <c r="C86" s="390"/>
      <c r="D86" s="390"/>
      <c r="E86" s="390"/>
      <c r="F86" s="64"/>
      <c r="G86" s="64"/>
      <c r="H86" s="64"/>
      <c r="I86" s="390"/>
      <c r="J86" s="390"/>
      <c r="K86" s="390"/>
      <c r="L86" s="390"/>
      <c r="M86" s="390"/>
      <c r="N86" s="390"/>
      <c r="O86" s="390"/>
      <c r="P86" s="390"/>
      <c r="R86" s="390"/>
      <c r="S86" s="390"/>
      <c r="T86" s="390"/>
    </row>
    <row r="87" spans="2:37">
      <c r="B87" s="64"/>
      <c r="C87" s="390"/>
      <c r="D87" s="390"/>
      <c r="E87" s="390"/>
      <c r="F87" s="64"/>
      <c r="G87" s="64"/>
      <c r="H87" s="64"/>
      <c r="I87" s="390"/>
      <c r="J87" s="390"/>
      <c r="K87" s="390"/>
      <c r="L87" s="390"/>
      <c r="M87" s="390"/>
      <c r="N87" s="390"/>
      <c r="O87" s="390"/>
      <c r="P87" s="390"/>
      <c r="R87" s="390"/>
      <c r="S87" s="390"/>
      <c r="T87" s="390"/>
    </row>
    <row r="88" spans="2:37">
      <c r="B88" s="64"/>
      <c r="C88" s="390"/>
      <c r="D88" s="390"/>
      <c r="E88" s="390"/>
      <c r="F88" s="64"/>
      <c r="G88" s="64"/>
      <c r="H88" s="64"/>
      <c r="I88" s="390"/>
      <c r="J88" s="390"/>
      <c r="K88" s="390"/>
      <c r="L88" s="390"/>
      <c r="M88" s="390"/>
      <c r="N88" s="390"/>
      <c r="O88" s="390"/>
      <c r="P88" s="390"/>
      <c r="R88" s="390"/>
      <c r="S88" s="390"/>
      <c r="T88" s="390"/>
    </row>
    <row r="89" spans="2:37">
      <c r="B89" s="64"/>
      <c r="C89" s="390"/>
      <c r="D89" s="390"/>
      <c r="E89" s="390"/>
      <c r="F89" s="64"/>
      <c r="G89" s="64"/>
      <c r="H89" s="64"/>
      <c r="I89" s="390"/>
      <c r="J89" s="390"/>
      <c r="K89" s="390"/>
      <c r="L89" s="390"/>
      <c r="M89" s="390"/>
      <c r="N89" s="390"/>
      <c r="O89" s="390"/>
      <c r="P89" s="390"/>
      <c r="R89" s="388"/>
      <c r="S89" s="390"/>
      <c r="T89" s="390"/>
    </row>
    <row r="90" spans="2:37">
      <c r="B90" s="64"/>
      <c r="C90" s="390"/>
      <c r="D90" s="390"/>
      <c r="E90" s="390"/>
      <c r="F90" s="64"/>
      <c r="G90" s="64"/>
      <c r="H90" s="64"/>
      <c r="I90" s="390"/>
      <c r="J90" s="390"/>
      <c r="K90" s="390"/>
      <c r="L90" s="390"/>
      <c r="M90" s="390"/>
      <c r="N90" s="390"/>
      <c r="O90" s="390"/>
      <c r="P90" s="390"/>
    </row>
    <row r="91" spans="2:37">
      <c r="B91" s="64"/>
      <c r="C91" s="390"/>
      <c r="D91" s="390"/>
      <c r="E91" s="390"/>
      <c r="F91" s="64"/>
      <c r="G91" s="64"/>
      <c r="H91" s="64"/>
      <c r="I91" s="390"/>
      <c r="J91" s="390"/>
      <c r="K91" s="390"/>
      <c r="L91" s="390"/>
      <c r="M91" s="390"/>
      <c r="N91" s="390"/>
      <c r="O91" s="390"/>
      <c r="P91" s="390"/>
    </row>
    <row r="92" spans="2:37">
      <c r="B92" s="64"/>
      <c r="C92" s="390"/>
      <c r="D92" s="390"/>
      <c r="E92" s="390"/>
      <c r="F92" s="64"/>
      <c r="G92" s="64"/>
      <c r="H92" s="64"/>
      <c r="I92" s="390"/>
      <c r="J92" s="390"/>
      <c r="K92" s="390"/>
      <c r="L92" s="390"/>
      <c r="M92" s="390"/>
      <c r="N92" s="390"/>
      <c r="O92" s="390"/>
      <c r="P92" s="390"/>
    </row>
    <row r="93" spans="2:37">
      <c r="B93" s="64"/>
      <c r="C93" s="390"/>
      <c r="D93" s="390"/>
      <c r="E93" s="390"/>
      <c r="F93" s="64"/>
      <c r="G93" s="64"/>
      <c r="H93" s="64"/>
      <c r="I93" s="390"/>
      <c r="J93" s="390"/>
      <c r="K93" s="390"/>
      <c r="L93" s="390"/>
      <c r="M93" s="390"/>
      <c r="N93" s="390"/>
      <c r="O93" s="390"/>
      <c r="P93" s="390"/>
    </row>
    <row r="94" spans="2:37">
      <c r="B94" s="64"/>
      <c r="C94" s="390"/>
      <c r="D94" s="390"/>
      <c r="E94" s="390"/>
      <c r="F94" s="64"/>
      <c r="G94" s="64"/>
      <c r="H94" s="64"/>
      <c r="I94" s="390"/>
      <c r="J94" s="390"/>
      <c r="K94" s="390"/>
      <c r="L94" s="390"/>
      <c r="M94" s="390"/>
      <c r="N94" s="390"/>
      <c r="O94" s="390"/>
      <c r="P94" s="390"/>
    </row>
    <row r="95" spans="2:37">
      <c r="B95" s="64"/>
      <c r="C95" s="390"/>
      <c r="D95" s="390"/>
      <c r="E95" s="390"/>
      <c r="F95" s="64"/>
      <c r="G95" s="64"/>
      <c r="H95" s="64"/>
      <c r="I95" s="390"/>
      <c r="J95" s="390"/>
      <c r="K95" s="390"/>
      <c r="L95" s="390"/>
      <c r="M95" s="390"/>
      <c r="N95" s="390"/>
      <c r="O95" s="390"/>
      <c r="P95" s="390"/>
    </row>
    <row r="96" spans="2:37">
      <c r="B96" s="64"/>
      <c r="C96" s="390"/>
      <c r="D96" s="390"/>
      <c r="E96" s="390"/>
      <c r="F96" s="64"/>
      <c r="G96" s="64"/>
      <c r="H96" s="64"/>
      <c r="I96" s="390"/>
      <c r="J96" s="390"/>
      <c r="K96" s="390"/>
      <c r="L96" s="390"/>
      <c r="M96" s="390"/>
      <c r="N96" s="390"/>
      <c r="O96" s="390"/>
      <c r="P96" s="390"/>
    </row>
    <row r="97" spans="2:16">
      <c r="B97" s="64"/>
      <c r="C97" s="390"/>
      <c r="D97" s="390"/>
      <c r="E97" s="390"/>
      <c r="F97" s="64"/>
      <c r="G97" s="64"/>
      <c r="H97" s="64"/>
      <c r="I97" s="390"/>
      <c r="J97" s="390"/>
      <c r="K97" s="390"/>
      <c r="L97" s="390"/>
      <c r="M97" s="390"/>
      <c r="N97" s="390"/>
      <c r="O97" s="390"/>
      <c r="P97" s="390"/>
    </row>
    <row r="98" spans="2:16">
      <c r="B98" s="64"/>
      <c r="C98" s="390"/>
      <c r="D98" s="390"/>
      <c r="E98" s="390"/>
      <c r="F98" s="64"/>
      <c r="G98" s="64"/>
      <c r="H98" s="64"/>
      <c r="I98" s="390"/>
      <c r="J98" s="390"/>
      <c r="K98" s="390"/>
      <c r="L98" s="390"/>
      <c r="M98" s="390"/>
      <c r="N98" s="390"/>
      <c r="O98" s="390"/>
      <c r="P98" s="390"/>
    </row>
    <row r="99" spans="2:16">
      <c r="B99" s="64"/>
      <c r="C99" s="390"/>
      <c r="D99" s="390"/>
      <c r="E99" s="390"/>
      <c r="F99" s="64"/>
      <c r="G99" s="64"/>
      <c r="H99" s="64"/>
      <c r="I99" s="390"/>
      <c r="J99" s="390"/>
      <c r="K99" s="390"/>
      <c r="L99" s="390"/>
      <c r="M99" s="390"/>
      <c r="N99" s="390"/>
      <c r="O99" s="390"/>
      <c r="P99" s="390"/>
    </row>
    <row r="100" spans="2:16">
      <c r="B100" s="64"/>
      <c r="C100" s="390"/>
      <c r="D100" s="390"/>
      <c r="E100" s="390"/>
      <c r="F100" s="64"/>
      <c r="G100" s="64"/>
      <c r="H100" s="64"/>
      <c r="I100" s="390"/>
      <c r="J100" s="390"/>
      <c r="K100" s="390"/>
      <c r="L100" s="390"/>
      <c r="M100" s="390"/>
      <c r="N100" s="390"/>
      <c r="O100" s="390"/>
      <c r="P100" s="390"/>
    </row>
    <row r="101" spans="2:16">
      <c r="B101" s="64"/>
      <c r="C101" s="390"/>
      <c r="D101" s="390"/>
      <c r="E101" s="390"/>
      <c r="F101" s="64"/>
      <c r="G101" s="64"/>
      <c r="H101" s="64"/>
      <c r="I101" s="390"/>
      <c r="J101" s="390"/>
      <c r="K101" s="390"/>
      <c r="L101" s="390"/>
      <c r="M101" s="390"/>
      <c r="N101" s="390"/>
      <c r="O101" s="390"/>
      <c r="P101" s="390"/>
    </row>
    <row r="102" spans="2:16">
      <c r="B102" s="64"/>
      <c r="C102" s="390"/>
      <c r="D102" s="390"/>
      <c r="E102" s="390"/>
      <c r="F102" s="64"/>
      <c r="G102" s="64"/>
      <c r="H102" s="64"/>
      <c r="I102" s="390"/>
      <c r="J102" s="390"/>
      <c r="K102" s="390"/>
      <c r="L102" s="390"/>
      <c r="M102" s="390"/>
      <c r="N102" s="390"/>
      <c r="O102" s="390"/>
      <c r="P102" s="390"/>
    </row>
    <row r="103" spans="2:16">
      <c r="B103" s="64"/>
      <c r="C103" s="390"/>
      <c r="D103" s="390"/>
      <c r="E103" s="390"/>
      <c r="F103" s="64"/>
      <c r="G103" s="64"/>
      <c r="H103" s="64"/>
      <c r="I103" s="390"/>
      <c r="J103" s="390"/>
      <c r="K103" s="390"/>
      <c r="L103" s="390"/>
      <c r="M103" s="390"/>
      <c r="N103" s="390"/>
      <c r="O103" s="390"/>
      <c r="P103" s="390"/>
    </row>
    <row r="104" spans="2:16">
      <c r="B104" s="64"/>
      <c r="C104" s="390"/>
      <c r="D104" s="390"/>
      <c r="E104" s="390"/>
      <c r="F104" s="64"/>
      <c r="G104" s="64"/>
      <c r="H104" s="64"/>
      <c r="I104" s="390"/>
      <c r="J104" s="390"/>
      <c r="K104" s="390"/>
      <c r="L104" s="390"/>
      <c r="M104" s="390"/>
      <c r="N104" s="390"/>
      <c r="O104" s="390"/>
      <c r="P104" s="390"/>
    </row>
    <row r="105" spans="2:16">
      <c r="B105" s="64"/>
      <c r="C105" s="390"/>
      <c r="D105" s="390"/>
      <c r="E105" s="390"/>
      <c r="F105" s="64"/>
      <c r="G105" s="64"/>
      <c r="H105" s="64"/>
      <c r="I105" s="390"/>
      <c r="J105" s="390"/>
      <c r="K105" s="390"/>
      <c r="L105" s="390"/>
      <c r="M105" s="390"/>
      <c r="N105" s="390"/>
      <c r="O105" s="390"/>
      <c r="P105" s="390"/>
    </row>
    <row r="106" spans="2:16">
      <c r="B106" s="64"/>
      <c r="C106" s="390"/>
      <c r="D106" s="390"/>
      <c r="E106" s="390"/>
      <c r="F106" s="64"/>
      <c r="G106" s="64"/>
      <c r="H106" s="64"/>
      <c r="I106" s="390"/>
      <c r="J106" s="390"/>
      <c r="K106" s="390"/>
      <c r="L106" s="390"/>
      <c r="M106" s="390"/>
      <c r="N106" s="390"/>
      <c r="O106" s="390"/>
      <c r="P106" s="390"/>
    </row>
    <row r="107" spans="2:16">
      <c r="B107" s="64"/>
      <c r="C107" s="390"/>
      <c r="D107" s="390"/>
      <c r="E107" s="390"/>
      <c r="F107" s="64"/>
      <c r="G107" s="64"/>
      <c r="H107" s="64"/>
      <c r="I107" s="390"/>
      <c r="J107" s="390"/>
      <c r="K107" s="390"/>
      <c r="L107" s="390"/>
      <c r="M107" s="390"/>
      <c r="N107" s="390"/>
      <c r="O107" s="390"/>
      <c r="P107" s="390"/>
    </row>
    <row r="108" spans="2:16">
      <c r="B108" s="64"/>
      <c r="C108" s="390"/>
      <c r="D108" s="390"/>
      <c r="E108" s="390"/>
      <c r="F108" s="64"/>
      <c r="G108" s="64"/>
      <c r="H108" s="64"/>
      <c r="I108" s="390"/>
      <c r="J108" s="390"/>
      <c r="K108" s="390"/>
      <c r="L108" s="390"/>
      <c r="M108" s="390"/>
      <c r="N108" s="390"/>
      <c r="O108" s="390"/>
      <c r="P108" s="390"/>
    </row>
    <row r="109" spans="2:16">
      <c r="B109" s="64"/>
      <c r="C109" s="390"/>
      <c r="D109" s="390"/>
      <c r="E109" s="390"/>
      <c r="F109" s="64"/>
      <c r="G109" s="64"/>
      <c r="H109" s="64"/>
      <c r="I109" s="390"/>
      <c r="J109" s="390"/>
      <c r="K109" s="390"/>
      <c r="L109" s="390"/>
      <c r="M109" s="390"/>
      <c r="N109" s="390"/>
      <c r="O109" s="390"/>
      <c r="P109" s="390"/>
    </row>
    <row r="110" spans="2:16">
      <c r="B110" s="64"/>
      <c r="C110" s="390"/>
      <c r="D110" s="390"/>
      <c r="E110" s="390"/>
      <c r="F110" s="64"/>
      <c r="G110" s="64"/>
      <c r="H110" s="64"/>
      <c r="I110" s="390"/>
      <c r="J110" s="390"/>
      <c r="K110" s="390"/>
      <c r="L110" s="390"/>
      <c r="M110" s="390"/>
      <c r="N110" s="390"/>
      <c r="O110" s="390"/>
      <c r="P110" s="390"/>
    </row>
    <row r="111" spans="2:16">
      <c r="B111" s="64"/>
      <c r="C111" s="390"/>
      <c r="D111" s="390"/>
      <c r="E111" s="390"/>
      <c r="F111" s="64"/>
      <c r="G111" s="64"/>
      <c r="H111" s="64"/>
      <c r="I111" s="390"/>
      <c r="J111" s="390"/>
      <c r="K111" s="390"/>
      <c r="L111" s="390"/>
      <c r="M111" s="390"/>
      <c r="N111" s="390"/>
      <c r="O111" s="390"/>
      <c r="P111" s="390"/>
    </row>
    <row r="112" spans="2:16">
      <c r="B112" s="64"/>
      <c r="C112" s="390"/>
      <c r="D112" s="390"/>
      <c r="E112" s="390"/>
      <c r="F112" s="64"/>
      <c r="G112" s="64"/>
      <c r="H112" s="64"/>
      <c r="I112" s="390"/>
      <c r="J112" s="390"/>
      <c r="K112" s="390"/>
      <c r="L112" s="390"/>
      <c r="M112" s="390"/>
      <c r="N112" s="390"/>
      <c r="O112" s="390"/>
      <c r="P112" s="390"/>
    </row>
    <row r="113" spans="1:16">
      <c r="B113" s="64"/>
      <c r="C113" s="390"/>
      <c r="D113" s="390"/>
      <c r="E113" s="390"/>
      <c r="F113" s="64"/>
      <c r="G113" s="64"/>
      <c r="H113" s="64"/>
      <c r="I113" s="390"/>
      <c r="J113" s="390"/>
      <c r="K113" s="390"/>
      <c r="L113" s="390"/>
      <c r="M113" s="390"/>
      <c r="N113" s="390"/>
      <c r="O113" s="390"/>
      <c r="P113" s="390"/>
    </row>
    <row r="114" spans="1:16">
      <c r="B114" s="64"/>
      <c r="C114" s="390"/>
      <c r="D114" s="390"/>
      <c r="E114" s="390"/>
      <c r="F114" s="64"/>
      <c r="G114" s="64"/>
      <c r="H114" s="64"/>
      <c r="I114" s="390"/>
      <c r="J114" s="390"/>
      <c r="K114" s="390"/>
      <c r="L114" s="390"/>
      <c r="M114" s="390"/>
      <c r="N114" s="390"/>
      <c r="O114" s="390"/>
      <c r="P114" s="390"/>
    </row>
    <row r="115" spans="1:16">
      <c r="B115" s="64"/>
      <c r="C115" s="390"/>
      <c r="D115" s="390"/>
      <c r="E115" s="390"/>
      <c r="F115" s="64"/>
      <c r="G115" s="64"/>
      <c r="H115" s="64"/>
      <c r="I115" s="390"/>
      <c r="J115" s="390"/>
      <c r="K115" s="390"/>
      <c r="L115" s="390"/>
      <c r="M115" s="390"/>
      <c r="N115" s="390"/>
      <c r="O115" s="390"/>
      <c r="P115" s="390"/>
    </row>
    <row r="116" spans="1:16">
      <c r="B116" s="64"/>
      <c r="C116" s="390"/>
      <c r="D116" s="390"/>
      <c r="E116" s="390"/>
      <c r="F116" s="64"/>
      <c r="G116" s="64"/>
      <c r="H116" s="64"/>
      <c r="I116" s="390"/>
      <c r="J116" s="390"/>
      <c r="K116" s="390"/>
      <c r="L116" s="390"/>
      <c r="M116" s="390"/>
      <c r="N116" s="390"/>
      <c r="O116" s="390"/>
      <c r="P116" s="390"/>
    </row>
    <row r="117" spans="1:16">
      <c r="B117" s="64"/>
      <c r="C117" s="390"/>
      <c r="D117" s="390"/>
      <c r="E117" s="390"/>
      <c r="F117" s="64"/>
      <c r="G117" s="64"/>
      <c r="H117" s="64"/>
      <c r="I117" s="390"/>
      <c r="J117" s="390"/>
      <c r="K117" s="390"/>
      <c r="L117" s="390"/>
      <c r="M117" s="390"/>
      <c r="N117" s="390"/>
      <c r="O117" s="390"/>
      <c r="P117" s="390"/>
    </row>
    <row r="118" spans="1:16">
      <c r="B118" s="64"/>
      <c r="C118" s="390"/>
      <c r="D118" s="390"/>
      <c r="E118" s="390"/>
      <c r="F118" s="64"/>
      <c r="G118" s="64"/>
      <c r="H118" s="64"/>
      <c r="I118" s="390"/>
      <c r="J118" s="390"/>
      <c r="K118" s="390"/>
      <c r="L118" s="390"/>
      <c r="M118" s="390"/>
      <c r="N118" s="390"/>
      <c r="O118" s="390"/>
      <c r="P118" s="390"/>
    </row>
    <row r="119" spans="1:16">
      <c r="B119" s="64"/>
      <c r="C119" s="390"/>
      <c r="D119" s="390"/>
      <c r="E119" s="390"/>
      <c r="F119" s="64"/>
      <c r="G119" s="64"/>
      <c r="H119" s="64"/>
      <c r="I119" s="390"/>
      <c r="J119" s="390"/>
      <c r="K119" s="390"/>
      <c r="L119" s="390"/>
      <c r="M119" s="390"/>
      <c r="N119" s="390"/>
      <c r="O119" s="390"/>
      <c r="P119" s="390"/>
    </row>
    <row r="120" spans="1:16">
      <c r="B120" s="64"/>
      <c r="C120" s="390"/>
      <c r="D120" s="390"/>
      <c r="E120" s="390"/>
      <c r="F120" s="64"/>
      <c r="G120" s="64"/>
      <c r="H120" s="64"/>
      <c r="I120" s="390"/>
      <c r="J120" s="390"/>
      <c r="K120" s="390"/>
      <c r="L120" s="390"/>
      <c r="M120" s="390"/>
      <c r="N120" s="390"/>
      <c r="O120" s="390"/>
      <c r="P120" s="390"/>
    </row>
    <row r="121" spans="1:16">
      <c r="B121" s="64"/>
      <c r="C121" s="390"/>
      <c r="D121" s="390"/>
      <c r="E121" s="390"/>
      <c r="F121" s="64"/>
      <c r="G121" s="64"/>
      <c r="H121" s="64"/>
      <c r="I121" s="390"/>
      <c r="J121" s="390"/>
      <c r="K121" s="390"/>
      <c r="L121" s="390"/>
      <c r="M121" s="390"/>
      <c r="N121" s="390"/>
      <c r="O121" s="390"/>
      <c r="P121" s="390"/>
    </row>
    <row r="122" spans="1:16">
      <c r="B122" s="64"/>
      <c r="C122" s="390"/>
      <c r="D122" s="390"/>
      <c r="E122" s="390"/>
      <c r="F122" s="64"/>
      <c r="G122" s="64"/>
      <c r="H122" s="64"/>
      <c r="I122" s="390"/>
      <c r="J122" s="390"/>
      <c r="K122" s="390"/>
      <c r="L122" s="390"/>
      <c r="M122" s="390"/>
      <c r="N122" s="390"/>
      <c r="O122" s="390"/>
      <c r="P122" s="390"/>
    </row>
    <row r="123" spans="1:16">
      <c r="B123" s="64"/>
      <c r="C123" s="390"/>
      <c r="D123" s="390"/>
      <c r="E123" s="390"/>
      <c r="F123" s="64"/>
      <c r="G123" s="64"/>
      <c r="H123" s="64"/>
      <c r="I123" s="390"/>
      <c r="J123" s="390"/>
      <c r="K123" s="390"/>
      <c r="L123" s="390"/>
      <c r="M123" s="390"/>
      <c r="N123" s="390"/>
      <c r="O123" s="390"/>
      <c r="P123" s="390"/>
    </row>
    <row r="124" spans="1:16">
      <c r="A124" s="390"/>
      <c r="B124" s="64"/>
      <c r="C124" s="390"/>
      <c r="D124" s="390"/>
      <c r="E124" s="390"/>
      <c r="F124" s="64"/>
      <c r="G124" s="64"/>
      <c r="H124" s="64"/>
      <c r="I124" s="390"/>
      <c r="J124" s="390"/>
      <c r="K124" s="390"/>
      <c r="L124" s="390"/>
      <c r="M124" s="390"/>
      <c r="N124" s="390"/>
      <c r="O124" s="390"/>
      <c r="P124" s="390"/>
    </row>
    <row r="125" spans="1:16">
      <c r="A125" s="390"/>
      <c r="B125" s="64"/>
      <c r="C125" s="390"/>
      <c r="D125" s="390"/>
      <c r="E125" s="390"/>
      <c r="F125" s="64"/>
      <c r="G125" s="64"/>
      <c r="H125" s="64"/>
      <c r="I125" s="390"/>
      <c r="J125" s="390"/>
      <c r="K125" s="390"/>
      <c r="L125" s="390"/>
      <c r="M125" s="390"/>
      <c r="N125" s="390"/>
      <c r="O125" s="390"/>
      <c r="P125" s="390"/>
    </row>
    <row r="126" spans="1:16">
      <c r="A126" s="390"/>
      <c r="B126" s="64"/>
      <c r="C126" s="390"/>
      <c r="D126" s="390"/>
      <c r="E126" s="390"/>
      <c r="F126" s="64"/>
      <c r="G126" s="64"/>
      <c r="H126" s="64"/>
      <c r="I126" s="390"/>
      <c r="J126" s="390"/>
      <c r="K126" s="390"/>
      <c r="L126" s="390"/>
      <c r="M126" s="390"/>
      <c r="N126" s="390"/>
      <c r="O126" s="390"/>
      <c r="P126" s="390"/>
    </row>
    <row r="127" spans="1:16">
      <c r="A127" s="390"/>
      <c r="B127" s="64"/>
      <c r="C127" s="390"/>
      <c r="D127" s="390"/>
      <c r="E127" s="390"/>
      <c r="F127" s="64"/>
      <c r="G127" s="64"/>
      <c r="H127" s="64"/>
      <c r="I127" s="390"/>
      <c r="J127" s="390"/>
      <c r="K127" s="390"/>
      <c r="L127" s="390"/>
      <c r="M127" s="390"/>
      <c r="N127" s="390"/>
      <c r="O127" s="390"/>
      <c r="P127" s="390"/>
    </row>
    <row r="128" spans="1:16">
      <c r="A128" s="390"/>
      <c r="B128" s="64"/>
      <c r="C128" s="390"/>
      <c r="D128" s="390"/>
      <c r="E128" s="390"/>
      <c r="F128" s="64"/>
      <c r="G128" s="64"/>
      <c r="H128" s="64"/>
      <c r="I128" s="390"/>
      <c r="J128" s="390"/>
      <c r="K128" s="390"/>
      <c r="L128" s="390"/>
      <c r="M128" s="390"/>
      <c r="N128" s="390"/>
      <c r="O128" s="390"/>
      <c r="P128" s="390"/>
    </row>
    <row r="129" spans="1:16">
      <c r="A129" s="390"/>
      <c r="B129" s="64"/>
      <c r="C129" s="390"/>
      <c r="D129" s="390"/>
      <c r="E129" s="390"/>
      <c r="F129" s="64"/>
      <c r="G129" s="64"/>
      <c r="H129" s="64"/>
      <c r="I129" s="390"/>
      <c r="J129" s="390"/>
      <c r="K129" s="390"/>
      <c r="L129" s="390"/>
      <c r="M129" s="390"/>
      <c r="N129" s="390"/>
      <c r="O129" s="390"/>
      <c r="P129" s="390"/>
    </row>
    <row r="130" spans="1:16">
      <c r="A130" s="390"/>
      <c r="B130" s="64"/>
      <c r="C130" s="390"/>
      <c r="D130" s="390"/>
      <c r="E130" s="390"/>
      <c r="F130" s="64"/>
      <c r="G130" s="64"/>
      <c r="H130" s="64"/>
      <c r="I130" s="390"/>
      <c r="J130" s="390"/>
      <c r="K130" s="390"/>
      <c r="L130" s="390"/>
      <c r="M130" s="390"/>
      <c r="N130" s="390"/>
      <c r="O130" s="390"/>
      <c r="P130" s="390"/>
    </row>
    <row r="131" spans="1:16">
      <c r="A131" s="390"/>
      <c r="B131" s="64"/>
      <c r="C131" s="390"/>
      <c r="D131" s="390"/>
      <c r="E131" s="390"/>
      <c r="F131" s="64"/>
      <c r="G131" s="64"/>
      <c r="H131" s="64"/>
      <c r="I131" s="390"/>
      <c r="J131" s="390"/>
      <c r="K131" s="390"/>
      <c r="L131" s="390"/>
      <c r="M131" s="390"/>
      <c r="N131" s="390"/>
      <c r="O131" s="390"/>
      <c r="P131" s="390"/>
    </row>
    <row r="132" spans="1:16">
      <c r="A132" s="390"/>
      <c r="B132" s="64"/>
      <c r="C132" s="390"/>
      <c r="D132" s="390"/>
      <c r="E132" s="390"/>
      <c r="F132" s="64"/>
      <c r="G132" s="64"/>
      <c r="H132" s="64"/>
      <c r="I132" s="390"/>
      <c r="J132" s="390"/>
      <c r="K132" s="390"/>
      <c r="L132" s="390"/>
      <c r="M132" s="390"/>
      <c r="N132" s="390"/>
      <c r="O132" s="390"/>
      <c r="P132" s="390"/>
    </row>
    <row r="133" spans="1:16">
      <c r="A133" s="390"/>
      <c r="B133" s="64"/>
      <c r="C133" s="390"/>
      <c r="D133" s="390"/>
      <c r="E133" s="390"/>
      <c r="F133" s="64"/>
      <c r="G133" s="64"/>
      <c r="H133" s="64"/>
      <c r="I133" s="390"/>
      <c r="J133" s="390"/>
      <c r="K133" s="390"/>
      <c r="L133" s="390"/>
      <c r="M133" s="390"/>
      <c r="N133" s="390"/>
      <c r="O133" s="390"/>
      <c r="P133" s="390"/>
    </row>
    <row r="134" spans="1:16">
      <c r="A134" s="390"/>
      <c r="B134" s="64"/>
      <c r="C134" s="390"/>
      <c r="D134" s="390"/>
      <c r="E134" s="390"/>
      <c r="F134" s="64"/>
      <c r="G134" s="64"/>
      <c r="H134" s="64"/>
      <c r="I134" s="390"/>
      <c r="J134" s="390"/>
      <c r="K134" s="390"/>
      <c r="L134" s="390"/>
      <c r="M134" s="390"/>
      <c r="N134" s="390"/>
      <c r="O134" s="390"/>
      <c r="P134" s="390"/>
    </row>
    <row r="135" spans="1:16">
      <c r="A135" s="390"/>
      <c r="B135" s="64"/>
      <c r="C135" s="390"/>
      <c r="D135" s="390"/>
      <c r="E135" s="390"/>
      <c r="F135" s="64"/>
      <c r="G135" s="64"/>
      <c r="H135" s="64"/>
      <c r="I135" s="390"/>
      <c r="J135" s="390"/>
      <c r="K135" s="390"/>
      <c r="L135" s="390"/>
      <c r="M135" s="390"/>
      <c r="N135" s="390"/>
      <c r="O135" s="390"/>
      <c r="P135" s="390"/>
    </row>
    <row r="136" spans="1:16">
      <c r="A136" s="390"/>
      <c r="B136" s="64"/>
      <c r="C136" s="390"/>
      <c r="D136" s="390"/>
      <c r="E136" s="390"/>
      <c r="F136" s="64"/>
      <c r="G136" s="64"/>
      <c r="H136" s="64"/>
      <c r="I136" s="390"/>
      <c r="J136" s="390"/>
      <c r="K136" s="390"/>
      <c r="L136" s="390"/>
      <c r="M136" s="390"/>
      <c r="N136" s="390"/>
      <c r="O136" s="390"/>
      <c r="P136" s="390"/>
    </row>
    <row r="137" spans="1:16">
      <c r="A137" s="390"/>
      <c r="B137" s="64"/>
      <c r="C137" s="390"/>
      <c r="D137" s="390"/>
      <c r="E137" s="390"/>
      <c r="F137" s="64"/>
      <c r="G137" s="64"/>
      <c r="H137" s="64"/>
      <c r="I137" s="390"/>
      <c r="J137" s="390"/>
      <c r="K137" s="390"/>
      <c r="L137" s="390"/>
      <c r="M137" s="390"/>
      <c r="N137" s="390"/>
      <c r="O137" s="390"/>
      <c r="P137" s="390"/>
    </row>
    <row r="138" spans="1:16">
      <c r="A138" s="390"/>
      <c r="B138" s="64"/>
      <c r="C138" s="390"/>
      <c r="D138" s="390"/>
      <c r="E138" s="390"/>
      <c r="F138" s="64"/>
      <c r="G138" s="64"/>
      <c r="H138" s="64"/>
      <c r="I138" s="390"/>
      <c r="J138" s="390"/>
      <c r="K138" s="390"/>
      <c r="L138" s="390"/>
      <c r="M138" s="390"/>
      <c r="N138" s="390"/>
      <c r="O138" s="390"/>
      <c r="P138" s="390"/>
    </row>
    <row r="139" spans="1:16">
      <c r="A139" s="390"/>
      <c r="B139" s="64"/>
      <c r="C139" s="390"/>
      <c r="D139" s="390"/>
      <c r="E139" s="390"/>
      <c r="F139" s="64"/>
      <c r="G139" s="64"/>
      <c r="H139" s="64"/>
      <c r="I139" s="390"/>
      <c r="J139" s="390"/>
      <c r="K139" s="390"/>
      <c r="L139" s="390"/>
      <c r="M139" s="390"/>
      <c r="N139" s="390"/>
      <c r="O139" s="390"/>
      <c r="P139" s="390"/>
    </row>
    <row r="140" spans="1:16">
      <c r="A140" s="390"/>
      <c r="B140" s="64"/>
      <c r="C140" s="390"/>
      <c r="D140" s="390"/>
      <c r="E140" s="390"/>
      <c r="F140" s="64"/>
      <c r="G140" s="64"/>
      <c r="H140" s="64"/>
      <c r="I140" s="390"/>
      <c r="J140" s="390"/>
      <c r="K140" s="390"/>
      <c r="L140" s="390"/>
      <c r="M140" s="390"/>
      <c r="N140" s="390"/>
      <c r="O140" s="390"/>
      <c r="P140" s="390"/>
    </row>
    <row r="141" spans="1:16">
      <c r="A141" s="390"/>
      <c r="B141" s="64"/>
      <c r="C141" s="390"/>
      <c r="D141" s="390"/>
      <c r="E141" s="390"/>
      <c r="F141" s="64"/>
      <c r="G141" s="64"/>
      <c r="H141" s="64"/>
      <c r="I141" s="390"/>
      <c r="J141" s="390"/>
      <c r="K141" s="390"/>
      <c r="L141" s="390"/>
      <c r="M141" s="390"/>
      <c r="N141" s="390"/>
      <c r="O141" s="390"/>
      <c r="P141" s="390"/>
    </row>
    <row r="142" spans="1:16">
      <c r="A142" s="390"/>
      <c r="B142" s="64"/>
      <c r="C142" s="390"/>
      <c r="D142" s="390"/>
      <c r="E142" s="390"/>
      <c r="F142" s="64"/>
      <c r="G142" s="64"/>
      <c r="H142" s="64"/>
      <c r="I142" s="390"/>
      <c r="J142" s="390"/>
      <c r="K142" s="390"/>
      <c r="L142" s="390"/>
      <c r="M142" s="390"/>
      <c r="N142" s="390"/>
      <c r="O142" s="390"/>
      <c r="P142" s="390"/>
    </row>
    <row r="143" spans="1:16">
      <c r="A143" s="390"/>
      <c r="B143" s="64"/>
      <c r="C143" s="390"/>
      <c r="D143" s="390"/>
      <c r="E143" s="390"/>
      <c r="F143" s="64"/>
      <c r="G143" s="64"/>
      <c r="H143" s="64"/>
      <c r="I143" s="390"/>
      <c r="J143" s="390"/>
      <c r="K143" s="390"/>
      <c r="L143" s="390"/>
      <c r="M143" s="390"/>
      <c r="N143" s="390"/>
      <c r="O143" s="390"/>
      <c r="P143" s="390"/>
    </row>
    <row r="144" spans="1:16">
      <c r="A144" s="390"/>
      <c r="B144" s="64"/>
      <c r="C144" s="390"/>
      <c r="D144" s="390"/>
      <c r="E144" s="390"/>
      <c r="F144" s="64"/>
      <c r="G144" s="64"/>
      <c r="H144" s="64"/>
      <c r="I144" s="390"/>
      <c r="J144" s="390"/>
      <c r="K144" s="390"/>
      <c r="L144" s="390"/>
      <c r="M144" s="390"/>
      <c r="N144" s="390"/>
      <c r="O144" s="390"/>
      <c r="P144" s="390"/>
    </row>
    <row r="145" spans="1:16">
      <c r="A145" s="390"/>
      <c r="B145" s="64"/>
      <c r="C145" s="390"/>
      <c r="D145" s="390"/>
      <c r="E145" s="390"/>
      <c r="F145" s="64"/>
      <c r="G145" s="64"/>
      <c r="H145" s="64"/>
      <c r="I145" s="390"/>
      <c r="J145" s="390"/>
      <c r="K145" s="390"/>
      <c r="L145" s="390"/>
      <c r="M145" s="390"/>
      <c r="N145" s="390"/>
      <c r="O145" s="390"/>
      <c r="P145" s="390"/>
    </row>
    <row r="146" spans="1:16">
      <c r="A146" s="390"/>
      <c r="B146" s="64"/>
      <c r="C146" s="390"/>
      <c r="D146" s="390"/>
      <c r="E146" s="390"/>
      <c r="F146" s="64"/>
      <c r="G146" s="64"/>
      <c r="H146" s="64"/>
      <c r="I146" s="390"/>
      <c r="J146" s="390"/>
      <c r="K146" s="390"/>
      <c r="L146" s="390"/>
      <c r="M146" s="390"/>
      <c r="N146" s="390"/>
      <c r="O146" s="390"/>
      <c r="P146" s="390"/>
    </row>
    <row r="147" spans="1:16">
      <c r="A147" s="390"/>
      <c r="B147" s="64"/>
      <c r="C147" s="390"/>
      <c r="D147" s="390"/>
      <c r="E147" s="390"/>
      <c r="F147" s="64"/>
      <c r="G147" s="64"/>
      <c r="H147" s="64"/>
      <c r="I147" s="390"/>
      <c r="J147" s="390"/>
      <c r="K147" s="390"/>
      <c r="L147" s="390"/>
      <c r="M147" s="390"/>
      <c r="N147" s="390"/>
      <c r="O147" s="390"/>
      <c r="P147" s="390"/>
    </row>
    <row r="148" spans="1:16">
      <c r="A148" s="390"/>
      <c r="B148" s="64"/>
      <c r="C148" s="390"/>
      <c r="D148" s="390"/>
      <c r="E148" s="390"/>
      <c r="F148" s="64"/>
      <c r="G148" s="64"/>
      <c r="H148" s="64"/>
      <c r="I148" s="390"/>
      <c r="J148" s="390"/>
      <c r="K148" s="390"/>
      <c r="L148" s="390"/>
      <c r="M148" s="390"/>
      <c r="N148" s="390"/>
      <c r="O148" s="390"/>
      <c r="P148" s="390"/>
    </row>
    <row r="149" spans="1:16">
      <c r="A149" s="390"/>
      <c r="B149" s="64"/>
      <c r="C149" s="390"/>
      <c r="D149" s="390"/>
      <c r="E149" s="390"/>
      <c r="F149" s="64"/>
      <c r="G149" s="64"/>
      <c r="H149" s="64"/>
      <c r="I149" s="390"/>
      <c r="J149" s="390"/>
      <c r="K149" s="390"/>
      <c r="L149" s="390"/>
      <c r="M149" s="390"/>
      <c r="N149" s="390"/>
      <c r="O149" s="390"/>
      <c r="P149" s="390"/>
    </row>
    <row r="150" spans="1:16">
      <c r="A150" s="390"/>
      <c r="B150" s="64"/>
      <c r="C150" s="390"/>
      <c r="D150" s="390"/>
      <c r="E150" s="390"/>
      <c r="F150" s="64"/>
      <c r="G150" s="64"/>
      <c r="H150" s="64"/>
      <c r="I150" s="390"/>
      <c r="J150" s="390"/>
      <c r="K150" s="390"/>
      <c r="L150" s="390"/>
      <c r="M150" s="390"/>
      <c r="N150" s="390"/>
      <c r="O150" s="390"/>
      <c r="P150" s="390"/>
    </row>
    <row r="151" spans="1:16">
      <c r="A151" s="390"/>
      <c r="B151" s="64"/>
      <c r="C151" s="390"/>
      <c r="D151" s="390"/>
      <c r="E151" s="390"/>
      <c r="F151" s="64"/>
      <c r="G151" s="64"/>
      <c r="H151" s="64"/>
      <c r="I151" s="390"/>
      <c r="J151" s="390"/>
      <c r="K151" s="390"/>
      <c r="L151" s="390"/>
      <c r="M151" s="390"/>
      <c r="N151" s="390"/>
      <c r="O151" s="390"/>
      <c r="P151" s="390"/>
    </row>
    <row r="152" spans="1:16">
      <c r="A152" s="390"/>
      <c r="B152" s="64"/>
      <c r="C152" s="390"/>
      <c r="D152" s="390"/>
      <c r="E152" s="390"/>
      <c r="F152" s="64"/>
      <c r="G152" s="64"/>
      <c r="H152" s="64"/>
      <c r="I152" s="390"/>
      <c r="J152" s="390"/>
      <c r="K152" s="390"/>
      <c r="L152" s="390"/>
      <c r="M152" s="390"/>
      <c r="N152" s="390"/>
      <c r="O152" s="390"/>
      <c r="P152" s="390"/>
    </row>
    <row r="153" spans="1:16">
      <c r="A153" s="390"/>
      <c r="B153" s="64"/>
      <c r="C153" s="390"/>
      <c r="D153" s="390"/>
      <c r="E153" s="390"/>
      <c r="F153" s="64"/>
      <c r="G153" s="64"/>
      <c r="H153" s="64"/>
      <c r="I153" s="390"/>
      <c r="J153" s="390"/>
      <c r="K153" s="390"/>
      <c r="L153" s="390"/>
      <c r="M153" s="390"/>
      <c r="N153" s="390"/>
      <c r="O153" s="390"/>
      <c r="P153" s="390"/>
    </row>
    <row r="154" spans="1:16">
      <c r="A154" s="390"/>
      <c r="B154" s="64"/>
      <c r="C154" s="390"/>
      <c r="D154" s="390"/>
      <c r="E154" s="390"/>
      <c r="F154" s="64"/>
      <c r="G154" s="64"/>
      <c r="H154" s="64"/>
      <c r="I154" s="390"/>
      <c r="J154" s="390"/>
      <c r="K154" s="390"/>
      <c r="L154" s="390"/>
      <c r="M154" s="390"/>
      <c r="N154" s="390"/>
      <c r="O154" s="390"/>
      <c r="P154" s="390"/>
    </row>
    <row r="155" spans="1:16">
      <c r="A155" s="390"/>
      <c r="B155" s="64"/>
      <c r="C155" s="390"/>
      <c r="D155" s="390"/>
      <c r="E155" s="390"/>
      <c r="F155" s="64"/>
      <c r="G155" s="64"/>
      <c r="H155" s="64"/>
      <c r="I155" s="390"/>
      <c r="J155" s="390"/>
      <c r="K155" s="390"/>
      <c r="L155" s="390"/>
      <c r="M155" s="390"/>
      <c r="N155" s="390"/>
      <c r="O155" s="390"/>
      <c r="P155" s="390"/>
    </row>
    <row r="156" spans="1:16">
      <c r="A156" s="390"/>
      <c r="B156" s="64"/>
      <c r="C156" s="390"/>
      <c r="D156" s="390"/>
      <c r="E156" s="390"/>
      <c r="F156" s="64"/>
      <c r="G156" s="64"/>
      <c r="H156" s="64"/>
      <c r="I156" s="390"/>
      <c r="J156" s="390"/>
      <c r="K156" s="390"/>
      <c r="L156" s="390"/>
      <c r="M156" s="390"/>
      <c r="N156" s="390"/>
      <c r="O156" s="390"/>
      <c r="P156" s="390"/>
    </row>
    <row r="157" spans="1:16">
      <c r="A157" s="390"/>
      <c r="B157" s="64"/>
      <c r="C157" s="390"/>
      <c r="D157" s="390"/>
      <c r="E157" s="390"/>
      <c r="F157" s="64"/>
      <c r="G157" s="64"/>
      <c r="H157" s="64"/>
      <c r="I157" s="390"/>
      <c r="J157" s="390"/>
      <c r="K157" s="390"/>
      <c r="L157" s="390"/>
      <c r="M157" s="390"/>
      <c r="N157" s="390"/>
      <c r="O157" s="390"/>
      <c r="P157" s="390"/>
    </row>
    <row r="158" spans="1:16">
      <c r="A158" s="390"/>
      <c r="B158" s="64"/>
      <c r="C158" s="390"/>
      <c r="D158" s="390"/>
      <c r="E158" s="390"/>
      <c r="F158" s="64"/>
      <c r="G158" s="64"/>
      <c r="H158" s="64"/>
      <c r="I158" s="390"/>
      <c r="J158" s="390"/>
      <c r="K158" s="390"/>
      <c r="L158" s="390"/>
      <c r="M158" s="390"/>
      <c r="N158" s="390"/>
      <c r="O158" s="390"/>
      <c r="P158" s="390"/>
    </row>
    <row r="159" spans="1:16">
      <c r="A159" s="390"/>
      <c r="B159" s="64"/>
      <c r="C159" s="390"/>
      <c r="D159" s="390"/>
      <c r="E159" s="390"/>
      <c r="F159" s="64"/>
      <c r="G159" s="64"/>
      <c r="H159" s="64"/>
      <c r="I159" s="390"/>
      <c r="J159" s="390"/>
      <c r="K159" s="390"/>
      <c r="L159" s="390"/>
      <c r="M159" s="390"/>
      <c r="N159" s="390"/>
      <c r="O159" s="390"/>
      <c r="P159" s="390"/>
    </row>
    <row r="160" spans="1:16">
      <c r="A160" s="390"/>
      <c r="B160" s="64"/>
      <c r="C160" s="390"/>
      <c r="D160" s="390"/>
      <c r="E160" s="390"/>
      <c r="F160" s="64"/>
      <c r="G160" s="64"/>
      <c r="H160" s="64"/>
      <c r="I160" s="390"/>
      <c r="J160" s="390"/>
      <c r="K160" s="390"/>
      <c r="L160" s="390"/>
      <c r="M160" s="390"/>
      <c r="N160" s="390"/>
      <c r="O160" s="390"/>
      <c r="P160" s="390"/>
    </row>
    <row r="161" spans="1:16">
      <c r="A161" s="390"/>
      <c r="B161" s="64"/>
      <c r="C161" s="390"/>
      <c r="D161" s="390"/>
      <c r="E161" s="390"/>
      <c r="F161" s="64"/>
      <c r="G161" s="64"/>
      <c r="H161" s="64"/>
      <c r="I161" s="390"/>
      <c r="J161" s="390"/>
      <c r="K161" s="390"/>
      <c r="L161" s="390"/>
      <c r="M161" s="390"/>
      <c r="N161" s="390"/>
      <c r="O161" s="390"/>
      <c r="P161" s="390"/>
    </row>
    <row r="162" spans="1:16">
      <c r="A162" s="390"/>
      <c r="B162" s="64"/>
      <c r="C162" s="390"/>
      <c r="D162" s="390"/>
      <c r="E162" s="390"/>
      <c r="F162" s="64"/>
      <c r="G162" s="64"/>
      <c r="H162" s="64"/>
      <c r="I162" s="390"/>
      <c r="J162" s="390"/>
      <c r="K162" s="390"/>
      <c r="L162" s="390"/>
      <c r="M162" s="390"/>
      <c r="N162" s="390"/>
      <c r="O162" s="390"/>
      <c r="P162" s="390"/>
    </row>
    <row r="163" spans="1:16">
      <c r="A163" s="390"/>
      <c r="B163" s="64"/>
      <c r="C163" s="390"/>
      <c r="D163" s="390"/>
      <c r="E163" s="390"/>
      <c r="F163" s="64"/>
      <c r="G163" s="64"/>
      <c r="H163" s="64"/>
      <c r="I163" s="390"/>
      <c r="J163" s="390"/>
      <c r="K163" s="390"/>
      <c r="L163" s="390"/>
      <c r="M163" s="390"/>
      <c r="N163" s="390"/>
      <c r="O163" s="390"/>
      <c r="P163" s="390"/>
    </row>
    <row r="164" spans="1:16">
      <c r="A164" s="390"/>
      <c r="B164" s="64"/>
      <c r="C164" s="390"/>
      <c r="D164" s="390"/>
      <c r="E164" s="390"/>
      <c r="F164" s="64"/>
      <c r="G164" s="64"/>
      <c r="H164" s="64"/>
      <c r="I164" s="390"/>
      <c r="J164" s="390"/>
      <c r="K164" s="390"/>
      <c r="L164" s="390"/>
      <c r="M164" s="390"/>
      <c r="N164" s="390"/>
      <c r="O164" s="390"/>
      <c r="P164" s="390"/>
    </row>
    <row r="165" spans="1:16">
      <c r="A165" s="390"/>
      <c r="B165" s="64"/>
      <c r="C165" s="390"/>
      <c r="D165" s="390"/>
      <c r="E165" s="390"/>
      <c r="F165" s="64"/>
      <c r="G165" s="64"/>
      <c r="H165" s="64"/>
      <c r="I165" s="390"/>
      <c r="J165" s="390"/>
      <c r="K165" s="390"/>
      <c r="L165" s="390"/>
      <c r="M165" s="390"/>
      <c r="N165" s="390"/>
      <c r="O165" s="390"/>
      <c r="P165" s="390"/>
    </row>
    <row r="166" spans="1:16">
      <c r="A166" s="390"/>
      <c r="B166" s="64"/>
      <c r="C166" s="390"/>
      <c r="D166" s="390"/>
      <c r="E166" s="390"/>
      <c r="F166" s="64"/>
      <c r="G166" s="64"/>
      <c r="H166" s="64"/>
      <c r="I166" s="390"/>
      <c r="J166" s="390"/>
      <c r="K166" s="390"/>
      <c r="L166" s="390"/>
      <c r="M166" s="390"/>
      <c r="N166" s="390"/>
      <c r="O166" s="390"/>
      <c r="P166" s="390"/>
    </row>
    <row r="167" spans="1:16">
      <c r="A167" s="390"/>
      <c r="B167" s="64"/>
      <c r="C167" s="390"/>
      <c r="D167" s="390"/>
      <c r="E167" s="390"/>
      <c r="F167" s="64"/>
      <c r="G167" s="64"/>
      <c r="H167" s="64"/>
      <c r="I167" s="390"/>
      <c r="J167" s="390"/>
      <c r="K167" s="390"/>
      <c r="L167" s="390"/>
      <c r="M167" s="390"/>
      <c r="N167" s="390"/>
      <c r="O167" s="390"/>
      <c r="P167" s="390"/>
    </row>
    <row r="168" spans="1:16">
      <c r="A168" s="390"/>
      <c r="B168" s="64"/>
      <c r="C168" s="390"/>
      <c r="D168" s="390"/>
      <c r="E168" s="390"/>
      <c r="F168" s="64"/>
      <c r="G168" s="64"/>
      <c r="H168" s="64"/>
      <c r="I168" s="390"/>
      <c r="J168" s="390"/>
      <c r="K168" s="390"/>
      <c r="L168" s="390"/>
      <c r="M168" s="390"/>
      <c r="N168" s="390"/>
      <c r="O168" s="390"/>
      <c r="P168" s="390"/>
    </row>
    <row r="169" spans="1:16">
      <c r="A169" s="390"/>
      <c r="B169" s="64"/>
      <c r="C169" s="390"/>
      <c r="D169" s="390"/>
      <c r="E169" s="390"/>
      <c r="F169" s="64"/>
      <c r="G169" s="64"/>
      <c r="H169" s="64"/>
      <c r="I169" s="390"/>
      <c r="J169" s="390"/>
      <c r="K169" s="390"/>
      <c r="L169" s="390"/>
      <c r="M169" s="390"/>
      <c r="N169" s="390"/>
      <c r="O169" s="390"/>
      <c r="P169" s="390"/>
    </row>
    <row r="170" spans="1:16">
      <c r="A170" s="390"/>
      <c r="B170" s="64"/>
      <c r="C170" s="390"/>
      <c r="D170" s="390"/>
      <c r="E170" s="390"/>
      <c r="F170" s="64"/>
      <c r="G170" s="64"/>
      <c r="H170" s="64"/>
      <c r="I170" s="390"/>
      <c r="J170" s="390"/>
      <c r="K170" s="390"/>
      <c r="L170" s="390"/>
      <c r="M170" s="390"/>
      <c r="N170" s="390"/>
      <c r="O170" s="390"/>
      <c r="P170" s="390"/>
    </row>
    <row r="171" spans="1:16">
      <c r="A171" s="390"/>
      <c r="B171" s="64"/>
      <c r="C171" s="390"/>
      <c r="D171" s="390"/>
      <c r="E171" s="390"/>
      <c r="F171" s="64"/>
      <c r="G171" s="64"/>
      <c r="H171" s="64"/>
      <c r="I171" s="390"/>
      <c r="J171" s="390"/>
      <c r="K171" s="390"/>
      <c r="L171" s="390"/>
      <c r="M171" s="390"/>
      <c r="N171" s="390"/>
      <c r="O171" s="390"/>
      <c r="P171" s="390"/>
    </row>
    <row r="172" spans="1:16">
      <c r="A172" s="390"/>
      <c r="B172" s="64"/>
      <c r="C172" s="390"/>
      <c r="D172" s="390"/>
      <c r="E172" s="390"/>
      <c r="F172" s="64"/>
      <c r="G172" s="64"/>
      <c r="H172" s="64"/>
      <c r="I172" s="390"/>
      <c r="J172" s="390"/>
      <c r="K172" s="390"/>
      <c r="L172" s="390"/>
      <c r="M172" s="390"/>
      <c r="N172" s="390"/>
      <c r="O172" s="390"/>
      <c r="P172" s="390"/>
    </row>
    <row r="173" spans="1:16">
      <c r="A173" s="390"/>
      <c r="B173" s="64"/>
      <c r="C173" s="390"/>
      <c r="D173" s="390"/>
      <c r="E173" s="390"/>
      <c r="F173" s="64"/>
      <c r="G173" s="64"/>
      <c r="H173" s="64"/>
      <c r="I173" s="390"/>
      <c r="J173" s="390"/>
      <c r="K173" s="390"/>
      <c r="L173" s="390"/>
      <c r="M173" s="390"/>
      <c r="N173" s="390"/>
      <c r="O173" s="390"/>
      <c r="P173" s="390"/>
    </row>
    <row r="174" spans="1:16">
      <c r="A174" s="390"/>
      <c r="B174" s="64"/>
      <c r="C174" s="390"/>
      <c r="D174" s="390"/>
      <c r="E174" s="390"/>
      <c r="F174" s="64"/>
      <c r="G174" s="64"/>
      <c r="H174" s="64"/>
      <c r="I174" s="390"/>
      <c r="J174" s="390"/>
      <c r="K174" s="390"/>
      <c r="L174" s="390"/>
      <c r="M174" s="390"/>
      <c r="N174" s="390"/>
      <c r="O174" s="390"/>
      <c r="P174" s="390"/>
    </row>
    <row r="175" spans="1:16">
      <c r="A175" s="390"/>
      <c r="B175" s="64"/>
      <c r="C175" s="390"/>
      <c r="D175" s="390"/>
      <c r="E175" s="390"/>
      <c r="F175" s="64"/>
      <c r="G175" s="64"/>
      <c r="H175" s="64"/>
      <c r="I175" s="390"/>
      <c r="J175" s="390"/>
      <c r="K175" s="390"/>
      <c r="L175" s="390"/>
      <c r="M175" s="390"/>
      <c r="N175" s="390"/>
      <c r="O175" s="390"/>
      <c r="P175" s="390"/>
    </row>
    <row r="176" spans="1:16">
      <c r="A176" s="390"/>
      <c r="B176" s="64"/>
      <c r="C176" s="390"/>
      <c r="D176" s="390"/>
      <c r="E176" s="390"/>
      <c r="F176" s="64"/>
      <c r="G176" s="64"/>
      <c r="H176" s="64"/>
      <c r="I176" s="390"/>
      <c r="J176" s="390"/>
      <c r="K176" s="390"/>
      <c r="L176" s="390"/>
      <c r="M176" s="390"/>
      <c r="N176" s="390"/>
      <c r="O176" s="390"/>
      <c r="P176" s="390"/>
    </row>
    <row r="177" spans="1:16">
      <c r="A177" s="390"/>
      <c r="B177" s="64"/>
      <c r="C177" s="390"/>
      <c r="D177" s="390"/>
      <c r="E177" s="390"/>
      <c r="F177" s="64"/>
      <c r="G177" s="64"/>
      <c r="H177" s="64"/>
      <c r="I177" s="390"/>
      <c r="J177" s="390"/>
      <c r="K177" s="390"/>
      <c r="L177" s="390"/>
      <c r="M177" s="390"/>
      <c r="N177" s="390"/>
      <c r="O177" s="390"/>
      <c r="P177" s="390"/>
    </row>
    <row r="178" spans="1:16">
      <c r="A178" s="390"/>
      <c r="B178" s="64"/>
      <c r="C178" s="390"/>
      <c r="D178" s="390"/>
      <c r="E178" s="390"/>
      <c r="F178" s="64"/>
      <c r="G178" s="64"/>
      <c r="H178" s="64"/>
      <c r="I178" s="390"/>
      <c r="J178" s="390"/>
      <c r="K178" s="390"/>
      <c r="L178" s="390"/>
      <c r="M178" s="390"/>
      <c r="N178" s="390"/>
      <c r="O178" s="390"/>
      <c r="P178" s="390"/>
    </row>
    <row r="179" spans="1:16">
      <c r="A179" s="390"/>
      <c r="B179" s="64"/>
      <c r="C179" s="390"/>
      <c r="D179" s="390"/>
      <c r="E179" s="390"/>
      <c r="F179" s="64"/>
      <c r="G179" s="64"/>
      <c r="H179" s="64"/>
      <c r="I179" s="390"/>
      <c r="J179" s="390"/>
      <c r="K179" s="390"/>
      <c r="L179" s="390"/>
      <c r="M179" s="390"/>
      <c r="N179" s="390"/>
      <c r="O179" s="390"/>
      <c r="P179" s="390"/>
    </row>
  </sheetData>
  <dataConsolidate/>
  <mergeCells count="40">
    <mergeCell ref="A53:A54"/>
    <mergeCell ref="A55:A56"/>
    <mergeCell ref="R59:T59"/>
    <mergeCell ref="AE65:AJ65"/>
    <mergeCell ref="R16:W16"/>
    <mergeCell ref="A49:A50"/>
    <mergeCell ref="A51:A52"/>
    <mergeCell ref="A41:A43"/>
    <mergeCell ref="O41:P43"/>
    <mergeCell ref="O44:P44"/>
    <mergeCell ref="A45:A48"/>
    <mergeCell ref="O45:O48"/>
    <mergeCell ref="P45:P48"/>
    <mergeCell ref="A36:A37"/>
    <mergeCell ref="O36:O37"/>
    <mergeCell ref="P36:P37"/>
    <mergeCell ref="R75:T75"/>
    <mergeCell ref="R4:T4"/>
    <mergeCell ref="U12:V12"/>
    <mergeCell ref="R36:W36"/>
    <mergeCell ref="AA35:AF35"/>
    <mergeCell ref="A39:A40"/>
    <mergeCell ref="A26:A27"/>
    <mergeCell ref="A28:A32"/>
    <mergeCell ref="A33:A35"/>
    <mergeCell ref="O33:O35"/>
    <mergeCell ref="A9:A13"/>
    <mergeCell ref="O3:P3"/>
    <mergeCell ref="A4:A5"/>
    <mergeCell ref="O4:P5"/>
    <mergeCell ref="P33:P35"/>
    <mergeCell ref="A15:A20"/>
    <mergeCell ref="A21:A24"/>
    <mergeCell ref="O21:P24"/>
    <mergeCell ref="C1:I1"/>
    <mergeCell ref="J1:N1"/>
    <mergeCell ref="O1:P1"/>
    <mergeCell ref="R1:T1"/>
    <mergeCell ref="A6:A8"/>
    <mergeCell ref="O6:P8"/>
  </mergeCells>
  <conditionalFormatting sqref="N3:N56">
    <cfRule type="cellIs" dxfId="77" priority="7" operator="lessThan">
      <formula>0</formula>
    </cfRule>
  </conditionalFormatting>
  <conditionalFormatting sqref="L3:L56">
    <cfRule type="expression" dxfId="76" priority="6">
      <formula>(L3&lt;E3)</formula>
    </cfRule>
  </conditionalFormatting>
  <conditionalFormatting sqref="X53:AC61 Y52:AC52 Y50:Z51">
    <cfRule type="cellIs" dxfId="75" priority="5" operator="greaterThan">
      <formula>0</formula>
    </cfRule>
  </conditionalFormatting>
  <conditionalFormatting sqref="S18:X29">
    <cfRule type="cellIs" dxfId="74" priority="4" operator="greaterThan">
      <formula>0</formula>
    </cfRule>
  </conditionalFormatting>
  <conditionalFormatting sqref="AF67:AK78">
    <cfRule type="cellIs" dxfId="73" priority="3" operator="greaterThan">
      <formula>0</formula>
    </cfRule>
  </conditionalFormatting>
  <conditionalFormatting sqref="S38:X49">
    <cfRule type="cellIs" dxfId="72" priority="2" operator="greaterThan">
      <formula>0</formula>
    </cfRule>
  </conditionalFormatting>
  <conditionalFormatting sqref="AB37:AG48">
    <cfRule type="cellIs" dxfId="71" priority="1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9"/>
  <sheetViews>
    <sheetView topLeftCell="R12" zoomScaleNormal="100" workbookViewId="0">
      <selection activeCell="AB52" sqref="AB52"/>
    </sheetView>
  </sheetViews>
  <sheetFormatPr defaultColWidth="9" defaultRowHeight="12.75"/>
  <cols>
    <col min="1" max="1" width="13.42578125" style="5" customWidth="1"/>
    <col min="2" max="2" width="22.7109375" style="63" customWidth="1"/>
    <col min="3" max="3" width="26.7109375" style="59" customWidth="1"/>
    <col min="4" max="4" width="16.85546875" style="59" customWidth="1"/>
    <col min="5" max="5" width="16.7109375" style="62" customWidth="1"/>
    <col min="6" max="8" width="23.7109375" style="61" customWidth="1"/>
    <col min="9" max="9" width="16.140625" style="59" customWidth="1"/>
    <col min="10" max="10" width="28.85546875" style="59" customWidth="1"/>
    <col min="11" max="11" width="17.7109375" style="59" customWidth="1"/>
    <col min="12" max="12" width="16.140625" style="59" customWidth="1"/>
    <col min="13" max="13" width="17.7109375" style="59" customWidth="1"/>
    <col min="14" max="14" width="23.28515625" style="59" customWidth="1"/>
    <col min="15" max="15" width="30.7109375" style="60" customWidth="1"/>
    <col min="16" max="16" width="28.140625" style="390" customWidth="1"/>
    <col min="17" max="17" width="26.42578125" style="59" customWidth="1"/>
    <col min="18" max="18" width="23" style="58" customWidth="1"/>
    <col min="19" max="19" width="22.85546875" style="5" customWidth="1"/>
    <col min="20" max="20" width="23.7109375" style="5" customWidth="1"/>
    <col min="21" max="21" width="21.5703125" style="5" customWidth="1"/>
    <col min="22" max="16384" width="9" style="5"/>
  </cols>
  <sheetData>
    <row r="1" spans="1:29" ht="14.25" customHeight="1">
      <c r="A1" s="388"/>
      <c r="B1" s="200"/>
      <c r="C1" s="516" t="s">
        <v>453</v>
      </c>
      <c r="D1" s="517"/>
      <c r="E1" s="517"/>
      <c r="F1" s="517"/>
      <c r="G1" s="517"/>
      <c r="H1" s="517"/>
      <c r="I1" s="518"/>
      <c r="J1" s="521" t="s">
        <v>452</v>
      </c>
      <c r="K1" s="522"/>
      <c r="L1" s="522"/>
      <c r="M1" s="522"/>
      <c r="N1" s="522"/>
      <c r="O1" s="548" t="s">
        <v>522</v>
      </c>
      <c r="P1" s="549"/>
      <c r="Q1" s="549"/>
      <c r="S1" s="532"/>
      <c r="T1" s="532"/>
      <c r="U1" s="532"/>
    </row>
    <row r="2" spans="1:29" ht="14.25" customHeight="1" thickBot="1">
      <c r="A2" s="388" t="s">
        <v>451</v>
      </c>
      <c r="B2" s="198" t="s">
        <v>450</v>
      </c>
      <c r="C2" s="197" t="s">
        <v>449</v>
      </c>
      <c r="D2" s="196" t="s">
        <v>34</v>
      </c>
      <c r="E2" s="196" t="s">
        <v>33</v>
      </c>
      <c r="F2" s="196" t="s">
        <v>448</v>
      </c>
      <c r="G2" s="196" t="s">
        <v>460</v>
      </c>
      <c r="H2" s="196" t="s">
        <v>461</v>
      </c>
      <c r="I2" s="195" t="s">
        <v>445</v>
      </c>
      <c r="J2" s="194" t="s">
        <v>447</v>
      </c>
      <c r="K2" s="194" t="s">
        <v>34</v>
      </c>
      <c r="L2" s="194" t="s">
        <v>33</v>
      </c>
      <c r="M2" s="193" t="s">
        <v>446</v>
      </c>
      <c r="N2" s="192" t="s">
        <v>445</v>
      </c>
      <c r="O2" s="189" t="s">
        <v>442</v>
      </c>
      <c r="P2" s="188" t="s">
        <v>441</v>
      </c>
      <c r="Q2" s="187" t="s">
        <v>440</v>
      </c>
      <c r="S2" s="390"/>
      <c r="T2" s="390"/>
      <c r="U2" s="390"/>
    </row>
    <row r="3" spans="1:29" ht="15" customHeight="1" thickBot="1">
      <c r="A3" s="164" t="s">
        <v>439</v>
      </c>
      <c r="B3" s="186" t="s">
        <v>438</v>
      </c>
      <c r="C3" s="185" t="s">
        <v>437</v>
      </c>
      <c r="D3" s="184">
        <v>386.9</v>
      </c>
      <c r="E3" s="184">
        <v>200</v>
      </c>
      <c r="F3" s="184">
        <v>131.95400000000001</v>
      </c>
      <c r="G3" s="184">
        <v>0.5</v>
      </c>
      <c r="H3" s="184">
        <f>G3*F3</f>
        <v>65.977000000000004</v>
      </c>
      <c r="I3" s="183">
        <f>E3-H3</f>
        <v>134.023</v>
      </c>
      <c r="J3" s="182" t="s">
        <v>436</v>
      </c>
      <c r="K3" s="182">
        <v>598.85</v>
      </c>
      <c r="L3" s="182">
        <v>150</v>
      </c>
      <c r="M3" s="181">
        <f t="shared" ref="M3:M13" si="0">F3</f>
        <v>131.95400000000001</v>
      </c>
      <c r="N3" s="180">
        <f>L3-H3</f>
        <v>84.022999999999996</v>
      </c>
      <c r="O3" s="129"/>
      <c r="P3" s="544" t="s">
        <v>351</v>
      </c>
      <c r="Q3" s="545"/>
      <c r="S3" s="388"/>
      <c r="T3" s="388"/>
      <c r="U3" s="388"/>
    </row>
    <row r="4" spans="1:29" ht="15" customHeight="1" thickBot="1">
      <c r="A4" s="497" t="s">
        <v>44</v>
      </c>
      <c r="B4" s="179" t="s">
        <v>3</v>
      </c>
      <c r="C4" s="178" t="s">
        <v>44</v>
      </c>
      <c r="D4" s="177">
        <v>424.31</v>
      </c>
      <c r="E4" s="177">
        <v>200</v>
      </c>
      <c r="F4" s="177">
        <v>79.758499999999998</v>
      </c>
      <c r="G4" s="184">
        <v>0.5</v>
      </c>
      <c r="H4" s="184">
        <f t="shared" ref="H4:H56" si="1">G4*F4</f>
        <v>39.879249999999999</v>
      </c>
      <c r="I4" s="183">
        <f t="shared" ref="I4:I13" si="2">E4-H4</f>
        <v>160.12074999999999</v>
      </c>
      <c r="J4" s="176" t="s">
        <v>435</v>
      </c>
      <c r="K4" s="176">
        <v>561.44000000000005</v>
      </c>
      <c r="L4" s="176">
        <v>150</v>
      </c>
      <c r="M4" s="175">
        <f t="shared" si="0"/>
        <v>79.758499999999998</v>
      </c>
      <c r="N4" s="180">
        <f t="shared" ref="N4:N13" si="3">L4-H4</f>
        <v>110.12075</v>
      </c>
      <c r="O4" s="173"/>
      <c r="P4" s="546" t="s">
        <v>351</v>
      </c>
      <c r="Q4" s="547"/>
      <c r="S4" s="389"/>
      <c r="T4" s="389"/>
      <c r="U4" s="390"/>
    </row>
    <row r="5" spans="1:29" ht="14.25" customHeight="1" thickBot="1">
      <c r="A5" s="498"/>
      <c r="B5" s="174" t="s">
        <v>25</v>
      </c>
      <c r="C5" s="114" t="s">
        <v>65</v>
      </c>
      <c r="D5" s="94">
        <v>645.40499999999997</v>
      </c>
      <c r="E5" s="94">
        <v>150</v>
      </c>
      <c r="F5" s="93">
        <v>101.52370000000001</v>
      </c>
      <c r="G5" s="184">
        <v>0.5</v>
      </c>
      <c r="H5" s="184">
        <f t="shared" si="1"/>
        <v>50.761850000000003</v>
      </c>
      <c r="I5" s="183">
        <f t="shared" si="2"/>
        <v>99.23814999999999</v>
      </c>
      <c r="J5" s="92" t="s">
        <v>430</v>
      </c>
      <c r="K5" s="92">
        <v>691.82</v>
      </c>
      <c r="L5" s="92">
        <v>150</v>
      </c>
      <c r="M5" s="91">
        <f t="shared" si="0"/>
        <v>101.52370000000001</v>
      </c>
      <c r="N5" s="180">
        <f t="shared" si="3"/>
        <v>99.23814999999999</v>
      </c>
      <c r="O5" s="129"/>
      <c r="P5" s="153"/>
      <c r="Q5" s="115"/>
      <c r="S5" s="389"/>
      <c r="T5" s="389"/>
      <c r="U5" s="390"/>
    </row>
    <row r="6" spans="1:29" ht="14.25" customHeight="1" thickBot="1">
      <c r="A6" s="497" t="s">
        <v>434</v>
      </c>
      <c r="B6" s="87" t="s">
        <v>433</v>
      </c>
      <c r="C6" s="86" t="s">
        <v>392</v>
      </c>
      <c r="D6" s="85">
        <v>774.56</v>
      </c>
      <c r="E6" s="85">
        <v>450</v>
      </c>
      <c r="F6" s="85">
        <v>593.39</v>
      </c>
      <c r="G6" s="184">
        <v>0.5</v>
      </c>
      <c r="H6" s="184">
        <f t="shared" si="1"/>
        <v>296.69499999999999</v>
      </c>
      <c r="I6" s="183">
        <f t="shared" si="2"/>
        <v>153.30500000000001</v>
      </c>
      <c r="J6" s="83" t="s">
        <v>432</v>
      </c>
      <c r="K6" s="83">
        <v>778.62</v>
      </c>
      <c r="L6" s="83">
        <v>450</v>
      </c>
      <c r="M6" s="82">
        <f t="shared" si="0"/>
        <v>593.39</v>
      </c>
      <c r="N6" s="180">
        <f t="shared" si="3"/>
        <v>153.30500000000001</v>
      </c>
      <c r="O6" s="122"/>
      <c r="P6" s="535" t="s">
        <v>351</v>
      </c>
      <c r="Q6" s="536"/>
      <c r="S6" s="257"/>
      <c r="T6" s="390"/>
      <c r="U6" s="389"/>
    </row>
    <row r="7" spans="1:29" ht="14.25" customHeight="1" thickBot="1">
      <c r="A7" s="499"/>
      <c r="B7" s="96" t="s">
        <v>4</v>
      </c>
      <c r="C7" s="95" t="s">
        <v>45</v>
      </c>
      <c r="D7" s="108">
        <v>221.095</v>
      </c>
      <c r="E7" s="108">
        <v>250</v>
      </c>
      <c r="F7" s="108">
        <v>165.54</v>
      </c>
      <c r="G7" s="184">
        <v>0.5</v>
      </c>
      <c r="H7" s="184">
        <f t="shared" si="1"/>
        <v>82.77</v>
      </c>
      <c r="I7" s="183">
        <f t="shared" si="2"/>
        <v>167.23000000000002</v>
      </c>
      <c r="J7" s="106" t="s">
        <v>431</v>
      </c>
      <c r="K7" s="106">
        <v>904.18</v>
      </c>
      <c r="L7" s="106">
        <v>150</v>
      </c>
      <c r="M7" s="105">
        <f t="shared" si="0"/>
        <v>165.54</v>
      </c>
      <c r="N7" s="180">
        <f t="shared" si="3"/>
        <v>67.23</v>
      </c>
      <c r="O7" s="146"/>
      <c r="P7" s="537"/>
      <c r="Q7" s="538"/>
      <c r="S7" s="257"/>
      <c r="T7" s="390"/>
      <c r="U7" s="389"/>
    </row>
    <row r="8" spans="1:29" ht="14.25" customHeight="1" thickBot="1">
      <c r="A8" s="499"/>
      <c r="B8" s="96" t="s">
        <v>25</v>
      </c>
      <c r="C8" s="95" t="s">
        <v>65</v>
      </c>
      <c r="D8" s="94">
        <v>645.40499999999997</v>
      </c>
      <c r="E8" s="94">
        <v>150</v>
      </c>
      <c r="F8" s="94">
        <v>101.52370000000001</v>
      </c>
      <c r="G8" s="184">
        <v>0.5</v>
      </c>
      <c r="H8" s="184">
        <f t="shared" si="1"/>
        <v>50.761850000000003</v>
      </c>
      <c r="I8" s="183">
        <f t="shared" si="2"/>
        <v>99.23814999999999</v>
      </c>
      <c r="J8" s="92" t="s">
        <v>430</v>
      </c>
      <c r="K8" s="92">
        <v>691.82</v>
      </c>
      <c r="L8" s="92">
        <v>150</v>
      </c>
      <c r="M8" s="91">
        <f t="shared" si="0"/>
        <v>101.52370000000001</v>
      </c>
      <c r="N8" s="180">
        <f t="shared" si="3"/>
        <v>99.23814999999999</v>
      </c>
      <c r="O8" s="117"/>
      <c r="P8" s="539"/>
      <c r="Q8" s="540"/>
      <c r="S8" s="389"/>
      <c r="T8" s="389"/>
      <c r="U8" s="389"/>
    </row>
    <row r="9" spans="1:29" ht="14.25" customHeight="1" thickBot="1">
      <c r="A9" s="497" t="s">
        <v>46</v>
      </c>
      <c r="B9" s="87" t="s">
        <v>5</v>
      </c>
      <c r="C9" s="86" t="s">
        <v>46</v>
      </c>
      <c r="D9" s="85">
        <v>87.444999999999993</v>
      </c>
      <c r="E9" s="85">
        <v>300</v>
      </c>
      <c r="F9" s="85">
        <v>330.03719999999998</v>
      </c>
      <c r="G9" s="184">
        <v>0.5</v>
      </c>
      <c r="H9" s="184">
        <f t="shared" si="1"/>
        <v>165.01859999999999</v>
      </c>
      <c r="I9" s="183">
        <f t="shared" si="2"/>
        <v>134.98140000000001</v>
      </c>
      <c r="J9" s="83" t="s">
        <v>429</v>
      </c>
      <c r="K9" s="83">
        <v>243.73500000000001</v>
      </c>
      <c r="L9" s="83">
        <v>250</v>
      </c>
      <c r="M9" s="82">
        <f t="shared" si="0"/>
        <v>330.03719999999998</v>
      </c>
      <c r="N9" s="180">
        <f t="shared" si="3"/>
        <v>84.981400000000008</v>
      </c>
      <c r="O9" s="173"/>
      <c r="P9" s="541" t="s">
        <v>351</v>
      </c>
      <c r="Q9" s="536"/>
      <c r="S9" s="523" t="s">
        <v>521</v>
      </c>
      <c r="T9" s="524"/>
      <c r="U9" s="525"/>
    </row>
    <row r="10" spans="1:29" ht="14.25" customHeight="1" thickBot="1">
      <c r="A10" s="499"/>
      <c r="B10" s="96" t="s">
        <v>7</v>
      </c>
      <c r="C10" s="95" t="s">
        <v>48</v>
      </c>
      <c r="D10" s="108">
        <v>457.755</v>
      </c>
      <c r="E10" s="108">
        <v>200</v>
      </c>
      <c r="F10" s="108">
        <v>200.11</v>
      </c>
      <c r="G10" s="184">
        <v>0.5</v>
      </c>
      <c r="H10" s="184">
        <f t="shared" si="1"/>
        <v>100.05500000000001</v>
      </c>
      <c r="I10" s="183">
        <f t="shared" si="2"/>
        <v>99.944999999999993</v>
      </c>
      <c r="J10" s="106" t="s">
        <v>428</v>
      </c>
      <c r="K10" s="106">
        <v>614.06500000000005</v>
      </c>
      <c r="L10" s="106">
        <v>150</v>
      </c>
      <c r="M10" s="105">
        <f t="shared" si="0"/>
        <v>200.11</v>
      </c>
      <c r="N10" s="180">
        <f t="shared" si="3"/>
        <v>49.944999999999993</v>
      </c>
      <c r="O10" s="146"/>
      <c r="P10" s="542"/>
      <c r="Q10" s="538"/>
      <c r="S10" s="90"/>
      <c r="T10" s="390"/>
      <c r="U10" s="99"/>
      <c r="AA10" s="407"/>
      <c r="AB10" s="407"/>
      <c r="AC10" s="407"/>
    </row>
    <row r="11" spans="1:29" ht="14.25" customHeight="1" thickBot="1">
      <c r="A11" s="499"/>
      <c r="B11" s="96" t="s">
        <v>8</v>
      </c>
      <c r="C11" s="95" t="s">
        <v>74</v>
      </c>
      <c r="D11" s="108">
        <v>632.29</v>
      </c>
      <c r="E11" s="108">
        <v>300</v>
      </c>
      <c r="F11" s="108">
        <v>416.14780000000002</v>
      </c>
      <c r="G11" s="184">
        <v>0.5</v>
      </c>
      <c r="H11" s="184">
        <f t="shared" si="1"/>
        <v>208.07390000000001</v>
      </c>
      <c r="I11" s="183">
        <f t="shared" si="2"/>
        <v>91.926099999999991</v>
      </c>
      <c r="J11" s="106" t="s">
        <v>427</v>
      </c>
      <c r="K11" s="106">
        <v>692.19500000000005</v>
      </c>
      <c r="L11" s="106">
        <v>300</v>
      </c>
      <c r="M11" s="105">
        <f t="shared" si="0"/>
        <v>416.14780000000002</v>
      </c>
      <c r="N11" s="180">
        <f t="shared" si="3"/>
        <v>91.926099999999991</v>
      </c>
      <c r="O11" s="146"/>
      <c r="P11" s="542"/>
      <c r="Q11" s="538"/>
      <c r="S11" s="138" t="s">
        <v>390</v>
      </c>
      <c r="T11" s="137" t="s">
        <v>389</v>
      </c>
      <c r="U11" s="136" t="s">
        <v>388</v>
      </c>
      <c r="V11" s="389"/>
      <c r="W11" s="389"/>
      <c r="X11" s="389"/>
      <c r="Y11" s="389"/>
      <c r="AA11" s="64"/>
      <c r="AB11" s="64"/>
      <c r="AC11" s="411"/>
    </row>
    <row r="12" spans="1:29" ht="14.25" customHeight="1" thickBot="1">
      <c r="A12" s="499"/>
      <c r="B12" s="96" t="s">
        <v>12</v>
      </c>
      <c r="C12" s="95" t="s">
        <v>52</v>
      </c>
      <c r="D12" s="108">
        <v>428.91</v>
      </c>
      <c r="E12" s="108">
        <v>200</v>
      </c>
      <c r="F12" s="108">
        <v>320.77999999999997</v>
      </c>
      <c r="G12" s="184">
        <v>0.5</v>
      </c>
      <c r="H12" s="184">
        <f t="shared" si="1"/>
        <v>160.38999999999999</v>
      </c>
      <c r="I12" s="183">
        <f t="shared" si="2"/>
        <v>39.610000000000014</v>
      </c>
      <c r="J12" s="106" t="s">
        <v>421</v>
      </c>
      <c r="K12" s="106">
        <v>440.09</v>
      </c>
      <c r="L12" s="106">
        <v>200</v>
      </c>
      <c r="M12" s="105">
        <f t="shared" si="0"/>
        <v>320.77999999999997</v>
      </c>
      <c r="N12" s="180">
        <f t="shared" si="3"/>
        <v>39.610000000000014</v>
      </c>
      <c r="O12" s="146"/>
      <c r="P12" s="542"/>
      <c r="Q12" s="538"/>
      <c r="S12" s="133" t="s">
        <v>384</v>
      </c>
      <c r="T12" s="132">
        <v>26.96</v>
      </c>
      <c r="U12" s="99">
        <f>T12/400*100</f>
        <v>6.74</v>
      </c>
      <c r="V12" s="534"/>
      <c r="W12" s="534"/>
      <c r="X12" s="389"/>
      <c r="Y12" s="389"/>
      <c r="AA12" s="343"/>
      <c r="AB12" s="343"/>
      <c r="AC12" s="410"/>
    </row>
    <row r="13" spans="1:29" ht="14.25" customHeight="1" thickBot="1">
      <c r="A13" s="499"/>
      <c r="B13" s="96" t="s">
        <v>397</v>
      </c>
      <c r="C13" s="95" t="s">
        <v>63</v>
      </c>
      <c r="D13" s="94">
        <v>530.30999999999995</v>
      </c>
      <c r="E13" s="94">
        <v>200</v>
      </c>
      <c r="F13" s="94">
        <v>22.35</v>
      </c>
      <c r="G13" s="184">
        <v>0.5</v>
      </c>
      <c r="H13" s="184">
        <f t="shared" si="1"/>
        <v>11.175000000000001</v>
      </c>
      <c r="I13" s="183">
        <f t="shared" si="2"/>
        <v>188.82499999999999</v>
      </c>
      <c r="J13" s="92" t="s">
        <v>419</v>
      </c>
      <c r="K13" s="92">
        <v>541.49</v>
      </c>
      <c r="L13" s="92">
        <v>150</v>
      </c>
      <c r="M13" s="91">
        <f t="shared" si="0"/>
        <v>22.35</v>
      </c>
      <c r="N13" s="180">
        <f t="shared" si="3"/>
        <v>138.82499999999999</v>
      </c>
      <c r="O13" s="129"/>
      <c r="P13" s="543"/>
      <c r="Q13" s="540"/>
      <c r="S13" s="133" t="s">
        <v>380</v>
      </c>
      <c r="T13" s="132">
        <v>6.25</v>
      </c>
      <c r="U13" s="99">
        <f>T13/200*100</f>
        <v>3.125</v>
      </c>
      <c r="V13" s="384"/>
      <c r="W13" s="384"/>
      <c r="X13" s="389"/>
      <c r="Y13" s="389"/>
      <c r="AA13" s="343"/>
      <c r="AB13" s="343"/>
      <c r="AC13" s="410"/>
    </row>
    <row r="14" spans="1:29" ht="13.5" thickBot="1">
      <c r="A14" s="387" t="s">
        <v>427</v>
      </c>
      <c r="B14" s="87" t="s">
        <v>351</v>
      </c>
      <c r="C14" s="163"/>
      <c r="D14" s="85"/>
      <c r="E14" s="85"/>
      <c r="F14" s="85"/>
      <c r="G14" s="184">
        <v>0.5</v>
      </c>
      <c r="H14" s="184">
        <f t="shared" si="1"/>
        <v>0</v>
      </c>
      <c r="I14" s="84"/>
      <c r="J14" s="83"/>
      <c r="K14" s="83"/>
      <c r="L14" s="83"/>
      <c r="M14" s="82"/>
      <c r="N14" s="100"/>
      <c r="O14" s="161"/>
      <c r="P14" s="172"/>
      <c r="Q14" s="385"/>
      <c r="S14" s="133" t="s">
        <v>19</v>
      </c>
      <c r="T14" s="132">
        <v>72.45</v>
      </c>
      <c r="U14" s="99">
        <f>T14/500*100</f>
        <v>14.49</v>
      </c>
      <c r="V14" s="389"/>
      <c r="W14" s="389"/>
      <c r="X14" s="389"/>
      <c r="Y14" s="389"/>
      <c r="AA14" s="343"/>
      <c r="AB14" s="343"/>
      <c r="AC14" s="410"/>
    </row>
    <row r="15" spans="1:29" ht="14.25" customHeight="1" thickBot="1">
      <c r="A15" s="497" t="s">
        <v>49</v>
      </c>
      <c r="B15" s="87" t="s">
        <v>426</v>
      </c>
      <c r="C15" s="86" t="s">
        <v>47</v>
      </c>
      <c r="D15" s="85">
        <v>341.36500000000001</v>
      </c>
      <c r="E15" s="85">
        <v>400</v>
      </c>
      <c r="F15" s="85">
        <v>414.50749999999999</v>
      </c>
      <c r="G15" s="184">
        <v>0.5</v>
      </c>
      <c r="H15" s="184">
        <f t="shared" si="1"/>
        <v>207.25375</v>
      </c>
      <c r="I15" s="84">
        <f>E15-H15</f>
        <v>192.74625</v>
      </c>
      <c r="J15" s="83" t="s">
        <v>425</v>
      </c>
      <c r="K15" s="83">
        <v>527.53499999999997</v>
      </c>
      <c r="L15" s="83">
        <v>600</v>
      </c>
      <c r="M15" s="82">
        <f t="shared" ref="M15:M24" si="4">F15</f>
        <v>414.50749999999999</v>
      </c>
      <c r="N15" s="100">
        <f>L15-H15</f>
        <v>392.74625000000003</v>
      </c>
      <c r="O15" s="122"/>
      <c r="P15" s="535" t="s">
        <v>351</v>
      </c>
      <c r="Q15" s="536"/>
      <c r="S15" s="133"/>
      <c r="T15" s="132"/>
      <c r="U15" s="99">
        <f>T15/1250</f>
        <v>0</v>
      </c>
      <c r="V15" s="389"/>
      <c r="W15" s="389"/>
      <c r="X15" s="389"/>
      <c r="Y15" s="389"/>
      <c r="AA15" s="343"/>
      <c r="AB15" s="343"/>
      <c r="AC15" s="410"/>
    </row>
    <row r="16" spans="1:29" ht="14.25" customHeight="1" thickBot="1">
      <c r="A16" s="499"/>
      <c r="B16" s="96" t="s">
        <v>9</v>
      </c>
      <c r="C16" s="95" t="s">
        <v>424</v>
      </c>
      <c r="D16" s="108">
        <v>72.555000000000007</v>
      </c>
      <c r="E16" s="108">
        <v>300</v>
      </c>
      <c r="F16" s="108">
        <v>249.06020000000001</v>
      </c>
      <c r="G16" s="184">
        <v>0.5</v>
      </c>
      <c r="H16" s="184">
        <f t="shared" si="1"/>
        <v>124.5301</v>
      </c>
      <c r="I16" s="84">
        <f t="shared" ref="I16:I24" si="5">E16-H16</f>
        <v>175.4699</v>
      </c>
      <c r="J16" s="106" t="s">
        <v>423</v>
      </c>
      <c r="K16" s="106">
        <v>258.625</v>
      </c>
      <c r="L16" s="106">
        <v>250</v>
      </c>
      <c r="M16" s="105">
        <f t="shared" si="4"/>
        <v>249.06020000000001</v>
      </c>
      <c r="N16" s="100">
        <f t="shared" ref="N16:N24" si="6">L16-H16</f>
        <v>125.4699</v>
      </c>
      <c r="O16" s="146"/>
      <c r="P16" s="537"/>
      <c r="Q16" s="538"/>
      <c r="S16" s="126" t="s">
        <v>369</v>
      </c>
      <c r="T16" s="125">
        <f>SUM(T12:T15)</f>
        <v>105.66</v>
      </c>
      <c r="U16" s="89"/>
      <c r="V16" s="389"/>
      <c r="W16" s="389"/>
      <c r="X16" s="333"/>
      <c r="Y16" s="389"/>
    </row>
    <row r="17" spans="1:33" ht="14.25" customHeight="1" thickBot="1">
      <c r="A17" s="499"/>
      <c r="B17" s="96" t="s">
        <v>10</v>
      </c>
      <c r="C17" s="95" t="s">
        <v>386</v>
      </c>
      <c r="D17" s="108">
        <v>894.93</v>
      </c>
      <c r="E17" s="108">
        <v>150</v>
      </c>
      <c r="F17" s="108">
        <v>185.4342</v>
      </c>
      <c r="G17" s="184">
        <v>0.5</v>
      </c>
      <c r="H17" s="184">
        <f t="shared" si="1"/>
        <v>92.717100000000002</v>
      </c>
      <c r="I17" s="84">
        <f t="shared" si="5"/>
        <v>57.282899999999998</v>
      </c>
      <c r="J17" s="106" t="s">
        <v>385</v>
      </c>
      <c r="K17" s="106">
        <v>975.03499999999997</v>
      </c>
      <c r="L17" s="106">
        <v>150</v>
      </c>
      <c r="M17" s="105">
        <f t="shared" si="4"/>
        <v>185.4342</v>
      </c>
      <c r="N17" s="100">
        <f t="shared" si="6"/>
        <v>57.282899999999998</v>
      </c>
      <c r="O17" s="146"/>
      <c r="P17" s="537"/>
      <c r="Q17" s="538"/>
      <c r="S17" s="17" t="s">
        <v>365</v>
      </c>
      <c r="T17" s="17">
        <f>T16/8650*100</f>
        <v>1.2215028901734104</v>
      </c>
      <c r="V17" s="389"/>
      <c r="W17" s="389"/>
      <c r="X17" s="389"/>
      <c r="Y17" s="389"/>
    </row>
    <row r="18" spans="1:33" ht="14.25" customHeight="1" thickBot="1">
      <c r="A18" s="499"/>
      <c r="B18" s="96" t="s">
        <v>11</v>
      </c>
      <c r="C18" s="95" t="s">
        <v>378</v>
      </c>
      <c r="D18" s="108">
        <v>839.23</v>
      </c>
      <c r="E18" s="108">
        <v>150</v>
      </c>
      <c r="F18" s="108">
        <v>213.84829999999999</v>
      </c>
      <c r="G18" s="184">
        <v>0.5</v>
      </c>
      <c r="H18" s="184">
        <f t="shared" si="1"/>
        <v>106.92415</v>
      </c>
      <c r="I18" s="84">
        <f t="shared" si="5"/>
        <v>43.075850000000003</v>
      </c>
      <c r="J18" s="106" t="s">
        <v>422</v>
      </c>
      <c r="K18" s="106">
        <v>1025.3</v>
      </c>
      <c r="L18" s="106">
        <v>150</v>
      </c>
      <c r="M18" s="105">
        <f t="shared" si="4"/>
        <v>213.84829999999999</v>
      </c>
      <c r="N18" s="100">
        <f t="shared" si="6"/>
        <v>43.075850000000003</v>
      </c>
      <c r="O18" s="146"/>
      <c r="P18" s="537"/>
      <c r="Q18" s="538"/>
      <c r="V18" s="389"/>
      <c r="W18" s="389"/>
      <c r="X18" s="389"/>
      <c r="Y18" s="389"/>
    </row>
    <row r="19" spans="1:33" ht="14.25" customHeight="1" thickBot="1">
      <c r="A19" s="499"/>
      <c r="B19" s="96" t="s">
        <v>12</v>
      </c>
      <c r="C19" s="95" t="s">
        <v>52</v>
      </c>
      <c r="D19" s="108">
        <v>428.91</v>
      </c>
      <c r="E19" s="108">
        <v>200</v>
      </c>
      <c r="F19" s="108">
        <v>320.7817</v>
      </c>
      <c r="G19" s="184">
        <v>0.5</v>
      </c>
      <c r="H19" s="184">
        <f t="shared" si="1"/>
        <v>160.39085</v>
      </c>
      <c r="I19" s="84">
        <f t="shared" si="5"/>
        <v>39.60915</v>
      </c>
      <c r="J19" s="106" t="s">
        <v>421</v>
      </c>
      <c r="K19" s="106">
        <v>440.09</v>
      </c>
      <c r="L19" s="106">
        <v>200</v>
      </c>
      <c r="M19" s="105">
        <f t="shared" si="4"/>
        <v>320.7817</v>
      </c>
      <c r="N19" s="100">
        <f t="shared" si="6"/>
        <v>39.60915</v>
      </c>
      <c r="O19" s="122"/>
      <c r="P19" s="537"/>
      <c r="Q19" s="538"/>
      <c r="S19" s="494" t="s">
        <v>539</v>
      </c>
      <c r="T19" s="495"/>
      <c r="U19" s="495"/>
      <c r="V19" s="495"/>
      <c r="W19" s="495"/>
      <c r="X19" s="496"/>
      <c r="Y19" s="166"/>
    </row>
    <row r="20" spans="1:33" ht="14.25" customHeight="1" thickBot="1">
      <c r="A20" s="499"/>
      <c r="B20" s="96" t="s">
        <v>420</v>
      </c>
      <c r="C20" s="95" t="s">
        <v>412</v>
      </c>
      <c r="D20" s="94">
        <v>530.30999999999995</v>
      </c>
      <c r="E20" s="94">
        <v>200</v>
      </c>
      <c r="F20" s="94">
        <v>22.35</v>
      </c>
      <c r="G20" s="184">
        <v>0.5</v>
      </c>
      <c r="H20" s="184">
        <f t="shared" si="1"/>
        <v>11.175000000000001</v>
      </c>
      <c r="I20" s="84">
        <f t="shared" si="5"/>
        <v>188.82499999999999</v>
      </c>
      <c r="J20" s="92" t="s">
        <v>419</v>
      </c>
      <c r="K20" s="92">
        <v>541.49</v>
      </c>
      <c r="L20" s="92">
        <v>150</v>
      </c>
      <c r="M20" s="91">
        <f t="shared" si="4"/>
        <v>22.35</v>
      </c>
      <c r="N20" s="100">
        <f t="shared" si="6"/>
        <v>138.82499999999999</v>
      </c>
      <c r="O20" s="117"/>
      <c r="P20" s="539"/>
      <c r="Q20" s="540"/>
      <c r="S20" s="336" t="s">
        <v>470</v>
      </c>
      <c r="T20" s="337" t="s">
        <v>471</v>
      </c>
      <c r="U20" s="337" t="s">
        <v>472</v>
      </c>
      <c r="V20" s="337" t="s">
        <v>473</v>
      </c>
      <c r="W20" s="338" t="s">
        <v>474</v>
      </c>
      <c r="X20" s="339" t="s">
        <v>527</v>
      </c>
      <c r="Y20" s="340" t="s">
        <v>418</v>
      </c>
    </row>
    <row r="21" spans="1:33" ht="14.25" customHeight="1" thickBot="1">
      <c r="A21" s="497" t="s">
        <v>414</v>
      </c>
      <c r="B21" s="87" t="s">
        <v>7</v>
      </c>
      <c r="C21" s="86" t="s">
        <v>48</v>
      </c>
      <c r="D21" s="85">
        <v>457.755</v>
      </c>
      <c r="E21" s="85">
        <v>200</v>
      </c>
      <c r="F21" s="85">
        <v>200.1122</v>
      </c>
      <c r="G21" s="184">
        <v>0.5</v>
      </c>
      <c r="H21" s="184">
        <f t="shared" si="1"/>
        <v>100.0561</v>
      </c>
      <c r="I21" s="84">
        <f t="shared" si="5"/>
        <v>99.943899999999999</v>
      </c>
      <c r="J21" s="83" t="s">
        <v>417</v>
      </c>
      <c r="K21" s="83">
        <v>733.18499999999995</v>
      </c>
      <c r="L21" s="83">
        <v>150</v>
      </c>
      <c r="M21" s="82">
        <f t="shared" si="4"/>
        <v>200.1122</v>
      </c>
      <c r="N21" s="100">
        <f t="shared" si="6"/>
        <v>49.943899999999999</v>
      </c>
      <c r="O21" s="122"/>
      <c r="P21" s="541" t="s">
        <v>351</v>
      </c>
      <c r="Q21" s="536"/>
      <c r="S21" s="60" t="s">
        <v>84</v>
      </c>
      <c r="T21" s="341">
        <v>0</v>
      </c>
      <c r="U21" s="341">
        <v>0</v>
      </c>
      <c r="V21" s="342">
        <v>0</v>
      </c>
      <c r="W21" s="342">
        <v>0</v>
      </c>
      <c r="X21" s="343">
        <v>0</v>
      </c>
      <c r="Y21" s="344">
        <f>SUM(T21:X21)</f>
        <v>0</v>
      </c>
    </row>
    <row r="22" spans="1:33" ht="14.25" customHeight="1" thickBot="1">
      <c r="A22" s="499"/>
      <c r="B22" s="96" t="s">
        <v>416</v>
      </c>
      <c r="C22" s="95" t="s">
        <v>74</v>
      </c>
      <c r="D22" s="108">
        <v>632.29</v>
      </c>
      <c r="E22" s="108">
        <v>300</v>
      </c>
      <c r="F22" s="108">
        <v>416.14780000000002</v>
      </c>
      <c r="G22" s="184">
        <v>0.5</v>
      </c>
      <c r="H22" s="184">
        <f t="shared" si="1"/>
        <v>208.07390000000001</v>
      </c>
      <c r="I22" s="84">
        <f t="shared" si="5"/>
        <v>91.926099999999991</v>
      </c>
      <c r="J22" s="106" t="s">
        <v>361</v>
      </c>
      <c r="K22" s="106">
        <v>692.19500000000005</v>
      </c>
      <c r="L22" s="106">
        <v>300</v>
      </c>
      <c r="M22" s="105">
        <f t="shared" si="4"/>
        <v>416.14780000000002</v>
      </c>
      <c r="N22" s="100">
        <f t="shared" si="6"/>
        <v>91.926099999999991</v>
      </c>
      <c r="O22" s="146"/>
      <c r="P22" s="542"/>
      <c r="Q22" s="538"/>
      <c r="S22" s="60" t="s">
        <v>85</v>
      </c>
      <c r="T22" s="341">
        <v>0</v>
      </c>
      <c r="U22" s="341">
        <v>0</v>
      </c>
      <c r="V22" s="341">
        <v>0</v>
      </c>
      <c r="W22" s="341">
        <v>0</v>
      </c>
      <c r="X22" s="343">
        <v>0</v>
      </c>
      <c r="Y22" s="60">
        <f t="shared" ref="Y22:Y32" si="7">SUM(T22:X22)</f>
        <v>0</v>
      </c>
    </row>
    <row r="23" spans="1:33" ht="14.25" customHeight="1" thickBot="1">
      <c r="A23" s="499"/>
      <c r="B23" s="96" t="s">
        <v>415</v>
      </c>
      <c r="C23" s="95" t="s">
        <v>414</v>
      </c>
      <c r="D23" s="108">
        <v>370.31</v>
      </c>
      <c r="E23" s="108">
        <v>200</v>
      </c>
      <c r="F23" s="108">
        <v>24.103000000000002</v>
      </c>
      <c r="G23" s="184">
        <v>0.5</v>
      </c>
      <c r="H23" s="184">
        <f t="shared" si="1"/>
        <v>12.051500000000001</v>
      </c>
      <c r="I23" s="84">
        <f t="shared" si="5"/>
        <v>187.9485</v>
      </c>
      <c r="J23" s="106" t="s">
        <v>413</v>
      </c>
      <c r="K23" s="106">
        <v>820.63</v>
      </c>
      <c r="L23" s="106">
        <v>150</v>
      </c>
      <c r="M23" s="105">
        <f t="shared" si="4"/>
        <v>24.103000000000002</v>
      </c>
      <c r="N23" s="100">
        <f t="shared" si="6"/>
        <v>137.9485</v>
      </c>
      <c r="O23" s="146"/>
      <c r="P23" s="542"/>
      <c r="Q23" s="538"/>
      <c r="S23" s="60" t="s">
        <v>86</v>
      </c>
      <c r="T23" s="341">
        <v>1</v>
      </c>
      <c r="U23" s="341">
        <v>0</v>
      </c>
      <c r="V23" s="341">
        <v>0</v>
      </c>
      <c r="W23" s="341">
        <v>0</v>
      </c>
      <c r="X23" s="343">
        <v>0</v>
      </c>
      <c r="Y23" s="60">
        <f t="shared" si="7"/>
        <v>1</v>
      </c>
    </row>
    <row r="24" spans="1:33" ht="14.25" customHeight="1" thickBot="1">
      <c r="A24" s="499"/>
      <c r="B24" s="96" t="s">
        <v>397</v>
      </c>
      <c r="C24" s="95" t="s">
        <v>412</v>
      </c>
      <c r="D24" s="94">
        <v>530.30999999999995</v>
      </c>
      <c r="E24" s="94">
        <v>200</v>
      </c>
      <c r="F24" s="94">
        <v>22.35</v>
      </c>
      <c r="G24" s="184">
        <v>0.5</v>
      </c>
      <c r="H24" s="184">
        <f t="shared" si="1"/>
        <v>11.175000000000001</v>
      </c>
      <c r="I24" s="84">
        <f t="shared" si="5"/>
        <v>188.82499999999999</v>
      </c>
      <c r="J24" s="92" t="s">
        <v>411</v>
      </c>
      <c r="K24" s="92">
        <v>660.63</v>
      </c>
      <c r="L24" s="92">
        <v>150</v>
      </c>
      <c r="M24" s="91">
        <f t="shared" si="4"/>
        <v>22.35</v>
      </c>
      <c r="N24" s="100">
        <f t="shared" si="6"/>
        <v>138.82499999999999</v>
      </c>
      <c r="O24" s="117"/>
      <c r="P24" s="543"/>
      <c r="Q24" s="540"/>
      <c r="S24" s="60" t="s">
        <v>87</v>
      </c>
      <c r="T24" s="341">
        <v>1</v>
      </c>
      <c r="U24" s="341">
        <v>0</v>
      </c>
      <c r="V24" s="341">
        <v>0</v>
      </c>
      <c r="W24" s="341">
        <v>0</v>
      </c>
      <c r="X24" s="343">
        <v>0</v>
      </c>
      <c r="Y24" s="60">
        <f t="shared" si="7"/>
        <v>1</v>
      </c>
      <c r="AA24" s="405" t="s">
        <v>476</v>
      </c>
      <c r="AB24" s="405" t="s">
        <v>477</v>
      </c>
      <c r="AC24" s="345" t="s">
        <v>478</v>
      </c>
    </row>
    <row r="25" spans="1:33" ht="15" customHeight="1" thickBot="1">
      <c r="A25" s="164" t="s">
        <v>410</v>
      </c>
      <c r="B25" s="87" t="s">
        <v>409</v>
      </c>
      <c r="C25" s="163"/>
      <c r="D25" s="85"/>
      <c r="E25" s="85"/>
      <c r="F25" s="85"/>
      <c r="G25" s="184">
        <v>0.5</v>
      </c>
      <c r="H25" s="184">
        <f t="shared" si="1"/>
        <v>0</v>
      </c>
      <c r="I25" s="84"/>
      <c r="J25" s="83"/>
      <c r="K25" s="83"/>
      <c r="L25" s="83"/>
      <c r="M25" s="82"/>
      <c r="N25" s="100"/>
      <c r="O25" s="161"/>
      <c r="P25" s="550"/>
      <c r="Q25" s="551"/>
      <c r="S25" s="60" t="s">
        <v>88</v>
      </c>
      <c r="T25" s="341">
        <v>1</v>
      </c>
      <c r="U25" s="341">
        <v>0</v>
      </c>
      <c r="V25" s="341">
        <v>0</v>
      </c>
      <c r="W25" s="341">
        <v>0</v>
      </c>
      <c r="X25" s="343">
        <v>0</v>
      </c>
      <c r="Y25" s="60">
        <f t="shared" si="7"/>
        <v>1</v>
      </c>
      <c r="AA25" s="61" t="s">
        <v>471</v>
      </c>
      <c r="AB25" s="61">
        <v>100</v>
      </c>
      <c r="AC25" s="413">
        <v>15</v>
      </c>
    </row>
    <row r="26" spans="1:33" ht="13.5" thickBot="1">
      <c r="A26" s="519" t="s">
        <v>408</v>
      </c>
      <c r="B26" s="160" t="s">
        <v>14</v>
      </c>
      <c r="C26" s="86" t="s">
        <v>407</v>
      </c>
      <c r="D26" s="85">
        <v>391.72</v>
      </c>
      <c r="E26" s="84">
        <v>400</v>
      </c>
      <c r="F26" s="85">
        <v>664.51419999999996</v>
      </c>
      <c r="G26" s="184">
        <v>0.5</v>
      </c>
      <c r="H26" s="184">
        <f t="shared" si="1"/>
        <v>332.25709999999998</v>
      </c>
      <c r="I26" s="84">
        <f>E26-H26</f>
        <v>67.74290000000002</v>
      </c>
      <c r="J26" s="83" t="s">
        <v>406</v>
      </c>
      <c r="K26" s="83">
        <v>799.22</v>
      </c>
      <c r="L26" s="83">
        <v>300</v>
      </c>
      <c r="M26" s="82">
        <f t="shared" ref="M26:M56" si="8">F26</f>
        <v>664.51419999999996</v>
      </c>
      <c r="N26" s="81">
        <f>L26-H26</f>
        <v>-32.25709999999998</v>
      </c>
      <c r="O26" s="122">
        <f>L26/E26</f>
        <v>0.75</v>
      </c>
      <c r="P26" s="159" t="s">
        <v>384</v>
      </c>
      <c r="Q26" s="158">
        <v>26.96</v>
      </c>
      <c r="S26" s="60" t="s">
        <v>89</v>
      </c>
      <c r="T26" s="341">
        <v>0</v>
      </c>
      <c r="U26" s="341">
        <v>0</v>
      </c>
      <c r="V26" s="341">
        <v>0</v>
      </c>
      <c r="W26" s="341">
        <v>0</v>
      </c>
      <c r="X26" s="343">
        <v>0</v>
      </c>
      <c r="Y26" s="60">
        <f t="shared" si="7"/>
        <v>0</v>
      </c>
      <c r="AA26" s="346" t="s">
        <v>472</v>
      </c>
      <c r="AB26" s="346">
        <v>150</v>
      </c>
      <c r="AC26" s="414">
        <v>16.3689</v>
      </c>
    </row>
    <row r="27" spans="1:33" ht="14.25" customHeight="1" thickBot="1">
      <c r="A27" s="520"/>
      <c r="B27" s="75" t="s">
        <v>360</v>
      </c>
      <c r="C27" s="74" t="s">
        <v>55</v>
      </c>
      <c r="D27" s="157">
        <v>566.26</v>
      </c>
      <c r="E27" s="157">
        <v>300</v>
      </c>
      <c r="F27" s="157">
        <v>424.66829999999999</v>
      </c>
      <c r="G27" s="184">
        <v>0.5</v>
      </c>
      <c r="H27" s="184">
        <f t="shared" si="1"/>
        <v>212.33414999999999</v>
      </c>
      <c r="I27" s="84">
        <f t="shared" ref="I27:I56" si="9">E27-H27</f>
        <v>87.665850000000006</v>
      </c>
      <c r="J27" s="156" t="s">
        <v>405</v>
      </c>
      <c r="K27" s="156">
        <v>973.76</v>
      </c>
      <c r="L27" s="156">
        <v>300</v>
      </c>
      <c r="M27" s="71">
        <f t="shared" si="8"/>
        <v>424.66829999999999</v>
      </c>
      <c r="N27" s="81">
        <f t="shared" ref="N27:N56" si="10">L27-H27</f>
        <v>87.665850000000006</v>
      </c>
      <c r="O27" s="117"/>
      <c r="P27" s="153"/>
      <c r="Q27" s="152"/>
      <c r="S27" s="60" t="s">
        <v>90</v>
      </c>
      <c r="T27" s="341">
        <v>0</v>
      </c>
      <c r="U27" s="341">
        <v>0</v>
      </c>
      <c r="V27" s="341">
        <v>0</v>
      </c>
      <c r="W27" s="341">
        <v>0</v>
      </c>
      <c r="X27" s="343">
        <v>0</v>
      </c>
      <c r="Y27" s="60">
        <f t="shared" si="7"/>
        <v>0</v>
      </c>
      <c r="AA27" s="346" t="s">
        <v>473</v>
      </c>
      <c r="AB27" s="346">
        <v>200</v>
      </c>
      <c r="AC27" s="414">
        <v>16.746700000000001</v>
      </c>
    </row>
    <row r="28" spans="1:33" ht="13.5" thickBot="1">
      <c r="A28" s="499" t="s">
        <v>404</v>
      </c>
      <c r="B28" s="63" t="s">
        <v>6</v>
      </c>
      <c r="C28" s="114" t="s">
        <v>47</v>
      </c>
      <c r="D28" s="94">
        <v>341.46499999999997</v>
      </c>
      <c r="E28" s="93">
        <v>400</v>
      </c>
      <c r="F28" s="94">
        <v>414.50749999999999</v>
      </c>
      <c r="G28" s="184">
        <v>0.5</v>
      </c>
      <c r="H28" s="184">
        <f t="shared" si="1"/>
        <v>207.25375</v>
      </c>
      <c r="I28" s="84">
        <f t="shared" si="9"/>
        <v>192.74625</v>
      </c>
      <c r="J28" s="92" t="s">
        <v>403</v>
      </c>
      <c r="K28" s="92">
        <v>849.47500000000002</v>
      </c>
      <c r="L28" s="92">
        <v>400</v>
      </c>
      <c r="M28" s="91">
        <f t="shared" si="8"/>
        <v>414.50749999999999</v>
      </c>
      <c r="N28" s="81">
        <f t="shared" si="10"/>
        <v>192.74625</v>
      </c>
      <c r="O28" s="122"/>
      <c r="P28" s="386" t="s">
        <v>466</v>
      </c>
      <c r="Q28" s="144"/>
      <c r="S28" s="60" t="s">
        <v>91</v>
      </c>
      <c r="T28" s="341">
        <v>0</v>
      </c>
      <c r="U28" s="341">
        <v>0</v>
      </c>
      <c r="V28" s="343">
        <v>0</v>
      </c>
      <c r="W28" s="343">
        <v>0</v>
      </c>
      <c r="X28" s="343">
        <v>0</v>
      </c>
      <c r="Y28" s="60">
        <f t="shared" si="7"/>
        <v>0</v>
      </c>
      <c r="AA28" s="346" t="s">
        <v>474</v>
      </c>
      <c r="AB28" s="346">
        <v>250</v>
      </c>
      <c r="AC28" s="414">
        <v>16.886600000000001</v>
      </c>
    </row>
    <row r="29" spans="1:33" ht="14.25" customHeight="1" thickBot="1">
      <c r="A29" s="499"/>
      <c r="B29" s="63" t="s">
        <v>402</v>
      </c>
      <c r="C29" s="114" t="s">
        <v>386</v>
      </c>
      <c r="D29" s="94">
        <v>894.93</v>
      </c>
      <c r="E29" s="93">
        <v>150</v>
      </c>
      <c r="F29" s="94">
        <v>185.4342</v>
      </c>
      <c r="G29" s="184">
        <v>0.5</v>
      </c>
      <c r="H29" s="184">
        <f t="shared" si="1"/>
        <v>92.717100000000002</v>
      </c>
      <c r="I29" s="84">
        <f t="shared" si="9"/>
        <v>57.282899999999998</v>
      </c>
      <c r="J29" s="92" t="s">
        <v>385</v>
      </c>
      <c r="K29" s="92">
        <v>975.03499999999997</v>
      </c>
      <c r="L29" s="92">
        <v>150</v>
      </c>
      <c r="M29" s="91">
        <f t="shared" si="8"/>
        <v>185.4342</v>
      </c>
      <c r="N29" s="81">
        <f t="shared" si="10"/>
        <v>57.282899999999998</v>
      </c>
      <c r="O29" s="146"/>
      <c r="P29" s="145"/>
      <c r="Q29" s="144"/>
      <c r="S29" s="60" t="s">
        <v>92</v>
      </c>
      <c r="T29" s="343">
        <v>0</v>
      </c>
      <c r="U29" s="343">
        <v>0</v>
      </c>
      <c r="V29" s="343">
        <v>0</v>
      </c>
      <c r="W29" s="343">
        <v>0</v>
      </c>
      <c r="X29" s="343">
        <v>0</v>
      </c>
      <c r="Y29" s="60">
        <f t="shared" si="7"/>
        <v>0</v>
      </c>
      <c r="AA29" s="347" t="s">
        <v>527</v>
      </c>
      <c r="AB29" s="347">
        <v>300</v>
      </c>
      <c r="AC29" s="415">
        <v>17</v>
      </c>
    </row>
    <row r="30" spans="1:33" ht="14.25" customHeight="1" thickBot="1">
      <c r="A30" s="499"/>
      <c r="B30" s="96" t="s">
        <v>401</v>
      </c>
      <c r="C30" s="95" t="s">
        <v>378</v>
      </c>
      <c r="D30" s="108">
        <v>839.23</v>
      </c>
      <c r="E30" s="108">
        <v>150</v>
      </c>
      <c r="F30" s="108">
        <v>213.84829999999999</v>
      </c>
      <c r="G30" s="184">
        <v>0.5</v>
      </c>
      <c r="H30" s="184">
        <f t="shared" si="1"/>
        <v>106.92415</v>
      </c>
      <c r="I30" s="84">
        <f t="shared" si="9"/>
        <v>43.075850000000003</v>
      </c>
      <c r="J30" s="106" t="s">
        <v>400</v>
      </c>
      <c r="K30" s="106">
        <v>1347.24</v>
      </c>
      <c r="L30" s="106">
        <v>100</v>
      </c>
      <c r="M30" s="105">
        <f t="shared" si="8"/>
        <v>213.84829999999999</v>
      </c>
      <c r="N30" s="81">
        <f t="shared" si="10"/>
        <v>-6.9241499999999974</v>
      </c>
      <c r="O30" s="122">
        <f>L30/E30</f>
        <v>0.66666666666666663</v>
      </c>
      <c r="P30" s="149" t="s">
        <v>12</v>
      </c>
      <c r="Q30" s="148">
        <v>6.25</v>
      </c>
      <c r="S30" s="60" t="s">
        <v>93</v>
      </c>
      <c r="T30" s="343">
        <v>1</v>
      </c>
      <c r="U30" s="341">
        <v>0</v>
      </c>
      <c r="V30" s="343">
        <v>0</v>
      </c>
      <c r="W30" s="343">
        <v>0</v>
      </c>
      <c r="X30" s="343">
        <v>0</v>
      </c>
      <c r="Y30" s="60">
        <f t="shared" si="7"/>
        <v>1</v>
      </c>
    </row>
    <row r="31" spans="1:33" ht="14.25" customHeight="1" thickBot="1">
      <c r="A31" s="499"/>
      <c r="B31" s="96" t="s">
        <v>399</v>
      </c>
      <c r="C31" s="95" t="s">
        <v>52</v>
      </c>
      <c r="D31" s="94">
        <v>428.91</v>
      </c>
      <c r="E31" s="93">
        <v>200</v>
      </c>
      <c r="F31" s="94">
        <v>320.7817</v>
      </c>
      <c r="G31" s="184">
        <v>0.5</v>
      </c>
      <c r="H31" s="184">
        <f t="shared" si="1"/>
        <v>160.39085</v>
      </c>
      <c r="I31" s="84">
        <f t="shared" si="9"/>
        <v>39.60915</v>
      </c>
      <c r="J31" s="92" t="s">
        <v>398</v>
      </c>
      <c r="K31" s="92">
        <v>762.03</v>
      </c>
      <c r="L31" s="92">
        <v>150</v>
      </c>
      <c r="M31" s="91">
        <f t="shared" si="8"/>
        <v>320.7817</v>
      </c>
      <c r="N31" s="81">
        <f t="shared" si="10"/>
        <v>-10.39085</v>
      </c>
      <c r="O31" s="146">
        <f>L31/E31</f>
        <v>0.75</v>
      </c>
      <c r="P31" s="145"/>
      <c r="Q31" s="144"/>
      <c r="S31" s="60" t="s">
        <v>94</v>
      </c>
      <c r="T31" s="343">
        <v>0</v>
      </c>
      <c r="U31" s="341">
        <v>0</v>
      </c>
      <c r="V31" s="343">
        <v>0</v>
      </c>
      <c r="W31" s="343">
        <v>0</v>
      </c>
      <c r="X31" s="343">
        <v>0</v>
      </c>
      <c r="Y31" s="60">
        <f t="shared" si="7"/>
        <v>0</v>
      </c>
    </row>
    <row r="32" spans="1:33" ht="14.25" customHeight="1" thickBot="1">
      <c r="A32" s="499"/>
      <c r="B32" s="96" t="s">
        <v>396</v>
      </c>
      <c r="C32" s="95" t="s">
        <v>56</v>
      </c>
      <c r="D32" s="94">
        <v>268.91000000000003</v>
      </c>
      <c r="E32" s="94">
        <v>250</v>
      </c>
      <c r="F32" s="94">
        <v>277.57420000000002</v>
      </c>
      <c r="G32" s="184">
        <v>0.5</v>
      </c>
      <c r="H32" s="184">
        <f t="shared" si="1"/>
        <v>138.78710000000001</v>
      </c>
      <c r="I32" s="84">
        <f t="shared" si="9"/>
        <v>111.21289999999999</v>
      </c>
      <c r="J32" s="92" t="s">
        <v>395</v>
      </c>
      <c r="K32" s="92">
        <v>922.03</v>
      </c>
      <c r="L32" s="92">
        <v>250</v>
      </c>
      <c r="M32" s="105">
        <f t="shared" si="8"/>
        <v>277.57420000000002</v>
      </c>
      <c r="N32" s="81">
        <f t="shared" si="10"/>
        <v>111.21289999999999</v>
      </c>
      <c r="O32" s="117"/>
      <c r="P32" s="142"/>
      <c r="Q32" s="141"/>
      <c r="S32" s="326" t="s">
        <v>469</v>
      </c>
      <c r="T32" s="348">
        <v>0</v>
      </c>
      <c r="U32" s="348">
        <v>0</v>
      </c>
      <c r="V32" s="348">
        <v>0</v>
      </c>
      <c r="W32" s="348">
        <v>0</v>
      </c>
      <c r="X32" s="348">
        <v>0</v>
      </c>
      <c r="Y32" s="326">
        <f t="shared" si="7"/>
        <v>0</v>
      </c>
      <c r="AA32" s="494" t="s">
        <v>541</v>
      </c>
      <c r="AB32" s="495"/>
      <c r="AC32" s="495"/>
      <c r="AD32" s="495"/>
      <c r="AE32" s="495"/>
      <c r="AF32" s="496"/>
      <c r="AG32" s="166"/>
    </row>
    <row r="33" spans="1:38" ht="13.5" thickBot="1">
      <c r="A33" s="497" t="s">
        <v>382</v>
      </c>
      <c r="B33" s="87" t="s">
        <v>393</v>
      </c>
      <c r="C33" s="86" t="s">
        <v>392</v>
      </c>
      <c r="D33" s="85">
        <v>774.56</v>
      </c>
      <c r="E33" s="85">
        <v>450</v>
      </c>
      <c r="F33" s="85">
        <v>593.39</v>
      </c>
      <c r="G33" s="184">
        <v>0.5</v>
      </c>
      <c r="H33" s="184">
        <f t="shared" si="1"/>
        <v>296.69499999999999</v>
      </c>
      <c r="I33" s="84">
        <f t="shared" si="9"/>
        <v>153.30500000000001</v>
      </c>
      <c r="J33" s="83" t="s">
        <v>391</v>
      </c>
      <c r="K33" s="83">
        <v>778.62</v>
      </c>
      <c r="L33" s="83">
        <v>450</v>
      </c>
      <c r="M33" s="82">
        <f t="shared" si="8"/>
        <v>593.39</v>
      </c>
      <c r="N33" s="81">
        <f t="shared" si="10"/>
        <v>153.30500000000001</v>
      </c>
      <c r="O33" s="140"/>
      <c r="P33" s="139"/>
      <c r="Q33" s="104"/>
      <c r="S33" s="340" t="s">
        <v>479</v>
      </c>
      <c r="T33" s="349">
        <f t="shared" ref="T33:Y33" si="11">SUM(T21:T32)</f>
        <v>4</v>
      </c>
      <c r="U33" s="349">
        <f t="shared" si="11"/>
        <v>0</v>
      </c>
      <c r="V33" s="349">
        <f t="shared" si="11"/>
        <v>0</v>
      </c>
      <c r="W33" s="349">
        <f t="shared" si="11"/>
        <v>0</v>
      </c>
      <c r="X33" s="349">
        <f t="shared" si="11"/>
        <v>0</v>
      </c>
      <c r="Y33" s="350">
        <f t="shared" si="11"/>
        <v>4</v>
      </c>
      <c r="AA33" s="336" t="s">
        <v>470</v>
      </c>
      <c r="AB33" s="337" t="s">
        <v>471</v>
      </c>
      <c r="AC33" s="337" t="s">
        <v>472</v>
      </c>
      <c r="AD33" s="337" t="s">
        <v>473</v>
      </c>
      <c r="AE33" s="338" t="s">
        <v>474</v>
      </c>
      <c r="AF33" s="339" t="s">
        <v>527</v>
      </c>
      <c r="AG33" s="340" t="s">
        <v>418</v>
      </c>
    </row>
    <row r="34" spans="1:38" ht="14.25" customHeight="1" thickBot="1">
      <c r="A34" s="499"/>
      <c r="B34" s="96" t="s">
        <v>387</v>
      </c>
      <c r="C34" s="95" t="s">
        <v>386</v>
      </c>
      <c r="D34" s="108">
        <v>894.93</v>
      </c>
      <c r="E34" s="107">
        <v>150</v>
      </c>
      <c r="F34" s="108">
        <v>185.4342</v>
      </c>
      <c r="G34" s="184">
        <v>0.5</v>
      </c>
      <c r="H34" s="184">
        <f t="shared" si="1"/>
        <v>92.717100000000002</v>
      </c>
      <c r="I34" s="84">
        <f t="shared" si="9"/>
        <v>57.282899999999998</v>
      </c>
      <c r="J34" s="106" t="s">
        <v>385</v>
      </c>
      <c r="K34" s="106">
        <v>975.03499999999997</v>
      </c>
      <c r="L34" s="106">
        <v>150</v>
      </c>
      <c r="M34" s="105">
        <f t="shared" si="8"/>
        <v>185.4342</v>
      </c>
      <c r="N34" s="81">
        <f t="shared" si="10"/>
        <v>57.282899999999998</v>
      </c>
      <c r="O34" s="78"/>
      <c r="P34" s="113"/>
      <c r="Q34" s="103"/>
      <c r="S34" s="340" t="s">
        <v>478</v>
      </c>
      <c r="T34" s="351">
        <f>PRODUCT(T33*AC25)</f>
        <v>60</v>
      </c>
      <c r="U34" s="351">
        <f>PRODUCT(U33*AC26)</f>
        <v>0</v>
      </c>
      <c r="V34" s="351">
        <f>PRODUCT(V33*AC27)</f>
        <v>0</v>
      </c>
      <c r="W34" s="351">
        <f>PRODUCT(W33*AC28)</f>
        <v>0</v>
      </c>
      <c r="X34" s="351">
        <f>PRODUCT(X33*AC29)</f>
        <v>0</v>
      </c>
      <c r="Y34" s="340">
        <f>SUM(T34:X34)</f>
        <v>60</v>
      </c>
      <c r="AA34" s="60" t="s">
        <v>84</v>
      </c>
      <c r="AB34" s="343">
        <f>T21+T40</f>
        <v>0</v>
      </c>
      <c r="AC34" s="343">
        <f t="shared" ref="AC34:AF45" si="12">U21+U40</f>
        <v>3</v>
      </c>
      <c r="AD34" s="343">
        <f t="shared" si="12"/>
        <v>2</v>
      </c>
      <c r="AE34" s="343">
        <f t="shared" si="12"/>
        <v>1</v>
      </c>
      <c r="AF34" s="343">
        <f t="shared" si="12"/>
        <v>0</v>
      </c>
      <c r="AG34" s="344">
        <f>SUM(AB34:AF34)</f>
        <v>6</v>
      </c>
    </row>
    <row r="35" spans="1:38" ht="14.25" customHeight="1" thickBot="1">
      <c r="A35" s="499"/>
      <c r="B35" s="96" t="s">
        <v>383</v>
      </c>
      <c r="C35" s="95" t="s">
        <v>382</v>
      </c>
      <c r="D35" s="94">
        <v>553.46500000000003</v>
      </c>
      <c r="E35" s="93">
        <v>300</v>
      </c>
      <c r="F35" s="94">
        <v>491.47570000000002</v>
      </c>
      <c r="G35" s="184">
        <v>0.5</v>
      </c>
      <c r="H35" s="184">
        <f t="shared" si="1"/>
        <v>245.73785000000001</v>
      </c>
      <c r="I35" s="84">
        <f t="shared" si="9"/>
        <v>54.262149999999991</v>
      </c>
      <c r="J35" s="92" t="s">
        <v>381</v>
      </c>
      <c r="K35" s="92">
        <v>660.12</v>
      </c>
      <c r="L35" s="92">
        <v>300</v>
      </c>
      <c r="M35" s="91">
        <f t="shared" si="8"/>
        <v>491.47570000000002</v>
      </c>
      <c r="N35" s="81">
        <f t="shared" si="10"/>
        <v>54.262149999999991</v>
      </c>
      <c r="O35" s="68"/>
      <c r="P35" s="135"/>
      <c r="Q35" s="134"/>
      <c r="S35" s="340" t="s">
        <v>477</v>
      </c>
      <c r="T35" s="351">
        <f>T33*AB25</f>
        <v>400</v>
      </c>
      <c r="U35" s="351">
        <f>U33*AB26</f>
        <v>0</v>
      </c>
      <c r="V35" s="351">
        <f>V33</f>
        <v>0</v>
      </c>
      <c r="W35" s="351">
        <f>W33*AB28</f>
        <v>0</v>
      </c>
      <c r="X35" s="351">
        <f>X33*AB29</f>
        <v>0</v>
      </c>
      <c r="Y35" s="340">
        <f>SUM(T35:X35)</f>
        <v>400</v>
      </c>
      <c r="AA35" s="60" t="s">
        <v>85</v>
      </c>
      <c r="AB35" s="343">
        <f t="shared" ref="AB35:AB45" si="13">T22+T41</f>
        <v>0</v>
      </c>
      <c r="AC35" s="343">
        <f t="shared" si="12"/>
        <v>4</v>
      </c>
      <c r="AD35" s="343">
        <f t="shared" si="12"/>
        <v>3</v>
      </c>
      <c r="AE35" s="343">
        <f t="shared" si="12"/>
        <v>0</v>
      </c>
      <c r="AF35" s="343">
        <f t="shared" si="12"/>
        <v>2</v>
      </c>
      <c r="AG35" s="60">
        <f t="shared" ref="AG35:AG45" si="14">SUM(AB35:AF35)</f>
        <v>9</v>
      </c>
    </row>
    <row r="36" spans="1:38" ht="13.5" thickBot="1">
      <c r="A36" s="497" t="s">
        <v>375</v>
      </c>
      <c r="B36" s="87" t="s">
        <v>379</v>
      </c>
      <c r="C36" s="86" t="s">
        <v>378</v>
      </c>
      <c r="D36" s="85">
        <v>839.23</v>
      </c>
      <c r="E36" s="84">
        <v>150</v>
      </c>
      <c r="F36" s="85">
        <v>213.84829999999999</v>
      </c>
      <c r="G36" s="184">
        <v>0.5</v>
      </c>
      <c r="H36" s="184">
        <f t="shared" si="1"/>
        <v>106.92415</v>
      </c>
      <c r="I36" s="84">
        <f t="shared" si="9"/>
        <v>43.075850000000003</v>
      </c>
      <c r="J36" s="83" t="s">
        <v>377</v>
      </c>
      <c r="K36" s="83">
        <v>844.89</v>
      </c>
      <c r="L36" s="83">
        <v>150</v>
      </c>
      <c r="M36" s="82">
        <f t="shared" si="8"/>
        <v>213.84829999999999</v>
      </c>
      <c r="N36" s="81">
        <f t="shared" si="10"/>
        <v>43.075850000000003</v>
      </c>
      <c r="O36" s="78"/>
      <c r="P36" s="77"/>
      <c r="Q36" s="76"/>
      <c r="AA36" s="60" t="s">
        <v>86</v>
      </c>
      <c r="AB36" s="343">
        <f t="shared" si="13"/>
        <v>1</v>
      </c>
      <c r="AC36" s="343">
        <f t="shared" si="12"/>
        <v>0</v>
      </c>
      <c r="AD36" s="343">
        <f t="shared" si="12"/>
        <v>2</v>
      </c>
      <c r="AE36" s="343">
        <f t="shared" si="12"/>
        <v>0</v>
      </c>
      <c r="AF36" s="343">
        <f t="shared" si="12"/>
        <v>1</v>
      </c>
      <c r="AG36" s="60">
        <f t="shared" si="14"/>
        <v>4</v>
      </c>
    </row>
    <row r="37" spans="1:38" ht="14.25" customHeight="1" thickBot="1">
      <c r="A37" s="499"/>
      <c r="B37" s="96" t="s">
        <v>376</v>
      </c>
      <c r="C37" s="95" t="s">
        <v>375</v>
      </c>
      <c r="D37" s="94">
        <v>497.76499999999999</v>
      </c>
      <c r="E37" s="94">
        <v>800</v>
      </c>
      <c r="F37" s="94">
        <v>1151.328</v>
      </c>
      <c r="G37" s="184">
        <v>0.5</v>
      </c>
      <c r="H37" s="184">
        <f t="shared" si="1"/>
        <v>575.66399999999999</v>
      </c>
      <c r="I37" s="84">
        <f t="shared" si="9"/>
        <v>224.33600000000001</v>
      </c>
      <c r="J37" s="92" t="s">
        <v>374</v>
      </c>
      <c r="K37" s="92">
        <v>503.42500000000001</v>
      </c>
      <c r="L37" s="92">
        <v>800</v>
      </c>
      <c r="M37" s="91">
        <f t="shared" si="8"/>
        <v>1151.328</v>
      </c>
      <c r="N37" s="81">
        <f t="shared" si="10"/>
        <v>224.33600000000001</v>
      </c>
      <c r="O37" s="68"/>
      <c r="P37" s="67"/>
      <c r="Q37" s="66"/>
      <c r="AA37" s="60" t="s">
        <v>87</v>
      </c>
      <c r="AB37" s="343">
        <f t="shared" si="13"/>
        <v>1</v>
      </c>
      <c r="AC37" s="343">
        <f t="shared" si="12"/>
        <v>7</v>
      </c>
      <c r="AD37" s="343">
        <f t="shared" si="12"/>
        <v>10</v>
      </c>
      <c r="AE37" s="343">
        <f t="shared" si="12"/>
        <v>6</v>
      </c>
      <c r="AF37" s="343">
        <f t="shared" si="12"/>
        <v>0</v>
      </c>
      <c r="AG37" s="60">
        <f t="shared" si="14"/>
        <v>24</v>
      </c>
    </row>
    <row r="38" spans="1:38" ht="13.5" thickBot="1">
      <c r="A38" s="387" t="s">
        <v>372</v>
      </c>
      <c r="B38" s="87" t="s">
        <v>373</v>
      </c>
      <c r="C38" s="86" t="s">
        <v>372</v>
      </c>
      <c r="D38" s="85">
        <v>285.27999999999997</v>
      </c>
      <c r="E38" s="85">
        <v>500</v>
      </c>
      <c r="F38" s="85">
        <v>779.52329999999995</v>
      </c>
      <c r="G38" s="184">
        <v>0.5</v>
      </c>
      <c r="H38" s="184">
        <f t="shared" si="1"/>
        <v>389.76164999999997</v>
      </c>
      <c r="I38" s="84">
        <f t="shared" si="9"/>
        <v>110.23835000000003</v>
      </c>
      <c r="J38" s="83" t="s">
        <v>371</v>
      </c>
      <c r="K38" s="83">
        <v>539.80499999999995</v>
      </c>
      <c r="L38" s="83">
        <v>300</v>
      </c>
      <c r="M38" s="82">
        <f t="shared" si="8"/>
        <v>779.52329999999995</v>
      </c>
      <c r="N38" s="81">
        <f t="shared" si="10"/>
        <v>-89.761649999999975</v>
      </c>
      <c r="O38" s="129">
        <f>L38/E38</f>
        <v>0.6</v>
      </c>
      <c r="P38" s="128" t="s">
        <v>370</v>
      </c>
      <c r="Q38" s="127">
        <v>72.45</v>
      </c>
      <c r="S38" s="494" t="s">
        <v>540</v>
      </c>
      <c r="T38" s="495"/>
      <c r="U38" s="495"/>
      <c r="V38" s="495"/>
      <c r="W38" s="495"/>
      <c r="X38" s="496"/>
      <c r="Y38" s="166"/>
      <c r="AA38" s="60" t="s">
        <v>88</v>
      </c>
      <c r="AB38" s="343">
        <f t="shared" si="13"/>
        <v>1</v>
      </c>
      <c r="AC38" s="343">
        <f t="shared" si="12"/>
        <v>0</v>
      </c>
      <c r="AD38" s="343">
        <f t="shared" si="12"/>
        <v>7</v>
      </c>
      <c r="AE38" s="343">
        <f t="shared" si="12"/>
        <v>1</v>
      </c>
      <c r="AF38" s="343">
        <f t="shared" si="12"/>
        <v>0</v>
      </c>
      <c r="AG38" s="60">
        <f t="shared" si="14"/>
        <v>9</v>
      </c>
    </row>
    <row r="39" spans="1:38" ht="13.5" thickBot="1">
      <c r="A39" s="497" t="s">
        <v>60</v>
      </c>
      <c r="B39" s="87" t="s">
        <v>368</v>
      </c>
      <c r="C39" s="86" t="s">
        <v>367</v>
      </c>
      <c r="D39" s="85">
        <v>239.47</v>
      </c>
      <c r="E39" s="84">
        <v>750</v>
      </c>
      <c r="F39" s="85">
        <v>886.15449999999998</v>
      </c>
      <c r="G39" s="184">
        <v>0.5</v>
      </c>
      <c r="H39" s="184">
        <f t="shared" si="1"/>
        <v>443.07724999999999</v>
      </c>
      <c r="I39" s="84">
        <f t="shared" si="9"/>
        <v>306.92275000000001</v>
      </c>
      <c r="J39" s="83" t="s">
        <v>366</v>
      </c>
      <c r="K39" s="83">
        <v>585.61500000000001</v>
      </c>
      <c r="L39" s="83">
        <v>450</v>
      </c>
      <c r="M39" s="82">
        <f t="shared" si="8"/>
        <v>886.15449999999998</v>
      </c>
      <c r="N39" s="81">
        <f t="shared" si="10"/>
        <v>6.9227500000000077</v>
      </c>
      <c r="O39" s="122"/>
      <c r="P39" s="121"/>
      <c r="Q39" s="120"/>
      <c r="S39" s="336" t="s">
        <v>470</v>
      </c>
      <c r="T39" s="337" t="s">
        <v>471</v>
      </c>
      <c r="U39" s="337" t="s">
        <v>472</v>
      </c>
      <c r="V39" s="337" t="s">
        <v>473</v>
      </c>
      <c r="W39" s="338" t="s">
        <v>474</v>
      </c>
      <c r="X39" s="339" t="s">
        <v>527</v>
      </c>
      <c r="Y39" s="340" t="s">
        <v>418</v>
      </c>
      <c r="AA39" s="60" t="s">
        <v>89</v>
      </c>
      <c r="AB39" s="343">
        <f t="shared" si="13"/>
        <v>0</v>
      </c>
      <c r="AC39" s="343">
        <f t="shared" si="12"/>
        <v>5</v>
      </c>
      <c r="AD39" s="343">
        <f t="shared" si="12"/>
        <v>1</v>
      </c>
      <c r="AE39" s="343">
        <f t="shared" si="12"/>
        <v>1</v>
      </c>
      <c r="AF39" s="343">
        <f t="shared" si="12"/>
        <v>0</v>
      </c>
      <c r="AG39" s="60">
        <f t="shared" si="14"/>
        <v>7</v>
      </c>
    </row>
    <row r="40" spans="1:38" ht="14.25" customHeight="1" thickBot="1">
      <c r="A40" s="498"/>
      <c r="B40" s="75" t="s">
        <v>364</v>
      </c>
      <c r="C40" s="74" t="s">
        <v>61</v>
      </c>
      <c r="D40" s="73">
        <v>381.34</v>
      </c>
      <c r="E40" s="73">
        <v>200</v>
      </c>
      <c r="F40" s="73">
        <v>233.80699999999999</v>
      </c>
      <c r="G40" s="184">
        <v>0.5</v>
      </c>
      <c r="H40" s="184">
        <f t="shared" si="1"/>
        <v>116.90349999999999</v>
      </c>
      <c r="I40" s="84">
        <f t="shared" si="9"/>
        <v>83.096500000000006</v>
      </c>
      <c r="J40" s="72" t="s">
        <v>328</v>
      </c>
      <c r="K40" s="72">
        <v>673.16499999999996</v>
      </c>
      <c r="L40" s="72">
        <v>150</v>
      </c>
      <c r="M40" s="119">
        <f t="shared" si="8"/>
        <v>233.80699999999999</v>
      </c>
      <c r="N40" s="81">
        <f t="shared" si="10"/>
        <v>33.096500000000006</v>
      </c>
      <c r="O40" s="117"/>
      <c r="P40" s="116"/>
      <c r="Q40" s="115"/>
      <c r="S40" s="60" t="s">
        <v>84</v>
      </c>
      <c r="T40" s="343">
        <v>0</v>
      </c>
      <c r="U40" s="343">
        <f>3</f>
        <v>3</v>
      </c>
      <c r="V40" s="419">
        <f>1+1</f>
        <v>2</v>
      </c>
      <c r="W40" s="419">
        <f>1</f>
        <v>1</v>
      </c>
      <c r="X40" s="343">
        <v>0</v>
      </c>
      <c r="Y40" s="344">
        <f>SUM(T40:X40)</f>
        <v>6</v>
      </c>
      <c r="AA40" s="60" t="s">
        <v>90</v>
      </c>
      <c r="AB40" s="343">
        <f t="shared" si="13"/>
        <v>0</v>
      </c>
      <c r="AC40" s="343">
        <f t="shared" si="12"/>
        <v>0</v>
      </c>
      <c r="AD40" s="343">
        <f t="shared" si="12"/>
        <v>1</v>
      </c>
      <c r="AE40" s="343">
        <f t="shared" si="12"/>
        <v>1</v>
      </c>
      <c r="AF40" s="343">
        <f t="shared" si="12"/>
        <v>1</v>
      </c>
      <c r="AG40" s="60">
        <f t="shared" si="14"/>
        <v>3</v>
      </c>
    </row>
    <row r="41" spans="1:38" ht="13.5" thickBot="1">
      <c r="A41" s="499" t="s">
        <v>363</v>
      </c>
      <c r="B41" s="63" t="s">
        <v>362</v>
      </c>
      <c r="C41" s="114" t="s">
        <v>74</v>
      </c>
      <c r="D41" s="94">
        <v>632.29499999999996</v>
      </c>
      <c r="E41" s="94">
        <v>300</v>
      </c>
      <c r="F41" s="94">
        <v>416.14780000000002</v>
      </c>
      <c r="G41" s="184">
        <v>0.5</v>
      </c>
      <c r="H41" s="184">
        <f t="shared" si="1"/>
        <v>208.07390000000001</v>
      </c>
      <c r="I41" s="84">
        <f t="shared" si="9"/>
        <v>91.926099999999991</v>
      </c>
      <c r="J41" s="92" t="s">
        <v>361</v>
      </c>
      <c r="K41" s="92">
        <v>692.19500000000005</v>
      </c>
      <c r="L41" s="92">
        <v>300</v>
      </c>
      <c r="M41" s="91">
        <f t="shared" si="8"/>
        <v>416.14780000000002</v>
      </c>
      <c r="N41" s="81">
        <f t="shared" si="10"/>
        <v>91.926099999999991</v>
      </c>
      <c r="O41" s="78"/>
      <c r="P41" s="113"/>
      <c r="Q41" s="103"/>
      <c r="S41" s="60" t="s">
        <v>85</v>
      </c>
      <c r="T41" s="343">
        <v>0</v>
      </c>
      <c r="U41" s="343">
        <f>2+1+1</f>
        <v>4</v>
      </c>
      <c r="V41" s="343">
        <f>2+1</f>
        <v>3</v>
      </c>
      <c r="W41" s="343">
        <v>0</v>
      </c>
      <c r="X41" s="343">
        <f>1+1</f>
        <v>2</v>
      </c>
      <c r="Y41" s="60">
        <f t="shared" ref="Y41:Y51" si="15">SUM(T41:X41)</f>
        <v>9</v>
      </c>
      <c r="AA41" s="60" t="s">
        <v>91</v>
      </c>
      <c r="AB41" s="343">
        <f t="shared" si="13"/>
        <v>0</v>
      </c>
      <c r="AC41" s="343">
        <f t="shared" si="12"/>
        <v>7</v>
      </c>
      <c r="AD41" s="343">
        <f t="shared" si="12"/>
        <v>2</v>
      </c>
      <c r="AE41" s="343">
        <f t="shared" si="12"/>
        <v>1</v>
      </c>
      <c r="AF41" s="343">
        <f t="shared" si="12"/>
        <v>0</v>
      </c>
      <c r="AG41" s="60">
        <f t="shared" si="14"/>
        <v>10</v>
      </c>
    </row>
    <row r="42" spans="1:38" ht="14.25" customHeight="1" thickBot="1">
      <c r="A42" s="499"/>
      <c r="B42" s="96" t="s">
        <v>360</v>
      </c>
      <c r="C42" s="95" t="s">
        <v>55</v>
      </c>
      <c r="D42" s="108">
        <v>566.26</v>
      </c>
      <c r="E42" s="108">
        <v>300</v>
      </c>
      <c r="F42" s="108">
        <v>424.66829999999999</v>
      </c>
      <c r="G42" s="184">
        <v>0.5</v>
      </c>
      <c r="H42" s="184">
        <f t="shared" si="1"/>
        <v>212.33414999999999</v>
      </c>
      <c r="I42" s="84">
        <f t="shared" si="9"/>
        <v>87.665850000000006</v>
      </c>
      <c r="J42" s="106" t="s">
        <v>359</v>
      </c>
      <c r="K42" s="106">
        <v>1033.6600000000001</v>
      </c>
      <c r="L42" s="106">
        <v>300</v>
      </c>
      <c r="M42" s="105">
        <f t="shared" si="8"/>
        <v>424.66829999999999</v>
      </c>
      <c r="N42" s="81">
        <f t="shared" si="10"/>
        <v>87.665850000000006</v>
      </c>
      <c r="O42" s="98"/>
      <c r="P42" s="113"/>
      <c r="Q42" s="103"/>
      <c r="S42" s="60" t="s">
        <v>86</v>
      </c>
      <c r="T42" s="341">
        <v>0</v>
      </c>
      <c r="U42" s="343">
        <v>0</v>
      </c>
      <c r="V42" s="341">
        <f>1+1</f>
        <v>2</v>
      </c>
      <c r="W42" s="343">
        <v>0</v>
      </c>
      <c r="X42" s="343">
        <f>1</f>
        <v>1</v>
      </c>
      <c r="Y42" s="60">
        <f t="shared" si="15"/>
        <v>3</v>
      </c>
      <c r="AA42" s="60" t="s">
        <v>92</v>
      </c>
      <c r="AB42" s="343">
        <f t="shared" si="13"/>
        <v>0</v>
      </c>
      <c r="AC42" s="343">
        <f t="shared" si="12"/>
        <v>2</v>
      </c>
      <c r="AD42" s="343">
        <f t="shared" si="12"/>
        <v>5</v>
      </c>
      <c r="AE42" s="343">
        <f t="shared" si="12"/>
        <v>0</v>
      </c>
      <c r="AF42" s="343">
        <f t="shared" si="12"/>
        <v>0</v>
      </c>
      <c r="AG42" s="60">
        <f t="shared" si="14"/>
        <v>7</v>
      </c>
    </row>
    <row r="43" spans="1:38" ht="14.25" customHeight="1" thickBot="1">
      <c r="A43" s="499"/>
      <c r="B43" s="96" t="s">
        <v>358</v>
      </c>
      <c r="C43" s="95" t="s">
        <v>62</v>
      </c>
      <c r="D43" s="94">
        <v>174.54</v>
      </c>
      <c r="E43" s="94">
        <v>250</v>
      </c>
      <c r="F43" s="94">
        <v>80.336669999999998</v>
      </c>
      <c r="G43" s="184">
        <v>0.5</v>
      </c>
      <c r="H43" s="184">
        <f t="shared" si="1"/>
        <v>40.168334999999999</v>
      </c>
      <c r="I43" s="84">
        <f t="shared" si="9"/>
        <v>209.83166499999999</v>
      </c>
      <c r="J43" s="92" t="s">
        <v>357</v>
      </c>
      <c r="K43" s="92">
        <v>811.21</v>
      </c>
      <c r="L43" s="92">
        <v>150</v>
      </c>
      <c r="M43" s="105">
        <f t="shared" si="8"/>
        <v>80.336669999999998</v>
      </c>
      <c r="N43" s="81">
        <f t="shared" si="10"/>
        <v>109.831665</v>
      </c>
      <c r="O43" s="68"/>
      <c r="P43" s="12"/>
      <c r="Q43" s="88"/>
      <c r="S43" s="60" t="s">
        <v>87</v>
      </c>
      <c r="T43" s="341">
        <v>0</v>
      </c>
      <c r="U43" s="420">
        <f>3+2+2</f>
        <v>7</v>
      </c>
      <c r="V43" s="343">
        <f>2+1+2+4+1</f>
        <v>10</v>
      </c>
      <c r="W43" s="343">
        <f>1+2+3</f>
        <v>6</v>
      </c>
      <c r="X43" s="343">
        <v>0</v>
      </c>
      <c r="Y43" s="60">
        <f t="shared" si="15"/>
        <v>23</v>
      </c>
      <c r="AA43" s="60" t="s">
        <v>93</v>
      </c>
      <c r="AB43" s="343">
        <f t="shared" si="13"/>
        <v>1</v>
      </c>
      <c r="AC43" s="343">
        <f t="shared" si="12"/>
        <v>0</v>
      </c>
      <c r="AD43" s="343">
        <f t="shared" si="12"/>
        <v>2</v>
      </c>
      <c r="AE43" s="343">
        <f t="shared" si="12"/>
        <v>2</v>
      </c>
      <c r="AF43" s="343">
        <f t="shared" si="12"/>
        <v>0</v>
      </c>
      <c r="AG43" s="60">
        <f t="shared" si="14"/>
        <v>5</v>
      </c>
    </row>
    <row r="44" spans="1:38" ht="13.5" thickBot="1">
      <c r="A44" s="387" t="s">
        <v>355</v>
      </c>
      <c r="B44" s="87" t="s">
        <v>356</v>
      </c>
      <c r="C44" s="86" t="s">
        <v>355</v>
      </c>
      <c r="D44" s="85">
        <v>517.28</v>
      </c>
      <c r="E44" s="85">
        <v>200</v>
      </c>
      <c r="F44" s="85">
        <v>67.241829999999993</v>
      </c>
      <c r="G44" s="184">
        <v>0.5</v>
      </c>
      <c r="H44" s="184">
        <f t="shared" si="1"/>
        <v>33.620914999999997</v>
      </c>
      <c r="I44" s="84">
        <f t="shared" si="9"/>
        <v>166.379085</v>
      </c>
      <c r="J44" s="83" t="s">
        <v>354</v>
      </c>
      <c r="K44" s="83">
        <v>607.995</v>
      </c>
      <c r="L44" s="83">
        <v>150</v>
      </c>
      <c r="M44" s="82">
        <f t="shared" si="8"/>
        <v>67.241829999999993</v>
      </c>
      <c r="N44" s="81">
        <f t="shared" si="10"/>
        <v>116.379085</v>
      </c>
      <c r="O44" s="111"/>
      <c r="P44" s="110"/>
      <c r="Q44" s="385"/>
      <c r="S44" s="60" t="s">
        <v>88</v>
      </c>
      <c r="T44" s="341">
        <v>0</v>
      </c>
      <c r="U44" s="343">
        <v>0</v>
      </c>
      <c r="V44" s="343">
        <f>1+1+1+2+1+1</f>
        <v>7</v>
      </c>
      <c r="W44" s="343">
        <f>1</f>
        <v>1</v>
      </c>
      <c r="X44" s="343">
        <v>0</v>
      </c>
      <c r="Y44" s="60">
        <f t="shared" si="15"/>
        <v>8</v>
      </c>
      <c r="AA44" s="60" t="s">
        <v>94</v>
      </c>
      <c r="AB44" s="343">
        <f t="shared" si="13"/>
        <v>0</v>
      </c>
      <c r="AC44" s="343">
        <f t="shared" si="12"/>
        <v>1</v>
      </c>
      <c r="AD44" s="343">
        <f t="shared" si="12"/>
        <v>2</v>
      </c>
      <c r="AE44" s="343">
        <f t="shared" si="12"/>
        <v>3</v>
      </c>
      <c r="AF44" s="343">
        <f t="shared" si="12"/>
        <v>0</v>
      </c>
      <c r="AG44" s="60">
        <f t="shared" si="14"/>
        <v>6</v>
      </c>
    </row>
    <row r="45" spans="1:38" ht="13.5" thickBot="1">
      <c r="A45" s="497" t="s">
        <v>349</v>
      </c>
      <c r="B45" s="87" t="s">
        <v>353</v>
      </c>
      <c r="C45" s="86" t="s">
        <v>342</v>
      </c>
      <c r="D45" s="85">
        <v>592.98500000000001</v>
      </c>
      <c r="E45" s="85">
        <v>150</v>
      </c>
      <c r="F45" s="85">
        <v>175.91919999999999</v>
      </c>
      <c r="G45" s="184">
        <v>0.5</v>
      </c>
      <c r="H45" s="184">
        <f t="shared" si="1"/>
        <v>87.959599999999995</v>
      </c>
      <c r="I45" s="84">
        <f t="shared" si="9"/>
        <v>62.040400000000005</v>
      </c>
      <c r="J45" s="83" t="s">
        <v>352</v>
      </c>
      <c r="K45" s="83">
        <v>1051.23</v>
      </c>
      <c r="L45" s="83">
        <v>150</v>
      </c>
      <c r="M45" s="82">
        <f t="shared" si="8"/>
        <v>175.91919999999999</v>
      </c>
      <c r="N45" s="81">
        <f t="shared" si="10"/>
        <v>62.040400000000005</v>
      </c>
      <c r="O45" s="78"/>
      <c r="P45" s="77"/>
      <c r="Q45" s="76"/>
      <c r="S45" s="60" t="s">
        <v>89</v>
      </c>
      <c r="T45" s="343">
        <v>0</v>
      </c>
      <c r="U45" s="343">
        <f>2+2+1</f>
        <v>5</v>
      </c>
      <c r="V45" s="343">
        <f>1</f>
        <v>1</v>
      </c>
      <c r="W45" s="343">
        <f>1</f>
        <v>1</v>
      </c>
      <c r="X45" s="343">
        <v>0</v>
      </c>
      <c r="Y45" s="60">
        <f t="shared" si="15"/>
        <v>7</v>
      </c>
      <c r="AA45" s="326" t="s">
        <v>469</v>
      </c>
      <c r="AB45" s="343">
        <f t="shared" si="13"/>
        <v>0</v>
      </c>
      <c r="AC45" s="343">
        <f t="shared" si="12"/>
        <v>1</v>
      </c>
      <c r="AD45" s="343">
        <f t="shared" si="12"/>
        <v>1</v>
      </c>
      <c r="AE45" s="343">
        <f t="shared" si="12"/>
        <v>0</v>
      </c>
      <c r="AF45" s="343">
        <f t="shared" si="12"/>
        <v>0</v>
      </c>
      <c r="AG45" s="326">
        <f t="shared" si="14"/>
        <v>2</v>
      </c>
      <c r="AH45" s="389"/>
      <c r="AI45" s="389"/>
      <c r="AJ45" s="389"/>
      <c r="AK45" s="389"/>
    </row>
    <row r="46" spans="1:38" ht="14.25" customHeight="1" thickBot="1">
      <c r="A46" s="499"/>
      <c r="B46" s="96" t="s">
        <v>350</v>
      </c>
      <c r="C46" s="95" t="s">
        <v>349</v>
      </c>
      <c r="D46" s="108">
        <v>374.84</v>
      </c>
      <c r="E46" s="108">
        <v>200</v>
      </c>
      <c r="F46" s="108">
        <v>115.1143</v>
      </c>
      <c r="G46" s="184">
        <v>0.5</v>
      </c>
      <c r="H46" s="184">
        <f t="shared" si="1"/>
        <v>57.55715</v>
      </c>
      <c r="I46" s="84">
        <f t="shared" si="9"/>
        <v>142.44284999999999</v>
      </c>
      <c r="J46" s="106" t="s">
        <v>348</v>
      </c>
      <c r="K46" s="106">
        <v>838.745</v>
      </c>
      <c r="L46" s="106">
        <v>150</v>
      </c>
      <c r="M46" s="105">
        <f t="shared" si="8"/>
        <v>115.1143</v>
      </c>
      <c r="N46" s="81">
        <f t="shared" si="10"/>
        <v>92.442849999999993</v>
      </c>
      <c r="O46" s="98"/>
      <c r="P46" s="102"/>
      <c r="Q46" s="101"/>
      <c r="S46" s="60" t="s">
        <v>90</v>
      </c>
      <c r="T46" s="341">
        <v>0</v>
      </c>
      <c r="U46" s="341">
        <v>0</v>
      </c>
      <c r="V46" s="341">
        <f>1</f>
        <v>1</v>
      </c>
      <c r="W46" s="343">
        <f>1</f>
        <v>1</v>
      </c>
      <c r="X46" s="343">
        <f>1</f>
        <v>1</v>
      </c>
      <c r="Y46" s="60">
        <f t="shared" si="15"/>
        <v>3</v>
      </c>
      <c r="Z46" s="360"/>
      <c r="AA46" s="340" t="s">
        <v>479</v>
      </c>
      <c r="AB46" s="349">
        <f>SUM(AB34:AB45)</f>
        <v>4</v>
      </c>
      <c r="AC46" s="349">
        <f>SUM(AC34:AC45)</f>
        <v>30</v>
      </c>
      <c r="AD46" s="349">
        <f>SUM(AD34:AD45)</f>
        <v>38</v>
      </c>
      <c r="AE46" s="349">
        <f>SUM(AE34:AE45)</f>
        <v>16</v>
      </c>
      <c r="AF46" s="349">
        <f>SUM(AF34:AF45)</f>
        <v>4</v>
      </c>
      <c r="AG46" s="350">
        <f t="shared" ref="AG46" si="16">SUM(AG34:AG45)</f>
        <v>92</v>
      </c>
      <c r="AH46" s="389"/>
      <c r="AI46" s="384"/>
      <c r="AJ46" s="384"/>
      <c r="AK46" s="389"/>
    </row>
    <row r="47" spans="1:38" ht="14.25" customHeight="1" thickBot="1">
      <c r="A47" s="499"/>
      <c r="B47" s="96" t="s">
        <v>347</v>
      </c>
      <c r="C47" s="95" t="s">
        <v>335</v>
      </c>
      <c r="D47" s="108">
        <v>675.17499999999995</v>
      </c>
      <c r="E47" s="108">
        <v>150</v>
      </c>
      <c r="F47" s="108">
        <v>87.5685</v>
      </c>
      <c r="G47" s="184">
        <v>0.5</v>
      </c>
      <c r="H47" s="184">
        <f t="shared" si="1"/>
        <v>43.78425</v>
      </c>
      <c r="I47" s="84">
        <f t="shared" si="9"/>
        <v>106.21575</v>
      </c>
      <c r="J47" s="106" t="s">
        <v>346</v>
      </c>
      <c r="K47" s="106">
        <v>792.93499999999995</v>
      </c>
      <c r="L47" s="106">
        <v>150</v>
      </c>
      <c r="M47" s="105">
        <f t="shared" si="8"/>
        <v>87.5685</v>
      </c>
      <c r="N47" s="81">
        <f t="shared" si="10"/>
        <v>106.21575</v>
      </c>
      <c r="O47" s="98"/>
      <c r="P47" s="102"/>
      <c r="Q47" s="101"/>
      <c r="S47" s="60" t="s">
        <v>91</v>
      </c>
      <c r="T47" s="341">
        <v>0</v>
      </c>
      <c r="U47" s="341">
        <f>1+2+1+1+1+1</f>
        <v>7</v>
      </c>
      <c r="V47" s="343">
        <f>1+1</f>
        <v>2</v>
      </c>
      <c r="W47" s="343">
        <f>1</f>
        <v>1</v>
      </c>
      <c r="X47" s="343">
        <v>0</v>
      </c>
      <c r="Y47" s="60">
        <f t="shared" si="15"/>
        <v>10</v>
      </c>
      <c r="Z47" s="410"/>
      <c r="AA47" s="340" t="s">
        <v>478</v>
      </c>
      <c r="AB47" s="351">
        <f>PRODUCT(AB46*AC25)</f>
        <v>60</v>
      </c>
      <c r="AC47" s="416">
        <f>PRODUCT(AC46*AC26)</f>
        <v>491.06700000000001</v>
      </c>
      <c r="AD47" s="416">
        <f>PRODUCT(AD46*AC27)</f>
        <v>636.37459999999999</v>
      </c>
      <c r="AE47" s="416">
        <f>PRODUCT(AE46*AC28)</f>
        <v>270.18560000000002</v>
      </c>
      <c r="AF47" s="416">
        <f>PRODUCT(AF46*AC29)</f>
        <v>68</v>
      </c>
      <c r="AG47" s="421">
        <f>SUM(AB47:AF47)</f>
        <v>1525.6272000000001</v>
      </c>
      <c r="AH47" s="389"/>
      <c r="AI47" s="389"/>
      <c r="AJ47" s="389"/>
      <c r="AK47" s="389"/>
    </row>
    <row r="48" spans="1:38" ht="14.25" customHeight="1" thickBot="1">
      <c r="A48" s="499"/>
      <c r="B48" s="96" t="s">
        <v>339</v>
      </c>
      <c r="C48" s="95" t="s">
        <v>338</v>
      </c>
      <c r="D48" s="94">
        <v>768.38499999999999</v>
      </c>
      <c r="E48" s="94">
        <v>150</v>
      </c>
      <c r="F48" s="94">
        <v>46.164000000000001</v>
      </c>
      <c r="G48" s="184">
        <v>0.5</v>
      </c>
      <c r="H48" s="184">
        <f t="shared" si="1"/>
        <v>23.082000000000001</v>
      </c>
      <c r="I48" s="84">
        <f t="shared" si="9"/>
        <v>126.91800000000001</v>
      </c>
      <c r="J48" s="92" t="s">
        <v>345</v>
      </c>
      <c r="K48" s="92">
        <v>934.80499999999995</v>
      </c>
      <c r="L48" s="92">
        <v>150</v>
      </c>
      <c r="M48" s="91">
        <f t="shared" si="8"/>
        <v>46.164000000000001</v>
      </c>
      <c r="N48" s="81">
        <f t="shared" si="10"/>
        <v>126.91800000000001</v>
      </c>
      <c r="O48" s="68"/>
      <c r="P48" s="12"/>
      <c r="Q48" s="88"/>
      <c r="S48" s="60" t="s">
        <v>92</v>
      </c>
      <c r="T48" s="343">
        <v>0</v>
      </c>
      <c r="U48" s="341">
        <f>1+1</f>
        <v>2</v>
      </c>
      <c r="V48" s="343">
        <f>4+1</f>
        <v>5</v>
      </c>
      <c r="W48" s="343">
        <v>0</v>
      </c>
      <c r="X48" s="343">
        <v>0</v>
      </c>
      <c r="Y48" s="60">
        <f t="shared" si="15"/>
        <v>7</v>
      </c>
      <c r="Z48" s="422"/>
      <c r="AA48" s="340" t="s">
        <v>528</v>
      </c>
      <c r="AB48" s="351">
        <f>AB46*AB25</f>
        <v>400</v>
      </c>
      <c r="AC48" s="351">
        <f>AC46*AB26</f>
        <v>4500</v>
      </c>
      <c r="AD48" s="351">
        <f>AD46*AB27</f>
        <v>7600</v>
      </c>
      <c r="AE48" s="351">
        <f>AE46*AB28</f>
        <v>4000</v>
      </c>
      <c r="AF48" s="351">
        <f>AF46*AB29</f>
        <v>1200</v>
      </c>
      <c r="AG48" s="340">
        <f>SUM(AB48:AF48)</f>
        <v>17700</v>
      </c>
      <c r="AH48" s="390"/>
      <c r="AI48" s="334"/>
      <c r="AJ48" s="334"/>
      <c r="AK48" s="389"/>
      <c r="AL48" s="390"/>
    </row>
    <row r="49" spans="1:38" ht="13.5" thickBot="1">
      <c r="A49" s="497" t="s">
        <v>344</v>
      </c>
      <c r="B49" s="87" t="s">
        <v>343</v>
      </c>
      <c r="C49" s="86" t="s">
        <v>342</v>
      </c>
      <c r="D49" s="85">
        <v>592.98500000000001</v>
      </c>
      <c r="E49" s="85">
        <v>150</v>
      </c>
      <c r="F49" s="85">
        <v>175.91919999999999</v>
      </c>
      <c r="G49" s="184">
        <v>0.5</v>
      </c>
      <c r="H49" s="184">
        <f t="shared" si="1"/>
        <v>87.959599999999995</v>
      </c>
      <c r="I49" s="84">
        <f t="shared" si="9"/>
        <v>62.040400000000005</v>
      </c>
      <c r="J49" s="83" t="s">
        <v>341</v>
      </c>
      <c r="K49" s="83">
        <v>992.44500000000005</v>
      </c>
      <c r="L49" s="83">
        <v>150</v>
      </c>
      <c r="M49" s="82">
        <f t="shared" si="8"/>
        <v>175.91919999999999</v>
      </c>
      <c r="N49" s="81">
        <f t="shared" si="10"/>
        <v>62.040400000000005</v>
      </c>
      <c r="O49" s="78"/>
      <c r="P49" s="77"/>
      <c r="Q49" s="76"/>
      <c r="S49" s="60" t="s">
        <v>93</v>
      </c>
      <c r="T49" s="343">
        <v>0</v>
      </c>
      <c r="U49" s="341">
        <v>0</v>
      </c>
      <c r="V49" s="343">
        <f>1+1</f>
        <v>2</v>
      </c>
      <c r="W49" s="343">
        <f>2</f>
        <v>2</v>
      </c>
      <c r="X49" s="343">
        <v>0</v>
      </c>
      <c r="Y49" s="60">
        <f t="shared" si="15"/>
        <v>4</v>
      </c>
      <c r="Z49" s="360"/>
      <c r="AA49" s="360"/>
      <c r="AB49" s="406"/>
      <c r="AC49" s="406"/>
      <c r="AD49" s="384"/>
      <c r="AE49" s="390"/>
      <c r="AF49" s="390"/>
      <c r="AG49" s="390"/>
      <c r="AH49" s="390"/>
      <c r="AI49" s="389"/>
      <c r="AJ49" s="389"/>
      <c r="AK49" s="389"/>
      <c r="AL49" s="390"/>
    </row>
    <row r="50" spans="1:38" ht="14.25" customHeight="1" thickBot="1">
      <c r="A50" s="499"/>
      <c r="B50" s="96" t="s">
        <v>339</v>
      </c>
      <c r="C50" s="95" t="s">
        <v>338</v>
      </c>
      <c r="D50" s="94">
        <v>768.38499999999999</v>
      </c>
      <c r="E50" s="94">
        <v>150</v>
      </c>
      <c r="F50" s="94">
        <v>46.164000000000001</v>
      </c>
      <c r="G50" s="184">
        <v>0.5</v>
      </c>
      <c r="H50" s="184">
        <f t="shared" si="1"/>
        <v>23.082000000000001</v>
      </c>
      <c r="I50" s="84">
        <f t="shared" si="9"/>
        <v>126.91800000000001</v>
      </c>
      <c r="J50" s="92" t="s">
        <v>337</v>
      </c>
      <c r="K50" s="92">
        <v>817.04499999999996</v>
      </c>
      <c r="L50" s="92">
        <v>150</v>
      </c>
      <c r="M50" s="91">
        <f t="shared" si="8"/>
        <v>46.164000000000001</v>
      </c>
      <c r="N50" s="81">
        <f t="shared" si="10"/>
        <v>126.91800000000001</v>
      </c>
      <c r="O50" s="98"/>
      <c r="P50" s="102"/>
      <c r="Q50" s="101"/>
      <c r="S50" s="60" t="s">
        <v>94</v>
      </c>
      <c r="T50" s="343">
        <v>0</v>
      </c>
      <c r="U50" s="420">
        <f>1</f>
        <v>1</v>
      </c>
      <c r="V50" s="343">
        <f>1+1</f>
        <v>2</v>
      </c>
      <c r="W50" s="343">
        <f>3</f>
        <v>3</v>
      </c>
      <c r="X50" s="343">
        <v>0</v>
      </c>
      <c r="Y50" s="60">
        <f t="shared" si="15"/>
        <v>6</v>
      </c>
      <c r="Z50" s="341"/>
      <c r="AA50" s="341"/>
      <c r="AB50" s="341"/>
      <c r="AC50" s="343"/>
      <c r="AD50" s="389"/>
      <c r="AE50" s="390"/>
      <c r="AF50" s="390"/>
      <c r="AG50" s="390"/>
      <c r="AH50" s="390"/>
      <c r="AI50" s="389"/>
      <c r="AJ50" s="389"/>
      <c r="AK50" s="389"/>
      <c r="AL50" s="390"/>
    </row>
    <row r="51" spans="1:38" ht="13.5" thickBot="1">
      <c r="A51" s="497" t="s">
        <v>340</v>
      </c>
      <c r="B51" s="87" t="s">
        <v>339</v>
      </c>
      <c r="C51" s="86" t="s">
        <v>338</v>
      </c>
      <c r="D51" s="85">
        <v>768.38499999999999</v>
      </c>
      <c r="E51" s="85">
        <v>150</v>
      </c>
      <c r="F51" s="85">
        <v>46.164000000000001</v>
      </c>
      <c r="G51" s="184">
        <v>0.5</v>
      </c>
      <c r="H51" s="184">
        <f t="shared" si="1"/>
        <v>23.082000000000001</v>
      </c>
      <c r="I51" s="84">
        <f t="shared" si="9"/>
        <v>126.91800000000001</v>
      </c>
      <c r="J51" s="83" t="s">
        <v>337</v>
      </c>
      <c r="K51" s="83">
        <v>817.04499999999996</v>
      </c>
      <c r="L51" s="83">
        <v>150</v>
      </c>
      <c r="M51" s="82">
        <f t="shared" si="8"/>
        <v>46.164000000000001</v>
      </c>
      <c r="N51" s="81">
        <f t="shared" si="10"/>
        <v>126.91800000000001</v>
      </c>
      <c r="O51" s="98"/>
      <c r="P51" s="60"/>
      <c r="Q51" s="97"/>
      <c r="S51" s="326" t="s">
        <v>469</v>
      </c>
      <c r="T51" s="348">
        <v>0</v>
      </c>
      <c r="U51" s="348">
        <f>1</f>
        <v>1</v>
      </c>
      <c r="V51" s="348">
        <f>1</f>
        <v>1</v>
      </c>
      <c r="W51" s="348">
        <v>0</v>
      </c>
      <c r="X51" s="348">
        <v>0</v>
      </c>
      <c r="Y51" s="326">
        <f t="shared" si="15"/>
        <v>2</v>
      </c>
      <c r="Z51" s="341"/>
      <c r="AA51" s="341"/>
      <c r="AB51" s="341"/>
      <c r="AC51" s="343"/>
      <c r="AD51" s="389"/>
      <c r="AE51" s="390"/>
      <c r="AF51" s="390"/>
      <c r="AG51" s="390"/>
      <c r="AH51" s="390"/>
      <c r="AI51" s="389"/>
      <c r="AJ51" s="389"/>
      <c r="AK51" s="389"/>
      <c r="AL51" s="390"/>
    </row>
    <row r="52" spans="1:38" ht="14.25" customHeight="1" thickBot="1">
      <c r="A52" s="499"/>
      <c r="B52" s="96" t="s">
        <v>30</v>
      </c>
      <c r="C52" s="95" t="s">
        <v>326</v>
      </c>
      <c r="D52" s="94">
        <v>317.27</v>
      </c>
      <c r="E52" s="94">
        <v>200</v>
      </c>
      <c r="F52" s="94">
        <v>136.87530000000001</v>
      </c>
      <c r="G52" s="184">
        <v>0.5</v>
      </c>
      <c r="H52" s="184">
        <f t="shared" si="1"/>
        <v>68.437650000000005</v>
      </c>
      <c r="I52" s="84">
        <f t="shared" si="9"/>
        <v>131.56234999999998</v>
      </c>
      <c r="J52" s="92" t="s">
        <v>325</v>
      </c>
      <c r="K52" s="92">
        <v>518.48</v>
      </c>
      <c r="L52" s="92">
        <v>200</v>
      </c>
      <c r="M52" s="91">
        <f t="shared" si="8"/>
        <v>136.87530000000001</v>
      </c>
      <c r="N52" s="81">
        <f t="shared" si="10"/>
        <v>131.56234999999998</v>
      </c>
      <c r="O52" s="98"/>
      <c r="P52" s="60"/>
      <c r="Q52" s="88"/>
      <c r="S52" s="340" t="s">
        <v>479</v>
      </c>
      <c r="T52" s="349">
        <f>SUM(T40:T51)</f>
        <v>0</v>
      </c>
      <c r="U52" s="349">
        <f>SUM(U40:U51)</f>
        <v>30</v>
      </c>
      <c r="V52" s="349">
        <f>SUM(V40:V51)</f>
        <v>38</v>
      </c>
      <c r="W52" s="349">
        <f>SUM(W40:W51)</f>
        <v>16</v>
      </c>
      <c r="X52" s="349">
        <f>SUM(X40:X51)</f>
        <v>4</v>
      </c>
      <c r="Y52" s="350">
        <f t="shared" ref="Y52" si="17">SUM(Y40:Y51)</f>
        <v>88</v>
      </c>
      <c r="Z52" s="341"/>
      <c r="AA52" s="341"/>
      <c r="AB52" s="341"/>
      <c r="AC52" s="343"/>
      <c r="AD52" s="389"/>
      <c r="AE52" s="390"/>
      <c r="AF52" s="390"/>
      <c r="AG52" s="390"/>
      <c r="AH52" s="390"/>
      <c r="AI52" s="389"/>
      <c r="AJ52" s="389"/>
      <c r="AK52" s="389"/>
      <c r="AL52" s="390"/>
    </row>
    <row r="53" spans="1:38" ht="13.5" thickBot="1">
      <c r="A53" s="497" t="s">
        <v>336</v>
      </c>
      <c r="B53" s="87" t="s">
        <v>28</v>
      </c>
      <c r="C53" s="86" t="s">
        <v>335</v>
      </c>
      <c r="D53" s="85">
        <v>675.17499999999995</v>
      </c>
      <c r="E53" s="85">
        <v>150</v>
      </c>
      <c r="F53" s="85">
        <v>87.5685</v>
      </c>
      <c r="G53" s="184">
        <v>0.5</v>
      </c>
      <c r="H53" s="184">
        <f t="shared" si="1"/>
        <v>43.78425</v>
      </c>
      <c r="I53" s="84">
        <f t="shared" si="9"/>
        <v>106.21575</v>
      </c>
      <c r="J53" s="83" t="s">
        <v>334</v>
      </c>
      <c r="K53" s="83">
        <v>792.93499999999995</v>
      </c>
      <c r="L53" s="83">
        <v>150</v>
      </c>
      <c r="M53" s="82">
        <f t="shared" si="8"/>
        <v>87.5685</v>
      </c>
      <c r="N53" s="81">
        <f t="shared" si="10"/>
        <v>106.21575</v>
      </c>
      <c r="O53" s="98"/>
      <c r="P53" s="12"/>
      <c r="Q53" s="97"/>
      <c r="S53" s="340" t="s">
        <v>478</v>
      </c>
      <c r="T53" s="416">
        <f>PRODUCT(T52*AC25)</f>
        <v>0</v>
      </c>
      <c r="U53" s="416">
        <f>PRODUCT(U52*AC26)</f>
        <v>491.06700000000001</v>
      </c>
      <c r="V53" s="416">
        <f>PRODUCT(V52*AC27)</f>
        <v>636.37459999999999</v>
      </c>
      <c r="W53" s="416">
        <f>PRODUCT(W52*AC28)</f>
        <v>270.18560000000002</v>
      </c>
      <c r="X53" s="416">
        <f>PRODUCT(X52*AC29)</f>
        <v>68</v>
      </c>
      <c r="Y53" s="421">
        <f>SUM(T53:X53)</f>
        <v>1465.6272000000001</v>
      </c>
      <c r="Z53" s="341"/>
      <c r="AA53" s="341"/>
      <c r="AB53" s="341"/>
      <c r="AC53" s="343"/>
      <c r="AD53" s="389"/>
      <c r="AE53" s="390"/>
      <c r="AF53" s="390"/>
      <c r="AG53" s="390"/>
      <c r="AH53" s="390"/>
      <c r="AI53" s="389"/>
      <c r="AJ53" s="389"/>
      <c r="AK53" s="389"/>
      <c r="AL53" s="390"/>
    </row>
    <row r="54" spans="1:38" ht="13.5" thickBot="1">
      <c r="A54" s="499"/>
      <c r="B54" s="96" t="s">
        <v>333</v>
      </c>
      <c r="C54" s="95" t="s">
        <v>332</v>
      </c>
      <c r="D54" s="94">
        <v>300.33499999999998</v>
      </c>
      <c r="E54" s="94">
        <v>200</v>
      </c>
      <c r="F54" s="94">
        <v>33.29833</v>
      </c>
      <c r="G54" s="184">
        <v>0.5</v>
      </c>
      <c r="H54" s="184">
        <f t="shared" si="1"/>
        <v>16.649165</v>
      </c>
      <c r="I54" s="84">
        <f t="shared" si="9"/>
        <v>183.35083499999999</v>
      </c>
      <c r="J54" s="92" t="s">
        <v>331</v>
      </c>
      <c r="K54" s="92">
        <v>524.75</v>
      </c>
      <c r="L54" s="92">
        <v>200</v>
      </c>
      <c r="M54" s="91">
        <f t="shared" si="8"/>
        <v>33.29833</v>
      </c>
      <c r="N54" s="81">
        <f t="shared" si="10"/>
        <v>183.35083499999999</v>
      </c>
      <c r="O54" s="68"/>
      <c r="P54" s="12"/>
      <c r="Q54" s="88"/>
      <c r="S54" s="340" t="s">
        <v>528</v>
      </c>
      <c r="T54" s="351">
        <f>T52*AB25</f>
        <v>0</v>
      </c>
      <c r="U54" s="351">
        <f>U52*AB26</f>
        <v>4500</v>
      </c>
      <c r="V54" s="351">
        <f>V52*AB27</f>
        <v>7600</v>
      </c>
      <c r="W54" s="351">
        <f>W52*AB28</f>
        <v>4000</v>
      </c>
      <c r="X54" s="351">
        <f>X52*AB29</f>
        <v>1200</v>
      </c>
      <c r="Y54" s="340">
        <f>SUM(T54:X54)</f>
        <v>17300</v>
      </c>
      <c r="Z54" s="341"/>
      <c r="AA54" s="341"/>
      <c r="AB54" s="341"/>
      <c r="AC54" s="343"/>
      <c r="AD54" s="389"/>
      <c r="AE54" s="389"/>
      <c r="AF54" s="390"/>
      <c r="AG54" s="390"/>
      <c r="AH54" s="390"/>
      <c r="AI54" s="389"/>
      <c r="AJ54" s="389"/>
      <c r="AK54" s="389"/>
      <c r="AL54" s="390"/>
    </row>
    <row r="55" spans="1:38" ht="13.5" thickBot="1">
      <c r="A55" s="497" t="s">
        <v>330</v>
      </c>
      <c r="B55" s="87" t="s">
        <v>329</v>
      </c>
      <c r="C55" s="86" t="s">
        <v>61</v>
      </c>
      <c r="D55" s="85">
        <v>381.34</v>
      </c>
      <c r="E55" s="85">
        <v>200</v>
      </c>
      <c r="F55" s="85">
        <v>233.80699999999999</v>
      </c>
      <c r="G55" s="184">
        <v>0.5</v>
      </c>
      <c r="H55" s="184">
        <f t="shared" si="1"/>
        <v>116.90349999999999</v>
      </c>
      <c r="I55" s="84">
        <f t="shared" si="9"/>
        <v>83.096500000000006</v>
      </c>
      <c r="J55" s="83" t="s">
        <v>328</v>
      </c>
      <c r="K55" s="83">
        <v>673.16499999999996</v>
      </c>
      <c r="L55" s="83">
        <v>200</v>
      </c>
      <c r="M55" s="82">
        <f t="shared" si="8"/>
        <v>233.80699999999999</v>
      </c>
      <c r="N55" s="81">
        <f t="shared" si="10"/>
        <v>83.096500000000006</v>
      </c>
      <c r="O55" s="78"/>
      <c r="P55" s="77"/>
      <c r="Q55" s="76"/>
      <c r="X55" s="410"/>
      <c r="Y55" s="341"/>
      <c r="Z55" s="341"/>
      <c r="AA55" s="341"/>
      <c r="AB55" s="341"/>
      <c r="AC55" s="343"/>
      <c r="AD55" s="389"/>
      <c r="AE55" s="384"/>
      <c r="AF55" s="390"/>
      <c r="AG55" s="390"/>
      <c r="AH55" s="390"/>
      <c r="AI55" s="389"/>
      <c r="AJ55" s="389"/>
      <c r="AK55" s="389"/>
      <c r="AL55" s="390"/>
    </row>
    <row r="56" spans="1:38" ht="14.25" customHeight="1" thickBot="1">
      <c r="A56" s="498"/>
      <c r="B56" s="75" t="s">
        <v>30</v>
      </c>
      <c r="C56" s="74" t="s">
        <v>326</v>
      </c>
      <c r="D56" s="73">
        <v>317.27</v>
      </c>
      <c r="E56" s="73">
        <v>200</v>
      </c>
      <c r="F56" s="73">
        <v>136.87530000000001</v>
      </c>
      <c r="G56" s="184">
        <v>0.5</v>
      </c>
      <c r="H56" s="184">
        <f t="shared" si="1"/>
        <v>68.437650000000005</v>
      </c>
      <c r="I56" s="84">
        <f t="shared" si="9"/>
        <v>131.56234999999998</v>
      </c>
      <c r="J56" s="72" t="s">
        <v>325</v>
      </c>
      <c r="K56" s="72">
        <v>518.48</v>
      </c>
      <c r="L56" s="72">
        <v>200</v>
      </c>
      <c r="M56" s="71">
        <f t="shared" si="8"/>
        <v>136.87530000000001</v>
      </c>
      <c r="N56" s="81">
        <f t="shared" si="10"/>
        <v>131.56234999999998</v>
      </c>
      <c r="O56" s="68"/>
      <c r="P56" s="67"/>
      <c r="Q56" s="66"/>
      <c r="X56" s="410"/>
      <c r="Y56" s="341"/>
      <c r="Z56" s="341"/>
      <c r="AA56" s="341"/>
      <c r="AB56" s="341"/>
      <c r="AC56" s="343"/>
      <c r="AD56" s="389"/>
      <c r="AE56" s="384"/>
      <c r="AF56" s="390"/>
      <c r="AG56" s="390"/>
      <c r="AH56" s="390"/>
      <c r="AI56" s="389"/>
      <c r="AJ56" s="389"/>
      <c r="AK56" s="389"/>
      <c r="AL56" s="390"/>
    </row>
    <row r="57" spans="1:38">
      <c r="A57" s="390"/>
      <c r="B57" s="64"/>
      <c r="C57" s="390"/>
      <c r="D57" s="390"/>
      <c r="E57" s="390"/>
      <c r="F57" s="64"/>
      <c r="G57" s="64"/>
      <c r="H57" s="64"/>
      <c r="I57" s="390"/>
      <c r="J57" s="390"/>
      <c r="K57" s="390"/>
      <c r="L57" s="390"/>
      <c r="M57" s="390"/>
      <c r="N57" s="390"/>
      <c r="O57" s="12"/>
      <c r="Q57" s="390"/>
      <c r="X57" s="410"/>
      <c r="Y57" s="341"/>
      <c r="Z57" s="341"/>
      <c r="AA57" s="343"/>
      <c r="AB57" s="343"/>
      <c r="AC57" s="343"/>
      <c r="AD57" s="389"/>
      <c r="AE57" s="389"/>
      <c r="AF57" s="390"/>
      <c r="AG57" s="390"/>
      <c r="AH57" s="390"/>
      <c r="AI57" s="389"/>
      <c r="AJ57" s="389"/>
      <c r="AK57" s="389"/>
      <c r="AL57" s="390"/>
    </row>
    <row r="58" spans="1:38">
      <c r="A58" s="390"/>
      <c r="B58" s="64"/>
      <c r="C58" s="390"/>
      <c r="D58" s="390"/>
      <c r="E58" s="390"/>
      <c r="F58" s="64"/>
      <c r="G58" s="64"/>
      <c r="H58" s="64"/>
      <c r="I58" s="390"/>
      <c r="J58" s="390"/>
      <c r="K58" s="390"/>
      <c r="L58" s="390"/>
      <c r="M58" s="390"/>
      <c r="N58" s="390"/>
      <c r="O58" s="12"/>
      <c r="Q58" s="390"/>
      <c r="X58" s="410"/>
      <c r="Y58" s="343"/>
      <c r="Z58" s="343"/>
      <c r="AA58" s="343"/>
      <c r="AB58" s="343"/>
      <c r="AC58" s="343"/>
      <c r="AD58" s="389"/>
      <c r="AE58" s="389"/>
      <c r="AF58" s="389"/>
      <c r="AG58" s="389"/>
      <c r="AH58" s="390"/>
      <c r="AI58" s="389"/>
      <c r="AJ58" s="389"/>
      <c r="AK58" s="389"/>
      <c r="AL58" s="390"/>
    </row>
    <row r="59" spans="1:38">
      <c r="A59" s="390"/>
      <c r="B59" s="64"/>
      <c r="C59" s="390"/>
      <c r="D59" s="390"/>
      <c r="E59" s="390"/>
      <c r="F59" s="64"/>
      <c r="G59" s="64"/>
      <c r="H59" s="64"/>
      <c r="I59" s="390"/>
      <c r="J59" s="390"/>
      <c r="K59" s="390"/>
      <c r="L59" s="390"/>
      <c r="M59" s="390"/>
      <c r="N59" s="390"/>
      <c r="O59" s="12"/>
      <c r="Q59" s="390"/>
      <c r="S59" s="418"/>
      <c r="T59" s="418"/>
      <c r="U59" s="418"/>
      <c r="X59" s="410"/>
      <c r="Y59" s="343"/>
      <c r="Z59" s="341"/>
      <c r="AA59" s="343"/>
      <c r="AB59" s="343"/>
      <c r="AC59" s="343"/>
      <c r="AD59" s="389"/>
      <c r="AE59" s="389"/>
      <c r="AF59" s="389"/>
      <c r="AG59" s="389"/>
      <c r="AH59" s="390"/>
      <c r="AI59" s="389"/>
      <c r="AJ59" s="389"/>
      <c r="AK59" s="389"/>
      <c r="AL59" s="390"/>
    </row>
    <row r="60" spans="1:38">
      <c r="A60" s="390"/>
      <c r="B60" s="64"/>
      <c r="C60" s="390"/>
      <c r="D60" s="390"/>
      <c r="E60" s="390"/>
      <c r="F60" s="64"/>
      <c r="G60" s="64"/>
      <c r="H60" s="64"/>
      <c r="I60" s="390"/>
      <c r="J60" s="390"/>
      <c r="K60" s="390"/>
      <c r="L60" s="390"/>
      <c r="M60" s="390"/>
      <c r="N60" s="390"/>
      <c r="O60" s="12"/>
      <c r="Q60" s="390"/>
      <c r="S60" s="411"/>
      <c r="T60" s="411"/>
      <c r="U60" s="411"/>
      <c r="X60" s="410"/>
      <c r="Y60" s="343"/>
      <c r="Z60" s="341"/>
      <c r="AA60" s="343"/>
      <c r="AB60" s="343"/>
      <c r="AC60" s="343"/>
      <c r="AD60" s="389"/>
      <c r="AE60" s="18"/>
      <c r="AF60" s="18"/>
      <c r="AG60" s="389"/>
      <c r="AH60" s="390"/>
      <c r="AI60" s="389"/>
      <c r="AJ60" s="389"/>
      <c r="AK60" s="389"/>
      <c r="AL60" s="390"/>
    </row>
    <row r="61" spans="1:38">
      <c r="A61" s="390"/>
      <c r="B61" s="64"/>
      <c r="C61" s="390"/>
      <c r="D61" s="390"/>
      <c r="E61" s="390"/>
      <c r="F61" s="64"/>
      <c r="G61" s="64"/>
      <c r="H61" s="64"/>
      <c r="I61" s="390"/>
      <c r="J61" s="390"/>
      <c r="K61" s="390"/>
      <c r="L61" s="390"/>
      <c r="M61" s="390"/>
      <c r="N61" s="390"/>
      <c r="O61" s="12"/>
      <c r="Q61" s="390"/>
      <c r="S61" s="411"/>
      <c r="T61" s="411"/>
      <c r="U61" s="411"/>
      <c r="X61" s="410"/>
      <c r="Y61" s="343"/>
      <c r="Z61" s="343"/>
      <c r="AA61" s="343"/>
      <c r="AB61" s="343"/>
      <c r="AC61" s="343"/>
      <c r="AD61" s="389"/>
      <c r="AE61" s="389"/>
      <c r="AF61" s="389"/>
      <c r="AG61" s="389"/>
      <c r="AH61" s="390"/>
      <c r="AI61" s="389"/>
      <c r="AJ61" s="389"/>
      <c r="AK61" s="389"/>
      <c r="AL61" s="390"/>
    </row>
    <row r="62" spans="1:38">
      <c r="A62" s="390"/>
      <c r="B62" s="65"/>
      <c r="C62" s="390"/>
      <c r="D62" s="390"/>
      <c r="E62" s="390"/>
      <c r="F62" s="64"/>
      <c r="G62" s="64"/>
      <c r="H62" s="64"/>
      <c r="I62" s="390"/>
      <c r="J62" s="390"/>
      <c r="K62" s="390"/>
      <c r="L62" s="390"/>
      <c r="M62" s="390"/>
      <c r="N62" s="390"/>
      <c r="O62" s="12"/>
      <c r="Q62" s="390"/>
      <c r="S62" s="411"/>
      <c r="T62" s="411"/>
      <c r="U62" s="411"/>
      <c r="X62" s="406"/>
      <c r="Y62" s="343"/>
      <c r="Z62" s="343"/>
      <c r="AA62" s="343"/>
      <c r="AB62" s="343"/>
      <c r="AC62" s="343"/>
      <c r="AD62" s="391"/>
      <c r="AE62" s="389"/>
      <c r="AF62" s="389"/>
      <c r="AG62" s="389"/>
      <c r="AH62" s="390"/>
      <c r="AI62" s="389"/>
      <c r="AJ62" s="389"/>
      <c r="AK62" s="389"/>
      <c r="AL62" s="390"/>
    </row>
    <row r="63" spans="1:38">
      <c r="A63" s="390"/>
      <c r="B63" s="65"/>
      <c r="C63" s="390"/>
      <c r="D63" s="390"/>
      <c r="E63" s="390"/>
      <c r="F63" s="64"/>
      <c r="G63" s="64"/>
      <c r="H63" s="64"/>
      <c r="I63" s="390"/>
      <c r="J63" s="390"/>
      <c r="K63" s="390"/>
      <c r="L63" s="390"/>
      <c r="M63" s="390"/>
      <c r="N63" s="390"/>
      <c r="O63" s="12"/>
      <c r="Q63" s="390"/>
      <c r="S63" s="411"/>
      <c r="T63" s="411"/>
      <c r="U63" s="411"/>
      <c r="X63" s="406"/>
      <c r="Y63" s="389"/>
      <c r="Z63" s="389"/>
      <c r="AA63" s="389"/>
      <c r="AB63" s="389"/>
      <c r="AC63" s="389"/>
      <c r="AD63" s="384"/>
      <c r="AE63" s="389"/>
      <c r="AF63" s="389"/>
      <c r="AG63" s="389"/>
      <c r="AH63" s="390"/>
      <c r="AI63" s="384"/>
      <c r="AJ63" s="384"/>
      <c r="AK63" s="389"/>
      <c r="AL63" s="390"/>
    </row>
    <row r="64" spans="1:38">
      <c r="A64" s="390"/>
      <c r="B64" s="65"/>
      <c r="C64" s="390"/>
      <c r="D64" s="390"/>
      <c r="E64" s="390"/>
      <c r="F64" s="64"/>
      <c r="G64" s="64"/>
      <c r="H64" s="64"/>
      <c r="I64" s="390"/>
      <c r="J64" s="390"/>
      <c r="K64" s="390"/>
      <c r="L64" s="390"/>
      <c r="M64" s="390"/>
      <c r="N64" s="390"/>
      <c r="O64" s="12"/>
      <c r="Q64" s="390"/>
      <c r="S64" s="411"/>
      <c r="T64" s="411"/>
      <c r="U64" s="411"/>
      <c r="X64" s="406"/>
      <c r="Y64" s="389"/>
      <c r="Z64" s="389"/>
      <c r="AA64" s="389"/>
      <c r="AB64" s="389"/>
      <c r="AC64" s="389"/>
      <c r="AD64" s="384"/>
      <c r="AE64" s="389"/>
      <c r="AF64" s="389"/>
      <c r="AG64" s="389"/>
      <c r="AH64" s="390"/>
      <c r="AI64" s="389"/>
      <c r="AJ64" s="389"/>
      <c r="AK64" s="389"/>
      <c r="AL64" s="390"/>
    </row>
    <row r="65" spans="1:38">
      <c r="A65" s="390"/>
      <c r="B65" s="64"/>
      <c r="C65" s="390"/>
      <c r="D65" s="390"/>
      <c r="L65" s="390"/>
      <c r="M65" s="390"/>
      <c r="O65" s="12"/>
      <c r="Q65" s="390"/>
      <c r="S65" s="411"/>
      <c r="T65" s="411"/>
      <c r="U65" s="411"/>
      <c r="X65" s="411"/>
      <c r="Y65" s="18"/>
      <c r="Z65" s="389"/>
      <c r="AA65" s="389"/>
      <c r="AB65" s="389"/>
      <c r="AC65" s="389"/>
      <c r="AD65" s="389"/>
      <c r="AE65" s="389"/>
      <c r="AF65" s="532"/>
      <c r="AG65" s="532"/>
      <c r="AH65" s="532"/>
      <c r="AI65" s="532"/>
      <c r="AJ65" s="532"/>
      <c r="AK65" s="532"/>
      <c r="AL65" s="390"/>
    </row>
    <row r="66" spans="1:38">
      <c r="A66" s="390"/>
      <c r="B66" s="64"/>
      <c r="C66" s="390"/>
      <c r="D66" s="390"/>
      <c r="L66" s="390"/>
      <c r="M66" s="390"/>
      <c r="O66" s="12"/>
      <c r="Q66" s="390"/>
      <c r="S66" s="411"/>
      <c r="T66" s="411"/>
      <c r="U66" s="411"/>
      <c r="X66" s="411"/>
      <c r="Y66" s="390"/>
      <c r="Z66" s="390"/>
      <c r="AA66" s="390"/>
      <c r="AB66" s="390"/>
      <c r="AC66" s="390"/>
      <c r="AD66" s="390"/>
      <c r="AE66" s="390"/>
      <c r="AF66" s="359"/>
      <c r="AG66" s="360"/>
      <c r="AH66" s="360"/>
      <c r="AI66" s="360"/>
      <c r="AJ66" s="384"/>
      <c r="AK66" s="384"/>
      <c r="AL66" s="384"/>
    </row>
    <row r="67" spans="1:38">
      <c r="A67" s="390"/>
      <c r="B67" s="64"/>
      <c r="C67" s="390"/>
      <c r="D67" s="390"/>
      <c r="L67" s="390"/>
      <c r="M67" s="390"/>
      <c r="O67" s="12"/>
      <c r="Q67" s="390"/>
      <c r="S67" s="411"/>
      <c r="T67" s="411"/>
      <c r="U67" s="411"/>
      <c r="X67" s="411"/>
      <c r="Y67" s="390"/>
      <c r="Z67" s="390"/>
      <c r="AA67" s="390"/>
      <c r="AB67" s="390"/>
      <c r="AC67" s="390"/>
      <c r="AD67" s="390"/>
      <c r="AE67" s="390"/>
      <c r="AF67" s="389"/>
      <c r="AG67" s="341"/>
      <c r="AH67" s="341"/>
      <c r="AI67" s="341"/>
      <c r="AJ67" s="341"/>
      <c r="AK67" s="343"/>
      <c r="AL67" s="389"/>
    </row>
    <row r="68" spans="1:38">
      <c r="A68" s="390"/>
      <c r="B68" s="64"/>
      <c r="C68" s="390"/>
      <c r="D68" s="390"/>
      <c r="E68" s="390"/>
      <c r="F68" s="64"/>
      <c r="G68" s="64"/>
      <c r="H68" s="64"/>
      <c r="I68" s="390"/>
      <c r="J68" s="390"/>
      <c r="K68" s="390"/>
      <c r="L68" s="390"/>
      <c r="M68" s="390"/>
      <c r="N68" s="390"/>
      <c r="O68" s="12"/>
      <c r="Q68" s="390"/>
      <c r="S68" s="411"/>
      <c r="T68" s="411"/>
      <c r="U68" s="411"/>
      <c r="X68" s="411"/>
      <c r="Y68" s="390"/>
      <c r="Z68" s="390"/>
      <c r="AA68" s="390"/>
      <c r="AB68" s="390"/>
      <c r="AC68" s="390"/>
      <c r="AD68" s="390"/>
      <c r="AE68" s="390"/>
      <c r="AF68" s="389"/>
      <c r="AG68" s="341"/>
      <c r="AH68" s="341"/>
      <c r="AI68" s="341"/>
      <c r="AJ68" s="341"/>
      <c r="AK68" s="343"/>
      <c r="AL68" s="389"/>
    </row>
    <row r="69" spans="1:38">
      <c r="B69" s="64"/>
      <c r="C69" s="390"/>
      <c r="D69" s="390"/>
      <c r="E69" s="390"/>
      <c r="F69" s="64"/>
      <c r="G69" s="64"/>
      <c r="H69" s="64"/>
      <c r="I69" s="390"/>
      <c r="J69" s="390"/>
      <c r="K69" s="390"/>
      <c r="L69" s="390"/>
      <c r="M69" s="390"/>
      <c r="N69" s="390"/>
      <c r="O69" s="12"/>
      <c r="Q69" s="390"/>
      <c r="S69" s="411"/>
      <c r="T69" s="411"/>
      <c r="U69" s="411"/>
      <c r="X69" s="411"/>
      <c r="Y69" s="390"/>
      <c r="Z69" s="390"/>
      <c r="AA69" s="390"/>
      <c r="AB69" s="390"/>
      <c r="AC69" s="390"/>
      <c r="AD69" s="390"/>
      <c r="AE69" s="390"/>
      <c r="AF69" s="389"/>
      <c r="AG69" s="341"/>
      <c r="AH69" s="341"/>
      <c r="AI69" s="341"/>
      <c r="AJ69" s="341"/>
      <c r="AK69" s="343"/>
      <c r="AL69" s="389"/>
    </row>
    <row r="70" spans="1:38">
      <c r="B70" s="64"/>
      <c r="C70" s="390"/>
      <c r="D70" s="390"/>
      <c r="E70" s="390"/>
      <c r="F70" s="64"/>
      <c r="G70" s="64"/>
      <c r="H70" s="64"/>
      <c r="I70" s="390"/>
      <c r="J70" s="390"/>
      <c r="K70" s="390"/>
      <c r="L70" s="390"/>
      <c r="M70" s="390"/>
      <c r="N70" s="390"/>
      <c r="O70" s="12"/>
      <c r="Q70" s="390"/>
      <c r="S70" s="411"/>
      <c r="T70" s="411"/>
      <c r="U70" s="411"/>
      <c r="X70" s="411"/>
      <c r="Y70" s="390"/>
      <c r="Z70" s="390"/>
      <c r="AA70" s="390"/>
      <c r="AB70" s="390"/>
      <c r="AC70" s="390"/>
      <c r="AD70" s="390"/>
      <c r="AE70" s="390"/>
      <c r="AF70" s="389"/>
      <c r="AG70" s="341"/>
      <c r="AH70" s="341"/>
      <c r="AI70" s="341"/>
      <c r="AJ70" s="341"/>
      <c r="AK70" s="343"/>
      <c r="AL70" s="389"/>
    </row>
    <row r="71" spans="1:38">
      <c r="B71" s="64"/>
      <c r="C71" s="390"/>
      <c r="D71" s="390"/>
      <c r="E71" s="390"/>
      <c r="F71" s="64"/>
      <c r="G71" s="64"/>
      <c r="H71" s="64"/>
      <c r="I71" s="390"/>
      <c r="J71" s="390"/>
      <c r="K71" s="390"/>
      <c r="L71" s="390"/>
      <c r="M71" s="390"/>
      <c r="N71" s="390"/>
      <c r="O71" s="12"/>
      <c r="Q71" s="390"/>
      <c r="S71" s="411"/>
      <c r="T71" s="411"/>
      <c r="U71" s="411"/>
      <c r="X71" s="411"/>
      <c r="Y71" s="390"/>
      <c r="Z71" s="390"/>
      <c r="AA71" s="390"/>
      <c r="AB71" s="390"/>
      <c r="AC71" s="390"/>
      <c r="AD71" s="390"/>
      <c r="AE71" s="390"/>
      <c r="AF71" s="389"/>
      <c r="AG71" s="341"/>
      <c r="AH71" s="341"/>
      <c r="AI71" s="341"/>
      <c r="AJ71" s="341"/>
      <c r="AK71" s="343"/>
      <c r="AL71" s="389"/>
    </row>
    <row r="72" spans="1:38">
      <c r="B72" s="64"/>
      <c r="C72" s="390"/>
      <c r="D72" s="390"/>
      <c r="E72" s="390"/>
      <c r="F72" s="64"/>
      <c r="G72" s="64"/>
      <c r="H72" s="64"/>
      <c r="I72" s="390"/>
      <c r="J72" s="390"/>
      <c r="K72" s="390"/>
      <c r="L72" s="390"/>
      <c r="M72" s="390"/>
      <c r="N72" s="390"/>
      <c r="O72" s="12"/>
      <c r="Q72" s="390"/>
      <c r="S72" s="411"/>
      <c r="T72" s="411"/>
      <c r="U72" s="411"/>
      <c r="X72" s="411"/>
      <c r="Y72" s="390"/>
      <c r="Z72" s="390"/>
      <c r="AA72" s="390"/>
      <c r="AB72" s="390"/>
      <c r="AC72" s="390"/>
      <c r="AD72" s="390"/>
      <c r="AE72" s="390"/>
      <c r="AF72" s="389"/>
      <c r="AG72" s="341"/>
      <c r="AH72" s="341"/>
      <c r="AI72" s="341"/>
      <c r="AJ72" s="341"/>
      <c r="AK72" s="343"/>
      <c r="AL72" s="389"/>
    </row>
    <row r="73" spans="1:38">
      <c r="B73" s="64"/>
      <c r="C73" s="390"/>
      <c r="D73" s="390"/>
      <c r="E73" s="390"/>
      <c r="F73" s="64"/>
      <c r="G73" s="64"/>
      <c r="H73" s="64"/>
      <c r="I73" s="390"/>
      <c r="J73" s="390"/>
      <c r="K73" s="390"/>
      <c r="L73" s="390"/>
      <c r="M73" s="390"/>
      <c r="N73" s="390"/>
      <c r="O73" s="12"/>
      <c r="Q73" s="390"/>
      <c r="S73" s="407"/>
      <c r="T73" s="411"/>
      <c r="U73" s="411"/>
      <c r="X73" s="411"/>
      <c r="Y73" s="390"/>
      <c r="Z73" s="390"/>
      <c r="AA73" s="390"/>
      <c r="AB73" s="390"/>
      <c r="AC73" s="390"/>
      <c r="AD73" s="390"/>
      <c r="AE73" s="390"/>
      <c r="AF73" s="389"/>
      <c r="AG73" s="341"/>
      <c r="AH73" s="341"/>
      <c r="AI73" s="341"/>
      <c r="AJ73" s="341"/>
      <c r="AK73" s="343"/>
      <c r="AL73" s="389"/>
    </row>
    <row r="74" spans="1:38">
      <c r="B74" s="64"/>
      <c r="C74" s="390"/>
      <c r="D74" s="390"/>
      <c r="E74" s="390"/>
      <c r="F74" s="64"/>
      <c r="G74" s="64"/>
      <c r="H74" s="64"/>
      <c r="I74" s="390"/>
      <c r="J74" s="390"/>
      <c r="K74" s="390"/>
      <c r="L74" s="390"/>
      <c r="M74" s="390"/>
      <c r="N74" s="390"/>
      <c r="O74" s="12"/>
      <c r="Q74" s="390"/>
      <c r="S74" s="253"/>
      <c r="T74" s="411"/>
      <c r="U74" s="411"/>
      <c r="X74" s="411"/>
      <c r="Y74" s="390"/>
      <c r="Z74" s="390"/>
      <c r="AA74" s="390"/>
      <c r="AB74" s="390"/>
      <c r="AC74" s="390"/>
      <c r="AD74" s="390"/>
      <c r="AE74" s="390"/>
      <c r="AF74" s="389"/>
      <c r="AG74" s="341"/>
      <c r="AH74" s="341"/>
      <c r="AI74" s="343"/>
      <c r="AJ74" s="343"/>
      <c r="AK74" s="343"/>
      <c r="AL74" s="389"/>
    </row>
    <row r="75" spans="1:38">
      <c r="B75" s="64"/>
      <c r="C75" s="390"/>
      <c r="D75" s="390"/>
      <c r="E75" s="390"/>
      <c r="F75" s="64"/>
      <c r="G75" s="64"/>
      <c r="H75" s="64"/>
      <c r="I75" s="390"/>
      <c r="J75" s="390"/>
      <c r="K75" s="390"/>
      <c r="L75" s="390"/>
      <c r="M75" s="390"/>
      <c r="N75" s="390"/>
      <c r="O75" s="12"/>
      <c r="Q75" s="390"/>
      <c r="S75" s="418"/>
      <c r="T75" s="418"/>
      <c r="U75" s="418"/>
      <c r="X75" s="411"/>
      <c r="Y75" s="390"/>
      <c r="Z75" s="390"/>
      <c r="AA75" s="390"/>
      <c r="AB75" s="390"/>
      <c r="AC75" s="390"/>
      <c r="AD75" s="390"/>
      <c r="AE75" s="390"/>
      <c r="AF75" s="389"/>
      <c r="AG75" s="343"/>
      <c r="AH75" s="343"/>
      <c r="AI75" s="343"/>
      <c r="AJ75" s="343"/>
      <c r="AK75" s="343"/>
      <c r="AL75" s="389"/>
    </row>
    <row r="76" spans="1:38">
      <c r="B76" s="64"/>
      <c r="C76" s="390"/>
      <c r="D76" s="390"/>
      <c r="E76" s="390"/>
      <c r="F76" s="64"/>
      <c r="G76" s="64"/>
      <c r="H76" s="64"/>
      <c r="I76" s="390"/>
      <c r="J76" s="390"/>
      <c r="K76" s="390"/>
      <c r="L76" s="390"/>
      <c r="M76" s="390"/>
      <c r="N76" s="390"/>
      <c r="O76" s="12"/>
      <c r="Q76" s="390"/>
      <c r="S76" s="411"/>
      <c r="T76" s="411"/>
      <c r="U76" s="411"/>
      <c r="X76" s="411"/>
      <c r="Y76" s="390"/>
      <c r="Z76" s="390"/>
      <c r="AA76" s="390"/>
      <c r="AB76" s="390"/>
      <c r="AC76" s="390"/>
      <c r="AD76" s="390"/>
      <c r="AE76" s="390"/>
      <c r="AF76" s="389"/>
      <c r="AG76" s="343"/>
      <c r="AH76" s="341"/>
      <c r="AI76" s="343"/>
      <c r="AJ76" s="343"/>
      <c r="AK76" s="343"/>
      <c r="AL76" s="389"/>
    </row>
    <row r="77" spans="1:38">
      <c r="B77" s="64"/>
      <c r="C77" s="390"/>
      <c r="D77" s="390"/>
      <c r="E77" s="390"/>
      <c r="F77" s="64"/>
      <c r="G77" s="64"/>
      <c r="H77" s="64"/>
      <c r="I77" s="390"/>
      <c r="J77" s="390"/>
      <c r="K77" s="390"/>
      <c r="L77" s="390"/>
      <c r="M77" s="390"/>
      <c r="N77" s="390"/>
      <c r="O77" s="12"/>
      <c r="Q77" s="390"/>
      <c r="S77" s="411"/>
      <c r="T77" s="411"/>
      <c r="U77" s="411"/>
      <c r="X77" s="411"/>
      <c r="Y77" s="390"/>
      <c r="Z77" s="390"/>
      <c r="AA77" s="390"/>
      <c r="AB77" s="390"/>
      <c r="AC77" s="390"/>
      <c r="AD77" s="390"/>
      <c r="AE77" s="390"/>
      <c r="AF77" s="389"/>
      <c r="AG77" s="343"/>
      <c r="AH77" s="341"/>
      <c r="AI77" s="343"/>
      <c r="AJ77" s="343"/>
      <c r="AK77" s="343"/>
      <c r="AL77" s="389"/>
    </row>
    <row r="78" spans="1:38">
      <c r="B78" s="64"/>
      <c r="C78" s="390"/>
      <c r="D78" s="390"/>
      <c r="E78" s="390"/>
      <c r="F78" s="64"/>
      <c r="G78" s="64"/>
      <c r="H78" s="64"/>
      <c r="I78" s="390"/>
      <c r="J78" s="390"/>
      <c r="K78" s="390"/>
      <c r="L78" s="390"/>
      <c r="M78" s="390"/>
      <c r="N78" s="390"/>
      <c r="O78" s="12"/>
      <c r="Q78" s="390"/>
      <c r="S78" s="411"/>
      <c r="T78" s="411"/>
      <c r="U78" s="411"/>
      <c r="X78" s="411"/>
      <c r="Y78" s="390"/>
      <c r="Z78" s="390"/>
      <c r="AA78" s="390"/>
      <c r="AB78" s="390"/>
      <c r="AC78" s="390"/>
      <c r="AD78" s="390"/>
      <c r="AE78" s="390"/>
      <c r="AF78" s="389"/>
      <c r="AG78" s="343"/>
      <c r="AH78" s="343"/>
      <c r="AI78" s="343"/>
      <c r="AJ78" s="343"/>
      <c r="AK78" s="343"/>
      <c r="AL78" s="389"/>
    </row>
    <row r="79" spans="1:38">
      <c r="B79" s="64"/>
      <c r="C79" s="390"/>
      <c r="D79" s="390"/>
      <c r="E79" s="390"/>
      <c r="F79" s="64"/>
      <c r="G79" s="64"/>
      <c r="H79" s="64"/>
      <c r="I79" s="390"/>
      <c r="J79" s="390"/>
      <c r="K79" s="390"/>
      <c r="L79" s="390"/>
      <c r="M79" s="390"/>
      <c r="N79" s="390"/>
      <c r="O79" s="12"/>
      <c r="Q79" s="390"/>
      <c r="S79" s="411"/>
      <c r="T79" s="411"/>
      <c r="U79" s="411"/>
      <c r="X79" s="411"/>
      <c r="Y79" s="390"/>
      <c r="Z79" s="390"/>
      <c r="AA79" s="390"/>
      <c r="AB79" s="390"/>
      <c r="AC79" s="390"/>
      <c r="AD79" s="390"/>
      <c r="AE79" s="390"/>
      <c r="AF79" s="384"/>
      <c r="AG79" s="343"/>
      <c r="AH79" s="343"/>
      <c r="AI79" s="343"/>
      <c r="AJ79" s="343"/>
      <c r="AK79" s="343"/>
      <c r="AL79" s="391"/>
    </row>
    <row r="80" spans="1:38">
      <c r="B80" s="64"/>
      <c r="C80" s="390"/>
      <c r="D80" s="390"/>
      <c r="E80" s="390"/>
      <c r="F80" s="64"/>
      <c r="G80" s="64"/>
      <c r="H80" s="64"/>
      <c r="I80" s="390"/>
      <c r="J80" s="390"/>
      <c r="K80" s="390"/>
      <c r="L80" s="390"/>
      <c r="M80" s="390"/>
      <c r="N80" s="390"/>
      <c r="O80" s="12"/>
      <c r="Q80" s="390"/>
      <c r="S80" s="411"/>
      <c r="T80" s="411"/>
      <c r="U80" s="411"/>
      <c r="X80" s="411"/>
      <c r="Y80" s="390"/>
      <c r="Z80" s="390"/>
      <c r="AA80" s="390"/>
      <c r="AB80" s="390"/>
      <c r="AC80" s="390"/>
      <c r="AD80" s="390"/>
      <c r="AE80" s="390"/>
      <c r="AF80" s="384"/>
      <c r="AG80" s="389"/>
      <c r="AH80" s="389"/>
      <c r="AI80" s="389"/>
      <c r="AJ80" s="389"/>
      <c r="AK80" s="389"/>
      <c r="AL80" s="384"/>
    </row>
    <row r="81" spans="2:38">
      <c r="B81" s="64"/>
      <c r="C81" s="390"/>
      <c r="D81" s="390"/>
      <c r="E81" s="390"/>
      <c r="F81" s="64"/>
      <c r="G81" s="64"/>
      <c r="H81" s="64"/>
      <c r="I81" s="390"/>
      <c r="J81" s="390"/>
      <c r="K81" s="390"/>
      <c r="L81" s="390"/>
      <c r="M81" s="390"/>
      <c r="N81" s="390"/>
      <c r="O81" s="12"/>
      <c r="Q81" s="390"/>
      <c r="S81" s="411"/>
      <c r="T81" s="411"/>
      <c r="U81" s="411"/>
      <c r="X81" s="411"/>
      <c r="Y81" s="390"/>
      <c r="Z81" s="390"/>
      <c r="AA81" s="390"/>
      <c r="AB81" s="390"/>
      <c r="AC81" s="390"/>
      <c r="AD81" s="390"/>
      <c r="AE81" s="390"/>
      <c r="AF81" s="384"/>
      <c r="AG81" s="389"/>
      <c r="AH81" s="389"/>
      <c r="AI81" s="389"/>
      <c r="AJ81" s="389"/>
      <c r="AK81" s="389"/>
      <c r="AL81" s="384"/>
    </row>
    <row r="82" spans="2:38">
      <c r="B82" s="64"/>
      <c r="C82" s="390"/>
      <c r="D82" s="390"/>
      <c r="E82" s="390"/>
      <c r="F82" s="64"/>
      <c r="G82" s="64"/>
      <c r="H82" s="64"/>
      <c r="I82" s="390"/>
      <c r="J82" s="390"/>
      <c r="K82" s="390"/>
      <c r="L82" s="390"/>
      <c r="M82" s="390"/>
      <c r="N82" s="390"/>
      <c r="O82" s="12"/>
      <c r="Q82" s="390"/>
      <c r="S82" s="411"/>
      <c r="T82" s="411"/>
      <c r="U82" s="411"/>
      <c r="X82" s="411"/>
      <c r="Y82" s="390"/>
      <c r="Z82" s="390"/>
      <c r="AA82" s="390"/>
      <c r="AB82" s="390"/>
      <c r="AC82" s="390"/>
      <c r="AD82" s="390"/>
      <c r="AE82" s="390"/>
      <c r="AF82" s="390"/>
      <c r="AG82" s="390"/>
      <c r="AH82" s="390"/>
      <c r="AI82" s="390"/>
      <c r="AJ82" s="390"/>
      <c r="AK82" s="390"/>
      <c r="AL82" s="390"/>
    </row>
    <row r="83" spans="2:38">
      <c r="B83" s="64"/>
      <c r="C83" s="390"/>
      <c r="D83" s="390"/>
      <c r="E83" s="390"/>
      <c r="F83" s="64"/>
      <c r="G83" s="64"/>
      <c r="H83" s="64"/>
      <c r="I83" s="390"/>
      <c r="J83" s="390"/>
      <c r="K83" s="390"/>
      <c r="L83" s="390"/>
      <c r="M83" s="390"/>
      <c r="N83" s="390"/>
      <c r="O83" s="12"/>
      <c r="Q83" s="390"/>
      <c r="S83" s="411"/>
      <c r="T83" s="411"/>
      <c r="U83" s="411"/>
    </row>
    <row r="84" spans="2:38">
      <c r="B84" s="64"/>
      <c r="C84" s="390"/>
      <c r="D84" s="390"/>
      <c r="E84" s="390"/>
      <c r="F84" s="64"/>
      <c r="G84" s="64"/>
      <c r="H84" s="64"/>
      <c r="I84" s="390"/>
      <c r="J84" s="390"/>
      <c r="K84" s="390"/>
      <c r="L84" s="390"/>
      <c r="M84" s="390"/>
      <c r="N84" s="390"/>
      <c r="O84" s="12"/>
      <c r="Q84" s="390"/>
      <c r="S84" s="411"/>
      <c r="T84" s="411"/>
      <c r="U84" s="411"/>
    </row>
    <row r="85" spans="2:38">
      <c r="B85" s="64"/>
      <c r="C85" s="390"/>
      <c r="D85" s="390"/>
      <c r="E85" s="390"/>
      <c r="F85" s="64"/>
      <c r="G85" s="64"/>
      <c r="H85" s="64"/>
      <c r="I85" s="390"/>
      <c r="J85" s="390"/>
      <c r="K85" s="390"/>
      <c r="L85" s="390"/>
      <c r="M85" s="390"/>
      <c r="N85" s="390"/>
      <c r="O85" s="12"/>
      <c r="Q85" s="390"/>
      <c r="S85" s="411"/>
      <c r="T85" s="411"/>
      <c r="U85" s="411"/>
    </row>
    <row r="86" spans="2:38">
      <c r="B86" s="64"/>
      <c r="C86" s="390"/>
      <c r="D86" s="390"/>
      <c r="E86" s="390"/>
      <c r="F86" s="64"/>
      <c r="G86" s="64"/>
      <c r="H86" s="64"/>
      <c r="I86" s="390"/>
      <c r="J86" s="390"/>
      <c r="K86" s="390"/>
      <c r="L86" s="390"/>
      <c r="M86" s="390"/>
      <c r="N86" s="390"/>
      <c r="O86" s="12"/>
      <c r="Q86" s="390"/>
      <c r="S86" s="411"/>
      <c r="T86" s="411"/>
      <c r="U86" s="411"/>
    </row>
    <row r="87" spans="2:38">
      <c r="B87" s="64"/>
      <c r="C87" s="390"/>
      <c r="D87" s="390"/>
      <c r="E87" s="390"/>
      <c r="F87" s="64"/>
      <c r="G87" s="64"/>
      <c r="H87" s="64"/>
      <c r="I87" s="390"/>
      <c r="J87" s="390"/>
      <c r="K87" s="390"/>
      <c r="L87" s="390"/>
      <c r="M87" s="390"/>
      <c r="N87" s="390"/>
      <c r="O87" s="12"/>
      <c r="Q87" s="390"/>
      <c r="S87" s="411"/>
      <c r="T87" s="411"/>
      <c r="U87" s="411"/>
    </row>
    <row r="88" spans="2:38">
      <c r="B88" s="64"/>
      <c r="C88" s="390"/>
      <c r="D88" s="390"/>
      <c r="E88" s="390"/>
      <c r="F88" s="64"/>
      <c r="G88" s="64"/>
      <c r="H88" s="64"/>
      <c r="I88" s="390"/>
      <c r="J88" s="390"/>
      <c r="K88" s="390"/>
      <c r="L88" s="390"/>
      <c r="M88" s="390"/>
      <c r="N88" s="390"/>
      <c r="O88" s="12"/>
      <c r="Q88" s="390"/>
      <c r="S88" s="411"/>
      <c r="T88" s="411"/>
      <c r="U88" s="411"/>
    </row>
    <row r="89" spans="2:38">
      <c r="B89" s="64"/>
      <c r="C89" s="390"/>
      <c r="D89" s="390"/>
      <c r="E89" s="390"/>
      <c r="F89" s="64"/>
      <c r="G89" s="64"/>
      <c r="H89" s="64"/>
      <c r="I89" s="390"/>
      <c r="J89" s="390"/>
      <c r="K89" s="390"/>
      <c r="L89" s="390"/>
      <c r="M89" s="390"/>
      <c r="N89" s="390"/>
      <c r="O89" s="12"/>
      <c r="Q89" s="390"/>
      <c r="S89" s="407"/>
      <c r="T89" s="411"/>
      <c r="U89" s="411"/>
    </row>
    <row r="90" spans="2:38">
      <c r="B90" s="64"/>
      <c r="C90" s="390"/>
      <c r="D90" s="390"/>
      <c r="E90" s="390"/>
      <c r="F90" s="64"/>
      <c r="G90" s="64"/>
      <c r="H90" s="64"/>
      <c r="I90" s="390"/>
      <c r="J90" s="390"/>
      <c r="K90" s="390"/>
      <c r="L90" s="390"/>
      <c r="M90" s="390"/>
      <c r="N90" s="390"/>
      <c r="O90" s="12"/>
      <c r="Q90" s="390"/>
    </row>
    <row r="91" spans="2:38">
      <c r="B91" s="64"/>
      <c r="C91" s="390"/>
      <c r="D91" s="390"/>
      <c r="E91" s="390"/>
      <c r="F91" s="64"/>
      <c r="G91" s="64"/>
      <c r="H91" s="64"/>
      <c r="I91" s="390"/>
      <c r="J91" s="390"/>
      <c r="K91" s="390"/>
      <c r="L91" s="390"/>
      <c r="M91" s="390"/>
      <c r="N91" s="390"/>
      <c r="O91" s="12"/>
      <c r="Q91" s="390"/>
    </row>
    <row r="92" spans="2:38">
      <c r="B92" s="64"/>
      <c r="C92" s="390"/>
      <c r="D92" s="390"/>
      <c r="E92" s="390"/>
      <c r="F92" s="64"/>
      <c r="G92" s="64"/>
      <c r="H92" s="64"/>
      <c r="I92" s="390"/>
      <c r="J92" s="390"/>
      <c r="K92" s="390"/>
      <c r="L92" s="390"/>
      <c r="M92" s="390"/>
      <c r="N92" s="390"/>
      <c r="O92" s="12"/>
      <c r="Q92" s="390"/>
    </row>
    <row r="93" spans="2:38">
      <c r="B93" s="64"/>
      <c r="C93" s="390"/>
      <c r="D93" s="390"/>
      <c r="E93" s="390"/>
      <c r="F93" s="64"/>
      <c r="G93" s="64"/>
      <c r="H93" s="64"/>
      <c r="I93" s="390"/>
      <c r="J93" s="390"/>
      <c r="K93" s="390"/>
      <c r="L93" s="390"/>
      <c r="M93" s="390"/>
      <c r="N93" s="390"/>
      <c r="O93" s="12"/>
      <c r="Q93" s="390"/>
    </row>
    <row r="94" spans="2:38">
      <c r="B94" s="64"/>
      <c r="C94" s="390"/>
      <c r="D94" s="390"/>
      <c r="E94" s="390"/>
      <c r="F94" s="64"/>
      <c r="G94" s="64"/>
      <c r="H94" s="64"/>
      <c r="I94" s="390"/>
      <c r="J94" s="390"/>
      <c r="K94" s="390"/>
      <c r="L94" s="390"/>
      <c r="M94" s="390"/>
      <c r="N94" s="390"/>
      <c r="O94" s="12"/>
      <c r="Q94" s="390"/>
    </row>
    <row r="95" spans="2:38">
      <c r="B95" s="64"/>
      <c r="C95" s="390"/>
      <c r="D95" s="390"/>
      <c r="E95" s="390"/>
      <c r="F95" s="64"/>
      <c r="G95" s="64"/>
      <c r="H95" s="64"/>
      <c r="I95" s="390"/>
      <c r="J95" s="390"/>
      <c r="K95" s="390"/>
      <c r="L95" s="390"/>
      <c r="M95" s="390"/>
      <c r="N95" s="390"/>
      <c r="O95" s="12"/>
      <c r="Q95" s="390"/>
    </row>
    <row r="96" spans="2:38">
      <c r="B96" s="64"/>
      <c r="C96" s="390"/>
      <c r="D96" s="390"/>
      <c r="E96" s="390"/>
      <c r="F96" s="64"/>
      <c r="G96" s="64"/>
      <c r="H96" s="64"/>
      <c r="I96" s="390"/>
      <c r="J96" s="390"/>
      <c r="K96" s="390"/>
      <c r="L96" s="390"/>
      <c r="M96" s="390"/>
      <c r="N96" s="390"/>
      <c r="O96" s="12"/>
      <c r="Q96" s="390"/>
    </row>
    <row r="97" spans="2:17">
      <c r="B97" s="64"/>
      <c r="C97" s="390"/>
      <c r="D97" s="390"/>
      <c r="E97" s="390"/>
      <c r="F97" s="64"/>
      <c r="G97" s="64"/>
      <c r="H97" s="64"/>
      <c r="I97" s="390"/>
      <c r="J97" s="390"/>
      <c r="K97" s="390"/>
      <c r="L97" s="390"/>
      <c r="M97" s="390"/>
      <c r="N97" s="390"/>
      <c r="O97" s="12"/>
      <c r="Q97" s="390"/>
    </row>
    <row r="98" spans="2:17">
      <c r="B98" s="64"/>
      <c r="C98" s="390"/>
      <c r="D98" s="390"/>
      <c r="E98" s="390"/>
      <c r="F98" s="64"/>
      <c r="G98" s="64"/>
      <c r="H98" s="64"/>
      <c r="I98" s="390"/>
      <c r="J98" s="390"/>
      <c r="K98" s="390"/>
      <c r="L98" s="390"/>
      <c r="M98" s="390"/>
      <c r="N98" s="390"/>
      <c r="O98" s="12"/>
      <c r="Q98" s="390"/>
    </row>
    <row r="99" spans="2:17">
      <c r="B99" s="64"/>
      <c r="C99" s="390"/>
      <c r="D99" s="390"/>
      <c r="E99" s="390"/>
      <c r="F99" s="64"/>
      <c r="G99" s="64"/>
      <c r="H99" s="64"/>
      <c r="I99" s="390"/>
      <c r="J99" s="390"/>
      <c r="K99" s="390"/>
      <c r="L99" s="390"/>
      <c r="M99" s="390"/>
      <c r="N99" s="390"/>
      <c r="O99" s="12"/>
      <c r="Q99" s="390"/>
    </row>
    <row r="100" spans="2:17">
      <c r="B100" s="64"/>
      <c r="C100" s="390"/>
      <c r="D100" s="390"/>
      <c r="E100" s="390"/>
      <c r="F100" s="64"/>
      <c r="G100" s="64"/>
      <c r="H100" s="64"/>
      <c r="I100" s="390"/>
      <c r="J100" s="390"/>
      <c r="K100" s="390"/>
      <c r="L100" s="390"/>
      <c r="M100" s="390"/>
      <c r="N100" s="390"/>
      <c r="O100" s="12"/>
      <c r="Q100" s="390"/>
    </row>
    <row r="101" spans="2:17">
      <c r="B101" s="64"/>
      <c r="C101" s="390"/>
      <c r="D101" s="390"/>
      <c r="E101" s="390"/>
      <c r="F101" s="64"/>
      <c r="G101" s="64"/>
      <c r="H101" s="64"/>
      <c r="I101" s="390"/>
      <c r="J101" s="390"/>
      <c r="K101" s="390"/>
      <c r="L101" s="390"/>
      <c r="M101" s="390"/>
      <c r="N101" s="390"/>
      <c r="O101" s="12"/>
      <c r="Q101" s="390"/>
    </row>
    <row r="102" spans="2:17">
      <c r="B102" s="64"/>
      <c r="C102" s="390"/>
      <c r="D102" s="390"/>
      <c r="E102" s="390"/>
      <c r="F102" s="64"/>
      <c r="G102" s="64"/>
      <c r="H102" s="64"/>
      <c r="I102" s="390"/>
      <c r="J102" s="390"/>
      <c r="K102" s="390"/>
      <c r="L102" s="390"/>
      <c r="M102" s="390"/>
      <c r="N102" s="390"/>
      <c r="O102" s="12"/>
      <c r="Q102" s="390"/>
    </row>
    <row r="103" spans="2:17">
      <c r="B103" s="64"/>
      <c r="C103" s="390"/>
      <c r="D103" s="390"/>
      <c r="E103" s="390"/>
      <c r="F103" s="64"/>
      <c r="G103" s="64"/>
      <c r="H103" s="64"/>
      <c r="I103" s="390"/>
      <c r="J103" s="390"/>
      <c r="K103" s="390"/>
      <c r="L103" s="390"/>
      <c r="M103" s="390"/>
      <c r="N103" s="390"/>
      <c r="O103" s="12"/>
      <c r="Q103" s="390"/>
    </row>
    <row r="104" spans="2:17">
      <c r="B104" s="64"/>
      <c r="C104" s="390"/>
      <c r="D104" s="390"/>
      <c r="E104" s="390"/>
      <c r="F104" s="64"/>
      <c r="G104" s="64"/>
      <c r="H104" s="64"/>
      <c r="I104" s="390"/>
      <c r="J104" s="390"/>
      <c r="K104" s="390"/>
      <c r="L104" s="390"/>
      <c r="M104" s="390"/>
      <c r="N104" s="390"/>
      <c r="O104" s="12"/>
      <c r="Q104" s="390"/>
    </row>
    <row r="105" spans="2:17">
      <c r="B105" s="64"/>
      <c r="C105" s="390"/>
      <c r="D105" s="390"/>
      <c r="E105" s="390"/>
      <c r="F105" s="64"/>
      <c r="G105" s="64"/>
      <c r="H105" s="64"/>
      <c r="I105" s="390"/>
      <c r="J105" s="390"/>
      <c r="K105" s="390"/>
      <c r="L105" s="390"/>
      <c r="M105" s="390"/>
      <c r="N105" s="390"/>
      <c r="O105" s="12"/>
      <c r="Q105" s="390"/>
    </row>
    <row r="106" spans="2:17">
      <c r="B106" s="64"/>
      <c r="C106" s="390"/>
      <c r="D106" s="390"/>
      <c r="E106" s="390"/>
      <c r="F106" s="64"/>
      <c r="G106" s="64"/>
      <c r="H106" s="64"/>
      <c r="I106" s="390"/>
      <c r="J106" s="390"/>
      <c r="K106" s="390"/>
      <c r="L106" s="390"/>
      <c r="M106" s="390"/>
      <c r="N106" s="390"/>
      <c r="O106" s="12"/>
      <c r="Q106" s="390"/>
    </row>
    <row r="107" spans="2:17">
      <c r="B107" s="64"/>
      <c r="C107" s="390"/>
      <c r="D107" s="390"/>
      <c r="E107" s="390"/>
      <c r="F107" s="64"/>
      <c r="G107" s="64"/>
      <c r="H107" s="64"/>
      <c r="I107" s="390"/>
      <c r="J107" s="390"/>
      <c r="K107" s="390"/>
      <c r="L107" s="390"/>
      <c r="M107" s="390"/>
      <c r="N107" s="390"/>
      <c r="O107" s="12"/>
      <c r="Q107" s="390"/>
    </row>
    <row r="108" spans="2:17">
      <c r="B108" s="64"/>
      <c r="C108" s="390"/>
      <c r="D108" s="390"/>
      <c r="E108" s="390"/>
      <c r="F108" s="64"/>
      <c r="G108" s="64"/>
      <c r="H108" s="64"/>
      <c r="I108" s="390"/>
      <c r="J108" s="390"/>
      <c r="K108" s="390"/>
      <c r="L108" s="390"/>
      <c r="M108" s="390"/>
      <c r="N108" s="390"/>
      <c r="O108" s="12"/>
      <c r="Q108" s="390"/>
    </row>
    <row r="109" spans="2:17">
      <c r="B109" s="64"/>
      <c r="C109" s="390"/>
      <c r="D109" s="390"/>
      <c r="E109" s="390"/>
      <c r="F109" s="64"/>
      <c r="G109" s="64"/>
      <c r="H109" s="64"/>
      <c r="I109" s="390"/>
      <c r="J109" s="390"/>
      <c r="K109" s="390"/>
      <c r="L109" s="390"/>
      <c r="M109" s="390"/>
      <c r="N109" s="390"/>
      <c r="O109" s="12"/>
      <c r="Q109" s="390"/>
    </row>
    <row r="110" spans="2:17">
      <c r="B110" s="64"/>
      <c r="C110" s="390"/>
      <c r="D110" s="390"/>
      <c r="E110" s="390"/>
      <c r="F110" s="64"/>
      <c r="G110" s="64"/>
      <c r="H110" s="64"/>
      <c r="I110" s="390"/>
      <c r="J110" s="390"/>
      <c r="K110" s="390"/>
      <c r="L110" s="390"/>
      <c r="M110" s="390"/>
      <c r="N110" s="390"/>
      <c r="O110" s="12"/>
      <c r="Q110" s="390"/>
    </row>
    <row r="111" spans="2:17">
      <c r="B111" s="64"/>
      <c r="C111" s="390"/>
      <c r="D111" s="390"/>
      <c r="E111" s="390"/>
      <c r="F111" s="64"/>
      <c r="G111" s="64"/>
      <c r="H111" s="64"/>
      <c r="I111" s="390"/>
      <c r="J111" s="390"/>
      <c r="K111" s="390"/>
      <c r="L111" s="390"/>
      <c r="M111" s="390"/>
      <c r="N111" s="390"/>
      <c r="O111" s="12"/>
      <c r="Q111" s="390"/>
    </row>
    <row r="112" spans="2:17">
      <c r="B112" s="64"/>
      <c r="C112" s="390"/>
      <c r="D112" s="390"/>
      <c r="E112" s="390"/>
      <c r="F112" s="64"/>
      <c r="G112" s="64"/>
      <c r="H112" s="64"/>
      <c r="I112" s="390"/>
      <c r="J112" s="390"/>
      <c r="K112" s="390"/>
      <c r="L112" s="390"/>
      <c r="M112" s="390"/>
      <c r="N112" s="390"/>
      <c r="O112" s="12"/>
      <c r="Q112" s="390"/>
    </row>
    <row r="113" spans="1:17">
      <c r="B113" s="64"/>
      <c r="C113" s="390"/>
      <c r="D113" s="390"/>
      <c r="E113" s="390"/>
      <c r="F113" s="64"/>
      <c r="G113" s="64"/>
      <c r="H113" s="64"/>
      <c r="I113" s="390"/>
      <c r="J113" s="390"/>
      <c r="K113" s="390"/>
      <c r="L113" s="390"/>
      <c r="M113" s="390"/>
      <c r="N113" s="390"/>
      <c r="O113" s="12"/>
      <c r="Q113" s="390"/>
    </row>
    <row r="114" spans="1:17">
      <c r="B114" s="64"/>
      <c r="C114" s="390"/>
      <c r="D114" s="390"/>
      <c r="E114" s="390"/>
      <c r="F114" s="64"/>
      <c r="G114" s="64"/>
      <c r="H114" s="64"/>
      <c r="I114" s="390"/>
      <c r="J114" s="390"/>
      <c r="K114" s="390"/>
      <c r="L114" s="390"/>
      <c r="M114" s="390"/>
      <c r="N114" s="390"/>
      <c r="O114" s="12"/>
      <c r="Q114" s="390"/>
    </row>
    <row r="115" spans="1:17">
      <c r="B115" s="64"/>
      <c r="C115" s="390"/>
      <c r="D115" s="390"/>
      <c r="E115" s="390"/>
      <c r="F115" s="64"/>
      <c r="G115" s="64"/>
      <c r="H115" s="64"/>
      <c r="I115" s="390"/>
      <c r="J115" s="390"/>
      <c r="K115" s="390"/>
      <c r="L115" s="390"/>
      <c r="M115" s="390"/>
      <c r="N115" s="390"/>
      <c r="O115" s="12"/>
      <c r="Q115" s="390"/>
    </row>
    <row r="116" spans="1:17">
      <c r="B116" s="64"/>
      <c r="C116" s="390"/>
      <c r="D116" s="390"/>
      <c r="E116" s="390"/>
      <c r="F116" s="64"/>
      <c r="G116" s="64"/>
      <c r="H116" s="64"/>
      <c r="I116" s="390"/>
      <c r="J116" s="390"/>
      <c r="K116" s="390"/>
      <c r="L116" s="390"/>
      <c r="M116" s="390"/>
      <c r="N116" s="390"/>
      <c r="O116" s="12"/>
      <c r="Q116" s="390"/>
    </row>
    <row r="117" spans="1:17">
      <c r="B117" s="64"/>
      <c r="C117" s="390"/>
      <c r="D117" s="390"/>
      <c r="E117" s="390"/>
      <c r="F117" s="64"/>
      <c r="G117" s="64"/>
      <c r="H117" s="64"/>
      <c r="I117" s="390"/>
      <c r="J117" s="390"/>
      <c r="K117" s="390"/>
      <c r="L117" s="390"/>
      <c r="M117" s="390"/>
      <c r="N117" s="390"/>
      <c r="O117" s="12"/>
      <c r="Q117" s="390"/>
    </row>
    <row r="118" spans="1:17">
      <c r="B118" s="64"/>
      <c r="C118" s="390"/>
      <c r="D118" s="390"/>
      <c r="E118" s="390"/>
      <c r="F118" s="64"/>
      <c r="G118" s="64"/>
      <c r="H118" s="64"/>
      <c r="I118" s="390"/>
      <c r="J118" s="390"/>
      <c r="K118" s="390"/>
      <c r="L118" s="390"/>
      <c r="M118" s="390"/>
      <c r="N118" s="390"/>
      <c r="O118" s="12"/>
      <c r="Q118" s="390"/>
    </row>
    <row r="119" spans="1:17">
      <c r="B119" s="64"/>
      <c r="C119" s="390"/>
      <c r="D119" s="390"/>
      <c r="E119" s="390"/>
      <c r="F119" s="64"/>
      <c r="G119" s="64"/>
      <c r="H119" s="64"/>
      <c r="I119" s="390"/>
      <c r="J119" s="390"/>
      <c r="K119" s="390"/>
      <c r="L119" s="390"/>
      <c r="M119" s="390"/>
      <c r="N119" s="390"/>
      <c r="O119" s="12"/>
      <c r="Q119" s="390"/>
    </row>
    <row r="120" spans="1:17">
      <c r="B120" s="64"/>
      <c r="C120" s="390"/>
      <c r="D120" s="390"/>
      <c r="E120" s="390"/>
      <c r="F120" s="64"/>
      <c r="G120" s="64"/>
      <c r="H120" s="64"/>
      <c r="I120" s="390"/>
      <c r="J120" s="390"/>
      <c r="K120" s="390"/>
      <c r="L120" s="390"/>
      <c r="M120" s="390"/>
      <c r="N120" s="390"/>
      <c r="O120" s="12"/>
      <c r="Q120" s="390"/>
    </row>
    <row r="121" spans="1:17">
      <c r="B121" s="64"/>
      <c r="C121" s="390"/>
      <c r="D121" s="390"/>
      <c r="E121" s="390"/>
      <c r="F121" s="64"/>
      <c r="G121" s="64"/>
      <c r="H121" s="64"/>
      <c r="I121" s="390"/>
      <c r="J121" s="390"/>
      <c r="K121" s="390"/>
      <c r="L121" s="390"/>
      <c r="M121" s="390"/>
      <c r="N121" s="390"/>
      <c r="O121" s="12"/>
      <c r="Q121" s="390"/>
    </row>
    <row r="122" spans="1:17">
      <c r="B122" s="64"/>
      <c r="C122" s="390"/>
      <c r="D122" s="390"/>
      <c r="E122" s="390"/>
      <c r="F122" s="64"/>
      <c r="G122" s="64"/>
      <c r="H122" s="64"/>
      <c r="I122" s="390"/>
      <c r="J122" s="390"/>
      <c r="K122" s="390"/>
      <c r="L122" s="390"/>
      <c r="M122" s="390"/>
      <c r="N122" s="390"/>
      <c r="O122" s="12"/>
      <c r="Q122" s="390"/>
    </row>
    <row r="123" spans="1:17">
      <c r="B123" s="64"/>
      <c r="C123" s="390"/>
      <c r="D123" s="390"/>
      <c r="E123" s="390"/>
      <c r="F123" s="64"/>
      <c r="G123" s="64"/>
      <c r="H123" s="64"/>
      <c r="I123" s="390"/>
      <c r="J123" s="390"/>
      <c r="K123" s="390"/>
      <c r="L123" s="390"/>
      <c r="M123" s="390"/>
      <c r="N123" s="390"/>
      <c r="O123" s="12"/>
      <c r="Q123" s="390"/>
    </row>
    <row r="124" spans="1:17">
      <c r="A124" s="390"/>
      <c r="B124" s="64"/>
      <c r="C124" s="390"/>
      <c r="D124" s="390"/>
      <c r="E124" s="390"/>
      <c r="F124" s="64"/>
      <c r="G124" s="64"/>
      <c r="H124" s="64"/>
      <c r="I124" s="390"/>
      <c r="J124" s="390"/>
      <c r="K124" s="390"/>
      <c r="L124" s="390"/>
      <c r="M124" s="390"/>
      <c r="N124" s="390"/>
      <c r="O124" s="12"/>
      <c r="Q124" s="390"/>
    </row>
    <row r="125" spans="1:17">
      <c r="A125" s="390"/>
      <c r="B125" s="64"/>
      <c r="C125" s="390"/>
      <c r="D125" s="390"/>
      <c r="E125" s="390"/>
      <c r="F125" s="64"/>
      <c r="G125" s="64"/>
      <c r="H125" s="64"/>
      <c r="I125" s="390"/>
      <c r="J125" s="390"/>
      <c r="K125" s="390"/>
      <c r="L125" s="390"/>
      <c r="M125" s="390"/>
      <c r="N125" s="390"/>
      <c r="O125" s="12"/>
      <c r="Q125" s="390"/>
    </row>
    <row r="126" spans="1:17">
      <c r="A126" s="390"/>
      <c r="B126" s="64"/>
      <c r="C126" s="390"/>
      <c r="D126" s="390"/>
      <c r="E126" s="390"/>
      <c r="F126" s="64"/>
      <c r="G126" s="64"/>
      <c r="H126" s="64"/>
      <c r="I126" s="390"/>
      <c r="J126" s="390"/>
      <c r="K126" s="390"/>
      <c r="L126" s="390"/>
      <c r="M126" s="390"/>
      <c r="N126" s="390"/>
      <c r="O126" s="12"/>
      <c r="Q126" s="390"/>
    </row>
    <row r="127" spans="1:17">
      <c r="A127" s="390"/>
      <c r="B127" s="64"/>
      <c r="C127" s="390"/>
      <c r="D127" s="390"/>
      <c r="E127" s="390"/>
      <c r="F127" s="64"/>
      <c r="G127" s="64"/>
      <c r="H127" s="64"/>
      <c r="I127" s="390"/>
      <c r="J127" s="390"/>
      <c r="K127" s="390"/>
      <c r="L127" s="390"/>
      <c r="M127" s="390"/>
      <c r="N127" s="390"/>
      <c r="O127" s="12"/>
      <c r="Q127" s="390"/>
    </row>
    <row r="128" spans="1:17">
      <c r="A128" s="390"/>
      <c r="B128" s="64"/>
      <c r="C128" s="390"/>
      <c r="D128" s="390"/>
      <c r="E128" s="390"/>
      <c r="F128" s="64"/>
      <c r="G128" s="64"/>
      <c r="H128" s="64"/>
      <c r="I128" s="390"/>
      <c r="J128" s="390"/>
      <c r="K128" s="390"/>
      <c r="L128" s="390"/>
      <c r="M128" s="390"/>
      <c r="N128" s="390"/>
      <c r="O128" s="12"/>
      <c r="Q128" s="390"/>
    </row>
    <row r="129" spans="1:17">
      <c r="A129" s="390"/>
      <c r="B129" s="64"/>
      <c r="C129" s="390"/>
      <c r="D129" s="390"/>
      <c r="E129" s="390"/>
      <c r="F129" s="64"/>
      <c r="G129" s="64"/>
      <c r="H129" s="64"/>
      <c r="I129" s="390"/>
      <c r="J129" s="390"/>
      <c r="K129" s="390"/>
      <c r="L129" s="390"/>
      <c r="M129" s="390"/>
      <c r="N129" s="390"/>
      <c r="O129" s="12"/>
      <c r="Q129" s="390"/>
    </row>
    <row r="130" spans="1:17">
      <c r="A130" s="390"/>
      <c r="B130" s="64"/>
      <c r="C130" s="390"/>
      <c r="D130" s="390"/>
      <c r="E130" s="390"/>
      <c r="F130" s="64"/>
      <c r="G130" s="64"/>
      <c r="H130" s="64"/>
      <c r="I130" s="390"/>
      <c r="J130" s="390"/>
      <c r="K130" s="390"/>
      <c r="L130" s="390"/>
      <c r="M130" s="390"/>
      <c r="N130" s="390"/>
      <c r="O130" s="12"/>
      <c r="Q130" s="390"/>
    </row>
    <row r="131" spans="1:17">
      <c r="A131" s="390"/>
      <c r="B131" s="64"/>
      <c r="C131" s="390"/>
      <c r="D131" s="390"/>
      <c r="E131" s="390"/>
      <c r="F131" s="64"/>
      <c r="G131" s="64"/>
      <c r="H131" s="64"/>
      <c r="I131" s="390"/>
      <c r="J131" s="390"/>
      <c r="K131" s="390"/>
      <c r="L131" s="390"/>
      <c r="M131" s="390"/>
      <c r="N131" s="390"/>
      <c r="O131" s="12"/>
      <c r="Q131" s="390"/>
    </row>
    <row r="132" spans="1:17">
      <c r="A132" s="390"/>
      <c r="B132" s="64"/>
      <c r="C132" s="390"/>
      <c r="D132" s="390"/>
      <c r="E132" s="390"/>
      <c r="F132" s="64"/>
      <c r="G132" s="64"/>
      <c r="H132" s="64"/>
      <c r="I132" s="390"/>
      <c r="J132" s="390"/>
      <c r="K132" s="390"/>
      <c r="L132" s="390"/>
      <c r="M132" s="390"/>
      <c r="N132" s="390"/>
      <c r="O132" s="12"/>
      <c r="Q132" s="390"/>
    </row>
    <row r="133" spans="1:17">
      <c r="A133" s="390"/>
      <c r="B133" s="64"/>
      <c r="C133" s="390"/>
      <c r="D133" s="390"/>
      <c r="E133" s="390"/>
      <c r="F133" s="64"/>
      <c r="G133" s="64"/>
      <c r="H133" s="64"/>
      <c r="I133" s="390"/>
      <c r="J133" s="390"/>
      <c r="K133" s="390"/>
      <c r="L133" s="390"/>
      <c r="M133" s="390"/>
      <c r="N133" s="390"/>
      <c r="O133" s="12"/>
      <c r="Q133" s="390"/>
    </row>
    <row r="134" spans="1:17">
      <c r="A134" s="390"/>
      <c r="B134" s="64"/>
      <c r="C134" s="390"/>
      <c r="D134" s="390"/>
      <c r="E134" s="390"/>
      <c r="F134" s="64"/>
      <c r="G134" s="64"/>
      <c r="H134" s="64"/>
      <c r="I134" s="390"/>
      <c r="J134" s="390"/>
      <c r="K134" s="390"/>
      <c r="L134" s="390"/>
      <c r="M134" s="390"/>
      <c r="N134" s="390"/>
      <c r="O134" s="12"/>
      <c r="Q134" s="390"/>
    </row>
    <row r="135" spans="1:17">
      <c r="A135" s="390"/>
      <c r="B135" s="64"/>
      <c r="C135" s="390"/>
      <c r="D135" s="390"/>
      <c r="E135" s="390"/>
      <c r="F135" s="64"/>
      <c r="G135" s="64"/>
      <c r="H135" s="64"/>
      <c r="I135" s="390"/>
      <c r="J135" s="390"/>
      <c r="K135" s="390"/>
      <c r="L135" s="390"/>
      <c r="M135" s="390"/>
      <c r="N135" s="390"/>
      <c r="O135" s="12"/>
      <c r="Q135" s="390"/>
    </row>
    <row r="136" spans="1:17">
      <c r="A136" s="390"/>
      <c r="B136" s="64"/>
      <c r="C136" s="390"/>
      <c r="D136" s="390"/>
      <c r="E136" s="390"/>
      <c r="F136" s="64"/>
      <c r="G136" s="64"/>
      <c r="H136" s="64"/>
      <c r="I136" s="390"/>
      <c r="J136" s="390"/>
      <c r="K136" s="390"/>
      <c r="L136" s="390"/>
      <c r="M136" s="390"/>
      <c r="N136" s="390"/>
      <c r="O136" s="12"/>
      <c r="Q136" s="390"/>
    </row>
    <row r="137" spans="1:17">
      <c r="A137" s="390"/>
      <c r="B137" s="64"/>
      <c r="C137" s="390"/>
      <c r="D137" s="390"/>
      <c r="E137" s="390"/>
      <c r="F137" s="64"/>
      <c r="G137" s="64"/>
      <c r="H137" s="64"/>
      <c r="I137" s="390"/>
      <c r="J137" s="390"/>
      <c r="K137" s="390"/>
      <c r="L137" s="390"/>
      <c r="M137" s="390"/>
      <c r="N137" s="390"/>
      <c r="O137" s="12"/>
      <c r="Q137" s="390"/>
    </row>
    <row r="138" spans="1:17">
      <c r="A138" s="390"/>
      <c r="B138" s="64"/>
      <c r="C138" s="390"/>
      <c r="D138" s="390"/>
      <c r="E138" s="390"/>
      <c r="F138" s="64"/>
      <c r="G138" s="64"/>
      <c r="H138" s="64"/>
      <c r="I138" s="390"/>
      <c r="J138" s="390"/>
      <c r="K138" s="390"/>
      <c r="L138" s="390"/>
      <c r="M138" s="390"/>
      <c r="N138" s="390"/>
      <c r="O138" s="12"/>
      <c r="Q138" s="390"/>
    </row>
    <row r="139" spans="1:17">
      <c r="A139" s="390"/>
      <c r="B139" s="64"/>
      <c r="C139" s="390"/>
      <c r="D139" s="390"/>
      <c r="E139" s="390"/>
      <c r="F139" s="64"/>
      <c r="G139" s="64"/>
      <c r="H139" s="64"/>
      <c r="I139" s="390"/>
      <c r="J139" s="390"/>
      <c r="K139" s="390"/>
      <c r="L139" s="390"/>
      <c r="M139" s="390"/>
      <c r="N139" s="390"/>
      <c r="O139" s="12"/>
      <c r="Q139" s="390"/>
    </row>
    <row r="140" spans="1:17">
      <c r="A140" s="390"/>
      <c r="B140" s="64"/>
      <c r="C140" s="390"/>
      <c r="D140" s="390"/>
      <c r="E140" s="390"/>
      <c r="F140" s="64"/>
      <c r="G140" s="64"/>
      <c r="H140" s="64"/>
      <c r="I140" s="390"/>
      <c r="J140" s="390"/>
      <c r="K140" s="390"/>
      <c r="L140" s="390"/>
      <c r="M140" s="390"/>
      <c r="N140" s="390"/>
      <c r="O140" s="12"/>
      <c r="Q140" s="390"/>
    </row>
    <row r="141" spans="1:17">
      <c r="A141" s="390"/>
      <c r="B141" s="64"/>
      <c r="C141" s="390"/>
      <c r="D141" s="390"/>
      <c r="E141" s="390"/>
      <c r="F141" s="64"/>
      <c r="G141" s="64"/>
      <c r="H141" s="64"/>
      <c r="I141" s="390"/>
      <c r="J141" s="390"/>
      <c r="K141" s="390"/>
      <c r="L141" s="390"/>
      <c r="M141" s="390"/>
      <c r="N141" s="390"/>
      <c r="O141" s="12"/>
      <c r="Q141" s="390"/>
    </row>
    <row r="142" spans="1:17">
      <c r="A142" s="390"/>
      <c r="B142" s="64"/>
      <c r="C142" s="390"/>
      <c r="D142" s="390"/>
      <c r="E142" s="390"/>
      <c r="F142" s="64"/>
      <c r="G142" s="64"/>
      <c r="H142" s="64"/>
      <c r="I142" s="390"/>
      <c r="J142" s="390"/>
      <c r="K142" s="390"/>
      <c r="L142" s="390"/>
      <c r="M142" s="390"/>
      <c r="N142" s="390"/>
      <c r="O142" s="12"/>
      <c r="Q142" s="390"/>
    </row>
    <row r="143" spans="1:17">
      <c r="A143" s="390"/>
      <c r="B143" s="64"/>
      <c r="C143" s="390"/>
      <c r="D143" s="390"/>
      <c r="E143" s="390"/>
      <c r="F143" s="64"/>
      <c r="G143" s="64"/>
      <c r="H143" s="64"/>
      <c r="I143" s="390"/>
      <c r="J143" s="390"/>
      <c r="K143" s="390"/>
      <c r="L143" s="390"/>
      <c r="M143" s="390"/>
      <c r="N143" s="390"/>
      <c r="O143" s="12"/>
      <c r="Q143" s="390"/>
    </row>
    <row r="144" spans="1:17">
      <c r="A144" s="390"/>
      <c r="B144" s="64"/>
      <c r="C144" s="390"/>
      <c r="D144" s="390"/>
      <c r="E144" s="390"/>
      <c r="F144" s="64"/>
      <c r="G144" s="64"/>
      <c r="H144" s="64"/>
      <c r="I144" s="390"/>
      <c r="J144" s="390"/>
      <c r="K144" s="390"/>
      <c r="L144" s="390"/>
      <c r="M144" s="390"/>
      <c r="N144" s="390"/>
      <c r="O144" s="12"/>
      <c r="Q144" s="390"/>
    </row>
    <row r="145" spans="1:17">
      <c r="A145" s="390"/>
      <c r="B145" s="64"/>
      <c r="C145" s="390"/>
      <c r="D145" s="390"/>
      <c r="E145" s="390"/>
      <c r="F145" s="64"/>
      <c r="G145" s="64"/>
      <c r="H145" s="64"/>
      <c r="I145" s="390"/>
      <c r="J145" s="390"/>
      <c r="K145" s="390"/>
      <c r="L145" s="390"/>
      <c r="M145" s="390"/>
      <c r="N145" s="390"/>
      <c r="O145" s="12"/>
      <c r="Q145" s="390"/>
    </row>
    <row r="146" spans="1:17">
      <c r="A146" s="390"/>
      <c r="B146" s="64"/>
      <c r="C146" s="390"/>
      <c r="D146" s="390"/>
      <c r="E146" s="390"/>
      <c r="F146" s="64"/>
      <c r="G146" s="64"/>
      <c r="H146" s="64"/>
      <c r="I146" s="390"/>
      <c r="J146" s="390"/>
      <c r="K146" s="390"/>
      <c r="L146" s="390"/>
      <c r="M146" s="390"/>
      <c r="N146" s="390"/>
      <c r="O146" s="12"/>
      <c r="Q146" s="390"/>
    </row>
    <row r="147" spans="1:17">
      <c r="A147" s="390"/>
      <c r="B147" s="64"/>
      <c r="C147" s="390"/>
      <c r="D147" s="390"/>
      <c r="E147" s="390"/>
      <c r="F147" s="64"/>
      <c r="G147" s="64"/>
      <c r="H147" s="64"/>
      <c r="I147" s="390"/>
      <c r="J147" s="390"/>
      <c r="K147" s="390"/>
      <c r="L147" s="390"/>
      <c r="M147" s="390"/>
      <c r="N147" s="390"/>
      <c r="O147" s="12"/>
      <c r="Q147" s="390"/>
    </row>
    <row r="148" spans="1:17">
      <c r="A148" s="390"/>
      <c r="B148" s="64"/>
      <c r="C148" s="390"/>
      <c r="D148" s="390"/>
      <c r="E148" s="390"/>
      <c r="F148" s="64"/>
      <c r="G148" s="64"/>
      <c r="H148" s="64"/>
      <c r="I148" s="390"/>
      <c r="J148" s="390"/>
      <c r="K148" s="390"/>
      <c r="L148" s="390"/>
      <c r="M148" s="390"/>
      <c r="N148" s="390"/>
      <c r="O148" s="12"/>
      <c r="Q148" s="390"/>
    </row>
    <row r="149" spans="1:17">
      <c r="A149" s="390"/>
      <c r="B149" s="64"/>
      <c r="C149" s="390"/>
      <c r="D149" s="390"/>
      <c r="E149" s="390"/>
      <c r="F149" s="64"/>
      <c r="G149" s="64"/>
      <c r="H149" s="64"/>
      <c r="I149" s="390"/>
      <c r="J149" s="390"/>
      <c r="K149" s="390"/>
      <c r="L149" s="390"/>
      <c r="M149" s="390"/>
      <c r="N149" s="390"/>
      <c r="O149" s="12"/>
      <c r="Q149" s="390"/>
    </row>
    <row r="150" spans="1:17">
      <c r="A150" s="390"/>
      <c r="B150" s="64"/>
      <c r="C150" s="390"/>
      <c r="D150" s="390"/>
      <c r="E150" s="390"/>
      <c r="F150" s="64"/>
      <c r="G150" s="64"/>
      <c r="H150" s="64"/>
      <c r="I150" s="390"/>
      <c r="J150" s="390"/>
      <c r="K150" s="390"/>
      <c r="L150" s="390"/>
      <c r="M150" s="390"/>
      <c r="N150" s="390"/>
      <c r="O150" s="12"/>
      <c r="Q150" s="390"/>
    </row>
    <row r="151" spans="1:17">
      <c r="A151" s="390"/>
      <c r="B151" s="64"/>
      <c r="C151" s="390"/>
      <c r="D151" s="390"/>
      <c r="E151" s="390"/>
      <c r="F151" s="64"/>
      <c r="G151" s="64"/>
      <c r="H151" s="64"/>
      <c r="I151" s="390"/>
      <c r="J151" s="390"/>
      <c r="K151" s="390"/>
      <c r="L151" s="390"/>
      <c r="M151" s="390"/>
      <c r="N151" s="390"/>
      <c r="O151" s="12"/>
      <c r="Q151" s="390"/>
    </row>
    <row r="152" spans="1:17">
      <c r="A152" s="390"/>
      <c r="B152" s="64"/>
      <c r="C152" s="390"/>
      <c r="D152" s="390"/>
      <c r="E152" s="390"/>
      <c r="F152" s="64"/>
      <c r="G152" s="64"/>
      <c r="H152" s="64"/>
      <c r="I152" s="390"/>
      <c r="J152" s="390"/>
      <c r="K152" s="390"/>
      <c r="L152" s="390"/>
      <c r="M152" s="390"/>
      <c r="N152" s="390"/>
      <c r="O152" s="12"/>
      <c r="Q152" s="390"/>
    </row>
    <row r="153" spans="1:17">
      <c r="A153" s="390"/>
      <c r="B153" s="64"/>
      <c r="C153" s="390"/>
      <c r="D153" s="390"/>
      <c r="E153" s="390"/>
      <c r="F153" s="64"/>
      <c r="G153" s="64"/>
      <c r="H153" s="64"/>
      <c r="I153" s="390"/>
      <c r="J153" s="390"/>
      <c r="K153" s="390"/>
      <c r="L153" s="390"/>
      <c r="M153" s="390"/>
      <c r="N153" s="390"/>
      <c r="O153" s="12"/>
      <c r="Q153" s="390"/>
    </row>
    <row r="154" spans="1:17">
      <c r="A154" s="390"/>
      <c r="B154" s="64"/>
      <c r="C154" s="390"/>
      <c r="D154" s="390"/>
      <c r="E154" s="390"/>
      <c r="F154" s="64"/>
      <c r="G154" s="64"/>
      <c r="H154" s="64"/>
      <c r="I154" s="390"/>
      <c r="J154" s="390"/>
      <c r="K154" s="390"/>
      <c r="L154" s="390"/>
      <c r="M154" s="390"/>
      <c r="N154" s="390"/>
      <c r="O154" s="12"/>
      <c r="Q154" s="390"/>
    </row>
    <row r="155" spans="1:17">
      <c r="A155" s="390"/>
      <c r="B155" s="64"/>
      <c r="C155" s="390"/>
      <c r="D155" s="390"/>
      <c r="E155" s="390"/>
      <c r="F155" s="64"/>
      <c r="G155" s="64"/>
      <c r="H155" s="64"/>
      <c r="I155" s="390"/>
      <c r="J155" s="390"/>
      <c r="K155" s="390"/>
      <c r="L155" s="390"/>
      <c r="M155" s="390"/>
      <c r="N155" s="390"/>
      <c r="O155" s="12"/>
      <c r="Q155" s="390"/>
    </row>
    <row r="156" spans="1:17">
      <c r="A156" s="390"/>
      <c r="B156" s="64"/>
      <c r="C156" s="390"/>
      <c r="D156" s="390"/>
      <c r="E156" s="390"/>
      <c r="F156" s="64"/>
      <c r="G156" s="64"/>
      <c r="H156" s="64"/>
      <c r="I156" s="390"/>
      <c r="J156" s="390"/>
      <c r="K156" s="390"/>
      <c r="L156" s="390"/>
      <c r="M156" s="390"/>
      <c r="N156" s="390"/>
      <c r="O156" s="12"/>
      <c r="Q156" s="390"/>
    </row>
    <row r="157" spans="1:17">
      <c r="A157" s="390"/>
      <c r="B157" s="64"/>
      <c r="C157" s="390"/>
      <c r="D157" s="390"/>
      <c r="E157" s="390"/>
      <c r="F157" s="64"/>
      <c r="G157" s="64"/>
      <c r="H157" s="64"/>
      <c r="I157" s="390"/>
      <c r="J157" s="390"/>
      <c r="K157" s="390"/>
      <c r="L157" s="390"/>
      <c r="M157" s="390"/>
      <c r="N157" s="390"/>
      <c r="O157" s="12"/>
      <c r="Q157" s="390"/>
    </row>
    <row r="158" spans="1:17">
      <c r="A158" s="390"/>
      <c r="B158" s="64"/>
      <c r="C158" s="390"/>
      <c r="D158" s="390"/>
      <c r="E158" s="390"/>
      <c r="F158" s="64"/>
      <c r="G158" s="64"/>
      <c r="H158" s="64"/>
      <c r="I158" s="390"/>
      <c r="J158" s="390"/>
      <c r="K158" s="390"/>
      <c r="L158" s="390"/>
      <c r="M158" s="390"/>
      <c r="N158" s="390"/>
      <c r="O158" s="12"/>
      <c r="Q158" s="390"/>
    </row>
    <row r="159" spans="1:17">
      <c r="A159" s="390"/>
      <c r="B159" s="64"/>
      <c r="C159" s="390"/>
      <c r="D159" s="390"/>
      <c r="E159" s="390"/>
      <c r="F159" s="64"/>
      <c r="G159" s="64"/>
      <c r="H159" s="64"/>
      <c r="I159" s="390"/>
      <c r="J159" s="390"/>
      <c r="K159" s="390"/>
      <c r="L159" s="390"/>
      <c r="M159" s="390"/>
      <c r="N159" s="390"/>
      <c r="O159" s="12"/>
      <c r="Q159" s="390"/>
    </row>
    <row r="160" spans="1:17">
      <c r="A160" s="390"/>
      <c r="B160" s="64"/>
      <c r="C160" s="390"/>
      <c r="D160" s="390"/>
      <c r="E160" s="390"/>
      <c r="F160" s="64"/>
      <c r="G160" s="64"/>
      <c r="H160" s="64"/>
      <c r="I160" s="390"/>
      <c r="J160" s="390"/>
      <c r="K160" s="390"/>
      <c r="L160" s="390"/>
      <c r="M160" s="390"/>
      <c r="N160" s="390"/>
      <c r="O160" s="12"/>
      <c r="Q160" s="390"/>
    </row>
    <row r="161" spans="1:17">
      <c r="A161" s="390"/>
      <c r="B161" s="64"/>
      <c r="C161" s="390"/>
      <c r="D161" s="390"/>
      <c r="E161" s="390"/>
      <c r="F161" s="64"/>
      <c r="G161" s="64"/>
      <c r="H161" s="64"/>
      <c r="I161" s="390"/>
      <c r="J161" s="390"/>
      <c r="K161" s="390"/>
      <c r="L161" s="390"/>
      <c r="M161" s="390"/>
      <c r="N161" s="390"/>
      <c r="O161" s="12"/>
      <c r="Q161" s="390"/>
    </row>
    <row r="162" spans="1:17">
      <c r="A162" s="390"/>
      <c r="B162" s="64"/>
      <c r="C162" s="390"/>
      <c r="D162" s="390"/>
      <c r="E162" s="390"/>
      <c r="F162" s="64"/>
      <c r="G162" s="64"/>
      <c r="H162" s="64"/>
      <c r="I162" s="390"/>
      <c r="J162" s="390"/>
      <c r="K162" s="390"/>
      <c r="L162" s="390"/>
      <c r="M162" s="390"/>
      <c r="N162" s="390"/>
      <c r="O162" s="12"/>
      <c r="Q162" s="390"/>
    </row>
    <row r="163" spans="1:17">
      <c r="A163" s="390"/>
      <c r="B163" s="64"/>
      <c r="C163" s="390"/>
      <c r="D163" s="390"/>
      <c r="E163" s="390"/>
      <c r="F163" s="64"/>
      <c r="G163" s="64"/>
      <c r="H163" s="64"/>
      <c r="I163" s="390"/>
      <c r="J163" s="390"/>
      <c r="K163" s="390"/>
      <c r="L163" s="390"/>
      <c r="M163" s="390"/>
      <c r="N163" s="390"/>
      <c r="O163" s="12"/>
      <c r="Q163" s="390"/>
    </row>
    <row r="164" spans="1:17">
      <c r="A164" s="390"/>
      <c r="B164" s="64"/>
      <c r="C164" s="390"/>
      <c r="D164" s="390"/>
      <c r="E164" s="390"/>
      <c r="F164" s="64"/>
      <c r="G164" s="64"/>
      <c r="H164" s="64"/>
      <c r="I164" s="390"/>
      <c r="J164" s="390"/>
      <c r="K164" s="390"/>
      <c r="L164" s="390"/>
      <c r="M164" s="390"/>
      <c r="N164" s="390"/>
      <c r="O164" s="12"/>
      <c r="Q164" s="390"/>
    </row>
    <row r="165" spans="1:17">
      <c r="A165" s="390"/>
      <c r="B165" s="64"/>
      <c r="C165" s="390"/>
      <c r="D165" s="390"/>
      <c r="E165" s="390"/>
      <c r="F165" s="64"/>
      <c r="G165" s="64"/>
      <c r="H165" s="64"/>
      <c r="I165" s="390"/>
      <c r="J165" s="390"/>
      <c r="K165" s="390"/>
      <c r="L165" s="390"/>
      <c r="M165" s="390"/>
      <c r="N165" s="390"/>
      <c r="O165" s="12"/>
      <c r="Q165" s="390"/>
    </row>
    <row r="166" spans="1:17">
      <c r="A166" s="390"/>
      <c r="B166" s="64"/>
      <c r="C166" s="390"/>
      <c r="D166" s="390"/>
      <c r="E166" s="390"/>
      <c r="F166" s="64"/>
      <c r="G166" s="64"/>
      <c r="H166" s="64"/>
      <c r="I166" s="390"/>
      <c r="J166" s="390"/>
      <c r="K166" s="390"/>
      <c r="L166" s="390"/>
      <c r="M166" s="390"/>
      <c r="N166" s="390"/>
      <c r="O166" s="12"/>
      <c r="Q166" s="390"/>
    </row>
    <row r="167" spans="1:17">
      <c r="A167" s="390"/>
      <c r="B167" s="64"/>
      <c r="C167" s="390"/>
      <c r="D167" s="390"/>
      <c r="E167" s="390"/>
      <c r="F167" s="64"/>
      <c r="G167" s="64"/>
      <c r="H167" s="64"/>
      <c r="I167" s="390"/>
      <c r="J167" s="390"/>
      <c r="K167" s="390"/>
      <c r="L167" s="390"/>
      <c r="M167" s="390"/>
      <c r="N167" s="390"/>
      <c r="O167" s="12"/>
      <c r="Q167" s="390"/>
    </row>
    <row r="168" spans="1:17">
      <c r="A168" s="390"/>
      <c r="B168" s="64"/>
      <c r="C168" s="390"/>
      <c r="D168" s="390"/>
      <c r="E168" s="390"/>
      <c r="F168" s="64"/>
      <c r="G168" s="64"/>
      <c r="H168" s="64"/>
      <c r="I168" s="390"/>
      <c r="J168" s="390"/>
      <c r="K168" s="390"/>
      <c r="L168" s="390"/>
      <c r="M168" s="390"/>
      <c r="N168" s="390"/>
      <c r="O168" s="12"/>
      <c r="Q168" s="390"/>
    </row>
    <row r="169" spans="1:17">
      <c r="A169" s="390"/>
      <c r="B169" s="64"/>
      <c r="C169" s="390"/>
      <c r="D169" s="390"/>
      <c r="E169" s="390"/>
      <c r="F169" s="64"/>
      <c r="G169" s="64"/>
      <c r="H169" s="64"/>
      <c r="I169" s="390"/>
      <c r="J169" s="390"/>
      <c r="K169" s="390"/>
      <c r="L169" s="390"/>
      <c r="M169" s="390"/>
      <c r="N169" s="390"/>
      <c r="O169" s="12"/>
      <c r="Q169" s="390"/>
    </row>
    <row r="170" spans="1:17">
      <c r="A170" s="390"/>
      <c r="B170" s="64"/>
      <c r="C170" s="390"/>
      <c r="D170" s="390"/>
      <c r="E170" s="390"/>
      <c r="F170" s="64"/>
      <c r="G170" s="64"/>
      <c r="H170" s="64"/>
      <c r="I170" s="390"/>
      <c r="J170" s="390"/>
      <c r="K170" s="390"/>
      <c r="L170" s="390"/>
      <c r="M170" s="390"/>
      <c r="N170" s="390"/>
      <c r="O170" s="12"/>
      <c r="Q170" s="390"/>
    </row>
    <row r="171" spans="1:17">
      <c r="A171" s="390"/>
      <c r="B171" s="64"/>
      <c r="C171" s="390"/>
      <c r="D171" s="390"/>
      <c r="E171" s="390"/>
      <c r="F171" s="64"/>
      <c r="G171" s="64"/>
      <c r="H171" s="64"/>
      <c r="I171" s="390"/>
      <c r="J171" s="390"/>
      <c r="K171" s="390"/>
      <c r="L171" s="390"/>
      <c r="M171" s="390"/>
      <c r="N171" s="390"/>
      <c r="O171" s="12"/>
      <c r="Q171" s="390"/>
    </row>
    <row r="172" spans="1:17">
      <c r="A172" s="390"/>
      <c r="B172" s="64"/>
      <c r="C172" s="390"/>
      <c r="D172" s="390"/>
      <c r="E172" s="390"/>
      <c r="F172" s="64"/>
      <c r="G172" s="64"/>
      <c r="H172" s="64"/>
      <c r="I172" s="390"/>
      <c r="J172" s="390"/>
      <c r="K172" s="390"/>
      <c r="L172" s="390"/>
      <c r="M172" s="390"/>
      <c r="N172" s="390"/>
      <c r="O172" s="12"/>
      <c r="Q172" s="390"/>
    </row>
    <row r="173" spans="1:17">
      <c r="A173" s="390"/>
      <c r="B173" s="64"/>
      <c r="C173" s="390"/>
      <c r="D173" s="390"/>
      <c r="E173" s="390"/>
      <c r="F173" s="64"/>
      <c r="G173" s="64"/>
      <c r="H173" s="64"/>
      <c r="I173" s="390"/>
      <c r="J173" s="390"/>
      <c r="K173" s="390"/>
      <c r="L173" s="390"/>
      <c r="M173" s="390"/>
      <c r="N173" s="390"/>
      <c r="O173" s="12"/>
      <c r="Q173" s="390"/>
    </row>
    <row r="174" spans="1:17">
      <c r="A174" s="390"/>
      <c r="B174" s="64"/>
      <c r="C174" s="390"/>
      <c r="D174" s="390"/>
      <c r="E174" s="390"/>
      <c r="F174" s="64"/>
      <c r="G174" s="64"/>
      <c r="H174" s="64"/>
      <c r="I174" s="390"/>
      <c r="J174" s="390"/>
      <c r="K174" s="390"/>
      <c r="L174" s="390"/>
      <c r="M174" s="390"/>
      <c r="N174" s="390"/>
      <c r="O174" s="12"/>
      <c r="Q174" s="390"/>
    </row>
    <row r="175" spans="1:17">
      <c r="A175" s="390"/>
      <c r="B175" s="64"/>
      <c r="C175" s="390"/>
      <c r="D175" s="390"/>
      <c r="E175" s="390"/>
      <c r="F175" s="64"/>
      <c r="G175" s="64"/>
      <c r="H175" s="64"/>
      <c r="I175" s="390"/>
      <c r="J175" s="390"/>
      <c r="K175" s="390"/>
      <c r="L175" s="390"/>
      <c r="M175" s="390"/>
      <c r="N175" s="390"/>
      <c r="O175" s="12"/>
      <c r="Q175" s="390"/>
    </row>
    <row r="176" spans="1:17">
      <c r="A176" s="390"/>
      <c r="B176" s="64"/>
      <c r="C176" s="390"/>
      <c r="D176" s="390"/>
      <c r="E176" s="390"/>
      <c r="F176" s="64"/>
      <c r="G176" s="64"/>
      <c r="H176" s="64"/>
      <c r="I176" s="390"/>
      <c r="J176" s="390"/>
      <c r="K176" s="390"/>
      <c r="L176" s="390"/>
      <c r="M176" s="390"/>
      <c r="N176" s="390"/>
      <c r="O176" s="12"/>
      <c r="Q176" s="390"/>
    </row>
    <row r="177" spans="1:17">
      <c r="A177" s="390"/>
      <c r="B177" s="64"/>
      <c r="C177" s="390"/>
      <c r="D177" s="390"/>
      <c r="E177" s="390"/>
      <c r="F177" s="64"/>
      <c r="G177" s="64"/>
      <c r="H177" s="64"/>
      <c r="I177" s="390"/>
      <c r="J177" s="390"/>
      <c r="K177" s="390"/>
      <c r="L177" s="390"/>
      <c r="M177" s="390"/>
      <c r="N177" s="390"/>
      <c r="O177" s="12"/>
      <c r="Q177" s="390"/>
    </row>
    <row r="178" spans="1:17">
      <c r="A178" s="390"/>
      <c r="B178" s="64"/>
      <c r="C178" s="390"/>
      <c r="D178" s="390"/>
      <c r="E178" s="390"/>
      <c r="F178" s="64"/>
      <c r="G178" s="64"/>
      <c r="H178" s="64"/>
      <c r="I178" s="390"/>
      <c r="J178" s="390"/>
      <c r="K178" s="390"/>
      <c r="L178" s="390"/>
      <c r="M178" s="390"/>
      <c r="N178" s="390"/>
      <c r="O178" s="12"/>
      <c r="Q178" s="390"/>
    </row>
    <row r="179" spans="1:17">
      <c r="A179" s="390"/>
      <c r="B179" s="64"/>
      <c r="C179" s="390"/>
      <c r="D179" s="390"/>
      <c r="E179" s="390"/>
      <c r="F179" s="64"/>
      <c r="G179" s="64"/>
      <c r="H179" s="64"/>
      <c r="I179" s="390"/>
      <c r="J179" s="390"/>
      <c r="K179" s="390"/>
      <c r="L179" s="390"/>
      <c r="M179" s="390"/>
      <c r="N179" s="390"/>
      <c r="O179" s="12"/>
      <c r="Q179" s="390"/>
    </row>
  </sheetData>
  <dataConsolidate/>
  <mergeCells count="33">
    <mergeCell ref="A55:A56"/>
    <mergeCell ref="AF65:AK65"/>
    <mergeCell ref="S19:X19"/>
    <mergeCell ref="A49:A50"/>
    <mergeCell ref="A51:A52"/>
    <mergeCell ref="A41:A43"/>
    <mergeCell ref="A45:A48"/>
    <mergeCell ref="A36:A37"/>
    <mergeCell ref="A39:A40"/>
    <mergeCell ref="P25:Q25"/>
    <mergeCell ref="A26:A27"/>
    <mergeCell ref="A28:A32"/>
    <mergeCell ref="A33:A35"/>
    <mergeCell ref="A15:A20"/>
    <mergeCell ref="V12:W12"/>
    <mergeCell ref="S38:X38"/>
    <mergeCell ref="AA32:AF32"/>
    <mergeCell ref="A53:A54"/>
    <mergeCell ref="P15:Q20"/>
    <mergeCell ref="A21:A24"/>
    <mergeCell ref="P21:Q24"/>
    <mergeCell ref="A6:A8"/>
    <mergeCell ref="P6:Q8"/>
    <mergeCell ref="A9:A13"/>
    <mergeCell ref="P9:Q13"/>
    <mergeCell ref="S1:U1"/>
    <mergeCell ref="P3:Q3"/>
    <mergeCell ref="A4:A5"/>
    <mergeCell ref="P4:Q4"/>
    <mergeCell ref="C1:I1"/>
    <mergeCell ref="J1:N1"/>
    <mergeCell ref="O1:Q1"/>
    <mergeCell ref="S9:U9"/>
  </mergeCells>
  <conditionalFormatting sqref="N3:N56">
    <cfRule type="cellIs" dxfId="70" priority="7" operator="lessThan">
      <formula>0</formula>
    </cfRule>
  </conditionalFormatting>
  <conditionalFormatting sqref="L3:L56">
    <cfRule type="expression" dxfId="69" priority="6">
      <formula>(L3&lt;E3)</formula>
    </cfRule>
  </conditionalFormatting>
  <conditionalFormatting sqref="Y55:AD61 Z50:AD54">
    <cfRule type="cellIs" dxfId="68" priority="5" operator="greaterThan">
      <formula>0</formula>
    </cfRule>
  </conditionalFormatting>
  <conditionalFormatting sqref="T21:Y32">
    <cfRule type="cellIs" dxfId="67" priority="4" operator="greaterThan">
      <formula>0</formula>
    </cfRule>
  </conditionalFormatting>
  <conditionalFormatting sqref="AG67:AL78">
    <cfRule type="cellIs" dxfId="66" priority="3" operator="greaterThan">
      <formula>0</formula>
    </cfRule>
  </conditionalFormatting>
  <conditionalFormatting sqref="T40:Y51">
    <cfRule type="cellIs" dxfId="65" priority="2" operator="greaterThan">
      <formula>0</formula>
    </cfRule>
  </conditionalFormatting>
  <conditionalFormatting sqref="AB34:AG45">
    <cfRule type="cellIs" dxfId="64" priority="1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79"/>
  <sheetViews>
    <sheetView topLeftCell="U13" zoomScaleNormal="100" workbookViewId="0">
      <selection activeCell="AI27" sqref="AI27:AO43"/>
    </sheetView>
  </sheetViews>
  <sheetFormatPr defaultColWidth="9" defaultRowHeight="12.75"/>
  <cols>
    <col min="1" max="1" width="13.42578125" style="5" customWidth="1"/>
    <col min="2" max="2" width="22.7109375" style="63" customWidth="1"/>
    <col min="3" max="3" width="26.7109375" style="59" customWidth="1"/>
    <col min="4" max="4" width="16.85546875" style="59" customWidth="1"/>
    <col min="5" max="5" width="16.7109375" style="62" customWidth="1"/>
    <col min="6" max="6" width="23.7109375" style="61" customWidth="1"/>
    <col min="7" max="7" width="16.140625" style="59" customWidth="1"/>
    <col min="8" max="8" width="28.85546875" style="59" customWidth="1"/>
    <col min="9" max="9" width="17.7109375" style="59" customWidth="1"/>
    <col min="10" max="10" width="29.140625" style="59" customWidth="1"/>
    <col min="11" max="11" width="34.7109375" style="59" customWidth="1"/>
    <col min="12" max="12" width="19.5703125" style="59" customWidth="1"/>
    <col min="13" max="13" width="17.5703125" style="62" customWidth="1"/>
    <col min="14" max="14" width="26.5703125" style="10" customWidth="1"/>
    <col min="15" max="15" width="21.42578125" style="10" customWidth="1"/>
    <col min="16" max="16" width="24.42578125" style="10" customWidth="1"/>
    <col min="17" max="17" width="27.42578125" style="59" customWidth="1"/>
    <col min="18" max="18" width="23" style="58" customWidth="1"/>
    <col min="19" max="19" width="36.42578125" style="5" customWidth="1"/>
    <col min="20" max="20" width="38.5703125" style="5" customWidth="1"/>
    <col min="21" max="21" width="21.5703125" style="5" customWidth="1"/>
    <col min="22" max="22" width="13.7109375" style="5" customWidth="1"/>
    <col min="23" max="23" width="26.140625" style="5" customWidth="1"/>
    <col min="24" max="24" width="19.140625" style="5" customWidth="1"/>
    <col min="25" max="16384" width="9" style="5"/>
  </cols>
  <sheetData>
    <row r="1" spans="1:38" ht="14.25" customHeight="1">
      <c r="A1" s="199"/>
      <c r="B1" s="200"/>
      <c r="C1" s="516" t="s">
        <v>453</v>
      </c>
      <c r="D1" s="517"/>
      <c r="E1" s="517"/>
      <c r="F1" s="517"/>
      <c r="G1" s="518"/>
      <c r="H1" s="284"/>
      <c r="I1" s="285"/>
      <c r="J1" s="285"/>
      <c r="K1" s="282"/>
      <c r="L1" s="282"/>
      <c r="M1" s="283"/>
      <c r="N1" s="7"/>
      <c r="O1" s="7"/>
      <c r="P1" s="7"/>
      <c r="Q1" s="7"/>
    </row>
    <row r="2" spans="1:38" ht="13.5" thickBot="1">
      <c r="A2" s="199" t="s">
        <v>451</v>
      </c>
      <c r="B2" s="198" t="s">
        <v>450</v>
      </c>
      <c r="C2" s="197" t="s">
        <v>449</v>
      </c>
      <c r="D2" s="196" t="s">
        <v>34</v>
      </c>
      <c r="E2" s="196" t="s">
        <v>33</v>
      </c>
      <c r="F2" s="196" t="s">
        <v>448</v>
      </c>
      <c r="G2" s="196" t="s">
        <v>460</v>
      </c>
      <c r="H2" s="196" t="s">
        <v>461</v>
      </c>
      <c r="I2" s="196" t="s">
        <v>445</v>
      </c>
      <c r="J2" s="264" t="s">
        <v>458</v>
      </c>
      <c r="K2" s="194" t="s">
        <v>447</v>
      </c>
      <c r="L2" s="194" t="s">
        <v>34</v>
      </c>
      <c r="M2" s="194" t="s">
        <v>33</v>
      </c>
      <c r="N2" s="193" t="s">
        <v>446</v>
      </c>
      <c r="O2" s="192" t="s">
        <v>460</v>
      </c>
      <c r="P2" s="192" t="s">
        <v>461</v>
      </c>
      <c r="Q2" s="192" t="s">
        <v>445</v>
      </c>
      <c r="R2" s="252" t="s">
        <v>457</v>
      </c>
    </row>
    <row r="3" spans="1:38" ht="13.5" thickBot="1">
      <c r="A3" s="164" t="s">
        <v>439</v>
      </c>
      <c r="B3" s="186" t="s">
        <v>438</v>
      </c>
      <c r="C3" s="185" t="s">
        <v>437</v>
      </c>
      <c r="D3" s="184">
        <v>386.9</v>
      </c>
      <c r="E3" s="184">
        <v>200</v>
      </c>
      <c r="F3" s="184">
        <v>131.95400000000001</v>
      </c>
      <c r="G3" s="184">
        <v>0.5</v>
      </c>
      <c r="H3" s="184">
        <f>F3*G3</f>
        <v>65.977000000000004</v>
      </c>
      <c r="I3" s="184">
        <f>E3-H3</f>
        <v>134.023</v>
      </c>
      <c r="J3" s="184">
        <f>H3/E3*100</f>
        <v>32.988500000000002</v>
      </c>
      <c r="K3" s="182" t="s">
        <v>436</v>
      </c>
      <c r="L3" s="182">
        <v>598.85</v>
      </c>
      <c r="M3" s="182">
        <v>150</v>
      </c>
      <c r="N3" s="181">
        <f t="shared" ref="N3:N13" si="0">F3</f>
        <v>131.95400000000001</v>
      </c>
      <c r="O3" s="182">
        <v>0.5</v>
      </c>
      <c r="P3" s="181">
        <f>N3*O3</f>
        <v>65.977000000000004</v>
      </c>
      <c r="Q3" s="251">
        <f>M3-P3</f>
        <v>84.022999999999996</v>
      </c>
      <c r="R3" s="181" t="str">
        <f t="shared" ref="R3:R9" si="1">IF(Q3&gt;=0,"No","Yes")</f>
        <v>No</v>
      </c>
    </row>
    <row r="4" spans="1:38" ht="13.5" thickBot="1">
      <c r="A4" s="519" t="s">
        <v>44</v>
      </c>
      <c r="B4" s="179" t="s">
        <v>3</v>
      </c>
      <c r="C4" s="178" t="s">
        <v>44</v>
      </c>
      <c r="D4" s="177">
        <v>424.31</v>
      </c>
      <c r="E4" s="177">
        <v>200</v>
      </c>
      <c r="F4" s="177">
        <v>79.758499999999998</v>
      </c>
      <c r="G4" s="85">
        <v>0.5</v>
      </c>
      <c r="H4" s="85">
        <f t="shared" ref="H4:H56" si="2">F4*G4</f>
        <v>39.879249999999999</v>
      </c>
      <c r="I4" s="85">
        <f t="shared" ref="I4:I13" si="3">E4-H4</f>
        <v>160.12074999999999</v>
      </c>
      <c r="J4" s="184">
        <f t="shared" ref="J4:J13" si="4">H4/E4*100</f>
        <v>19.939624999999999</v>
      </c>
      <c r="K4" s="176" t="s">
        <v>435</v>
      </c>
      <c r="L4" s="176">
        <v>561.44000000000005</v>
      </c>
      <c r="M4" s="176">
        <v>150</v>
      </c>
      <c r="N4" s="175">
        <f t="shared" si="0"/>
        <v>79.758499999999998</v>
      </c>
      <c r="O4" s="83">
        <v>0.5</v>
      </c>
      <c r="P4" s="82">
        <f t="shared" ref="P4:P56" si="5">N4*O4</f>
        <v>39.879249999999999</v>
      </c>
      <c r="Q4" s="251">
        <f t="shared" ref="Q4:Q13" si="6">M4-P4</f>
        <v>110.12075</v>
      </c>
      <c r="R4" s="182" t="str">
        <f t="shared" si="1"/>
        <v>No</v>
      </c>
    </row>
    <row r="5" spans="1:38" ht="14.25" customHeight="1" thickBot="1">
      <c r="A5" s="499"/>
      <c r="B5" s="63" t="s">
        <v>25</v>
      </c>
      <c r="C5" s="114" t="s">
        <v>65</v>
      </c>
      <c r="D5" s="94">
        <v>645.40499999999997</v>
      </c>
      <c r="E5" s="94">
        <v>150</v>
      </c>
      <c r="F5" s="94">
        <v>101.52370000000001</v>
      </c>
      <c r="G5" s="73">
        <v>0.5</v>
      </c>
      <c r="H5" s="73">
        <f t="shared" si="2"/>
        <v>50.761850000000003</v>
      </c>
      <c r="I5" s="73">
        <f t="shared" si="3"/>
        <v>99.23814999999999</v>
      </c>
      <c r="J5" s="184">
        <f t="shared" si="4"/>
        <v>33.841233333333335</v>
      </c>
      <c r="K5" s="92" t="s">
        <v>430</v>
      </c>
      <c r="L5" s="92">
        <v>691.82</v>
      </c>
      <c r="M5" s="92">
        <v>150</v>
      </c>
      <c r="N5" s="91">
        <f t="shared" si="0"/>
        <v>101.52370000000001</v>
      </c>
      <c r="O5" s="72">
        <v>0.5</v>
      </c>
      <c r="P5" s="119">
        <f t="shared" si="5"/>
        <v>50.761850000000003</v>
      </c>
      <c r="Q5" s="251">
        <f t="shared" si="6"/>
        <v>99.23814999999999</v>
      </c>
      <c r="R5" s="182" t="str">
        <f t="shared" si="1"/>
        <v>No</v>
      </c>
    </row>
    <row r="6" spans="1:38" ht="13.5" thickBot="1">
      <c r="A6" s="497" t="s">
        <v>434</v>
      </c>
      <c r="B6" s="87" t="s">
        <v>433</v>
      </c>
      <c r="C6" s="86" t="s">
        <v>392</v>
      </c>
      <c r="D6" s="85">
        <v>774.56</v>
      </c>
      <c r="E6" s="85">
        <v>450</v>
      </c>
      <c r="F6" s="85">
        <v>593.39</v>
      </c>
      <c r="G6" s="85">
        <v>0.5</v>
      </c>
      <c r="H6" s="85">
        <f t="shared" si="2"/>
        <v>296.69499999999999</v>
      </c>
      <c r="I6" s="85">
        <f t="shared" si="3"/>
        <v>153.30500000000001</v>
      </c>
      <c r="J6" s="184">
        <f t="shared" si="4"/>
        <v>65.932222222222222</v>
      </c>
      <c r="K6" s="83" t="s">
        <v>432</v>
      </c>
      <c r="L6" s="83">
        <v>778.62</v>
      </c>
      <c r="M6" s="83">
        <v>450</v>
      </c>
      <c r="N6" s="82">
        <f t="shared" si="0"/>
        <v>593.39</v>
      </c>
      <c r="O6" s="83">
        <v>0.5</v>
      </c>
      <c r="P6" s="82">
        <f t="shared" si="5"/>
        <v>296.69499999999999</v>
      </c>
      <c r="Q6" s="251">
        <f t="shared" si="6"/>
        <v>153.30500000000001</v>
      </c>
      <c r="R6" s="182" t="str">
        <f t="shared" si="1"/>
        <v>No</v>
      </c>
    </row>
    <row r="7" spans="1:38" ht="14.25" customHeight="1" thickBot="1">
      <c r="A7" s="499"/>
      <c r="B7" s="96" t="s">
        <v>4</v>
      </c>
      <c r="C7" s="95" t="s">
        <v>45</v>
      </c>
      <c r="D7" s="108">
        <v>221.095</v>
      </c>
      <c r="E7" s="108">
        <v>250</v>
      </c>
      <c r="F7" s="108">
        <v>165.54</v>
      </c>
      <c r="G7" s="94">
        <v>0.5</v>
      </c>
      <c r="H7" s="94">
        <f t="shared" si="2"/>
        <v>82.77</v>
      </c>
      <c r="I7" s="94">
        <f t="shared" si="3"/>
        <v>167.23000000000002</v>
      </c>
      <c r="J7" s="184">
        <f t="shared" si="4"/>
        <v>33.107999999999997</v>
      </c>
      <c r="K7" s="106" t="s">
        <v>431</v>
      </c>
      <c r="L7" s="106">
        <v>904.18</v>
      </c>
      <c r="M7" s="106">
        <v>150</v>
      </c>
      <c r="N7" s="105">
        <f t="shared" si="0"/>
        <v>165.54</v>
      </c>
      <c r="O7" s="92">
        <v>0.5</v>
      </c>
      <c r="P7" s="91">
        <f t="shared" si="5"/>
        <v>82.77</v>
      </c>
      <c r="Q7" s="251">
        <f t="shared" si="6"/>
        <v>67.23</v>
      </c>
      <c r="R7" s="263" t="str">
        <f t="shared" si="1"/>
        <v>No</v>
      </c>
    </row>
    <row r="8" spans="1:38" ht="14.25" customHeight="1" thickBot="1">
      <c r="A8" s="499"/>
      <c r="B8" s="96" t="s">
        <v>25</v>
      </c>
      <c r="C8" s="95" t="s">
        <v>65</v>
      </c>
      <c r="D8" s="94">
        <v>645.40499999999997</v>
      </c>
      <c r="E8" s="94">
        <v>150</v>
      </c>
      <c r="F8" s="94">
        <v>101.52370000000001</v>
      </c>
      <c r="G8" s="73">
        <v>0.5</v>
      </c>
      <c r="H8" s="73">
        <f t="shared" si="2"/>
        <v>50.761850000000003</v>
      </c>
      <c r="I8" s="73">
        <f t="shared" si="3"/>
        <v>99.23814999999999</v>
      </c>
      <c r="J8" s="184">
        <f t="shared" si="4"/>
        <v>33.841233333333335</v>
      </c>
      <c r="K8" s="92" t="s">
        <v>430</v>
      </c>
      <c r="L8" s="92">
        <v>691.82</v>
      </c>
      <c r="M8" s="92">
        <v>150</v>
      </c>
      <c r="N8" s="91">
        <f t="shared" si="0"/>
        <v>101.52370000000001</v>
      </c>
      <c r="O8" s="72">
        <v>0.5</v>
      </c>
      <c r="P8" s="119">
        <f t="shared" si="5"/>
        <v>50.761850000000003</v>
      </c>
      <c r="Q8" s="251">
        <f t="shared" si="6"/>
        <v>99.23814999999999</v>
      </c>
      <c r="R8" s="182" t="str">
        <f t="shared" si="1"/>
        <v>No</v>
      </c>
    </row>
    <row r="9" spans="1:38" ht="13.5" thickBot="1">
      <c r="A9" s="497" t="s">
        <v>46</v>
      </c>
      <c r="B9" s="87" t="s">
        <v>5</v>
      </c>
      <c r="C9" s="86" t="s">
        <v>46</v>
      </c>
      <c r="D9" s="85">
        <v>87.444999999999993</v>
      </c>
      <c r="E9" s="85">
        <v>300</v>
      </c>
      <c r="F9" s="85">
        <v>330.03719999999998</v>
      </c>
      <c r="G9" s="85">
        <v>0.5</v>
      </c>
      <c r="H9" s="85">
        <f t="shared" si="2"/>
        <v>165.01859999999999</v>
      </c>
      <c r="I9" s="85">
        <f t="shared" si="3"/>
        <v>134.98140000000001</v>
      </c>
      <c r="J9" s="184">
        <f t="shared" si="4"/>
        <v>55.006199999999993</v>
      </c>
      <c r="K9" s="83" t="s">
        <v>429</v>
      </c>
      <c r="L9" s="83">
        <v>243.73500000000001</v>
      </c>
      <c r="M9" s="83">
        <v>250</v>
      </c>
      <c r="N9" s="82">
        <f t="shared" si="0"/>
        <v>330.03719999999998</v>
      </c>
      <c r="O9" s="83">
        <v>0.5</v>
      </c>
      <c r="P9" s="82">
        <f t="shared" si="5"/>
        <v>165.01859999999999</v>
      </c>
      <c r="Q9" s="251">
        <f t="shared" si="6"/>
        <v>84.981400000000008</v>
      </c>
      <c r="R9" s="181" t="str">
        <f t="shared" si="1"/>
        <v>No</v>
      </c>
    </row>
    <row r="10" spans="1:38" ht="14.25" customHeight="1" thickBot="1">
      <c r="A10" s="499"/>
      <c r="B10" s="96" t="s">
        <v>7</v>
      </c>
      <c r="C10" s="95" t="s">
        <v>48</v>
      </c>
      <c r="D10" s="108">
        <v>457.755</v>
      </c>
      <c r="E10" s="108">
        <v>200</v>
      </c>
      <c r="F10" s="108">
        <v>200.11</v>
      </c>
      <c r="G10" s="94">
        <v>0.5</v>
      </c>
      <c r="H10" s="94">
        <f t="shared" si="2"/>
        <v>100.05500000000001</v>
      </c>
      <c r="I10" s="94">
        <f t="shared" si="3"/>
        <v>99.944999999999993</v>
      </c>
      <c r="J10" s="184">
        <f t="shared" si="4"/>
        <v>50.027500000000003</v>
      </c>
      <c r="K10" s="106" t="s">
        <v>428</v>
      </c>
      <c r="L10" s="106">
        <v>614.06500000000005</v>
      </c>
      <c r="M10" s="106">
        <v>150</v>
      </c>
      <c r="N10" s="105">
        <f t="shared" si="0"/>
        <v>200.11</v>
      </c>
      <c r="O10" s="92">
        <v>0.5</v>
      </c>
      <c r="P10" s="91">
        <f t="shared" si="5"/>
        <v>100.05500000000001</v>
      </c>
      <c r="Q10" s="251">
        <f t="shared" si="6"/>
        <v>49.944999999999993</v>
      </c>
      <c r="R10" s="260" t="s">
        <v>455</v>
      </c>
    </row>
    <row r="11" spans="1:38" ht="14.25" customHeight="1" thickBot="1">
      <c r="A11" s="499"/>
      <c r="B11" s="96" t="s">
        <v>8</v>
      </c>
      <c r="C11" s="95" t="s">
        <v>74</v>
      </c>
      <c r="D11" s="108">
        <v>632.29</v>
      </c>
      <c r="E11" s="108">
        <v>300</v>
      </c>
      <c r="F11" s="108">
        <v>416.14780000000002</v>
      </c>
      <c r="G11" s="94">
        <v>0.5</v>
      </c>
      <c r="H11" s="94">
        <f t="shared" si="2"/>
        <v>208.07390000000001</v>
      </c>
      <c r="I11" s="94">
        <f t="shared" si="3"/>
        <v>91.926099999999991</v>
      </c>
      <c r="J11" s="184">
        <f t="shared" si="4"/>
        <v>69.35796666666667</v>
      </c>
      <c r="K11" s="106" t="s">
        <v>427</v>
      </c>
      <c r="L11" s="106">
        <v>692.19500000000005</v>
      </c>
      <c r="M11" s="106">
        <v>300</v>
      </c>
      <c r="N11" s="105">
        <f t="shared" si="0"/>
        <v>416.14780000000002</v>
      </c>
      <c r="O11" s="92">
        <v>0.5</v>
      </c>
      <c r="P11" s="91">
        <f t="shared" si="5"/>
        <v>208.07390000000001</v>
      </c>
      <c r="Q11" s="251">
        <f t="shared" si="6"/>
        <v>91.926099999999991</v>
      </c>
      <c r="R11" s="181" t="str">
        <f>IF(Q11&gt;=0,"No","Yes")</f>
        <v>No</v>
      </c>
    </row>
    <row r="12" spans="1:38" ht="14.25" customHeight="1" thickBot="1">
      <c r="A12" s="499"/>
      <c r="B12" s="96" t="s">
        <v>12</v>
      </c>
      <c r="C12" s="95" t="s">
        <v>52</v>
      </c>
      <c r="D12" s="108">
        <v>428.91</v>
      </c>
      <c r="E12" s="108">
        <v>200</v>
      </c>
      <c r="F12" s="108">
        <v>320.77999999999997</v>
      </c>
      <c r="G12" s="94">
        <v>0.5</v>
      </c>
      <c r="H12" s="94">
        <f t="shared" si="2"/>
        <v>160.38999999999999</v>
      </c>
      <c r="I12" s="94">
        <f t="shared" si="3"/>
        <v>39.610000000000014</v>
      </c>
      <c r="J12" s="184">
        <f t="shared" si="4"/>
        <v>80.194999999999993</v>
      </c>
      <c r="K12" s="106" t="s">
        <v>421</v>
      </c>
      <c r="L12" s="106">
        <v>440.09</v>
      </c>
      <c r="M12" s="106">
        <v>200</v>
      </c>
      <c r="N12" s="105">
        <f t="shared" si="0"/>
        <v>320.77999999999997</v>
      </c>
      <c r="O12" s="92">
        <v>0.5</v>
      </c>
      <c r="P12" s="91">
        <f t="shared" si="5"/>
        <v>160.38999999999999</v>
      </c>
      <c r="Q12" s="251">
        <f t="shared" si="6"/>
        <v>39.610000000000014</v>
      </c>
      <c r="R12" s="181" t="str">
        <f>IF(Q12&gt;=0,"No","Yes")</f>
        <v>No</v>
      </c>
    </row>
    <row r="13" spans="1:38" ht="14.25" customHeight="1" thickBot="1">
      <c r="A13" s="499"/>
      <c r="B13" s="96" t="s">
        <v>397</v>
      </c>
      <c r="C13" s="95" t="s">
        <v>63</v>
      </c>
      <c r="D13" s="94">
        <v>530.30999999999995</v>
      </c>
      <c r="E13" s="94">
        <v>200</v>
      </c>
      <c r="F13" s="94">
        <v>22.35</v>
      </c>
      <c r="G13" s="73">
        <v>0.5</v>
      </c>
      <c r="H13" s="73">
        <f t="shared" si="2"/>
        <v>11.175000000000001</v>
      </c>
      <c r="I13" s="73">
        <f t="shared" si="3"/>
        <v>188.82499999999999</v>
      </c>
      <c r="J13" s="184">
        <f t="shared" si="4"/>
        <v>5.5875000000000004</v>
      </c>
      <c r="K13" s="92" t="s">
        <v>419</v>
      </c>
      <c r="L13" s="92">
        <v>541.49</v>
      </c>
      <c r="M13" s="92">
        <v>150</v>
      </c>
      <c r="N13" s="91">
        <f t="shared" si="0"/>
        <v>22.35</v>
      </c>
      <c r="O13" s="72">
        <v>0.5</v>
      </c>
      <c r="P13" s="119">
        <f t="shared" si="5"/>
        <v>11.175000000000001</v>
      </c>
      <c r="Q13" s="251">
        <f t="shared" si="6"/>
        <v>138.82499999999999</v>
      </c>
      <c r="R13" s="181" t="str">
        <f>IF(Q13&gt;=0,"No","Yes")</f>
        <v>No</v>
      </c>
    </row>
    <row r="14" spans="1:38" ht="13.5" thickBot="1">
      <c r="A14" s="279" t="s">
        <v>427</v>
      </c>
      <c r="B14" s="87" t="s">
        <v>351</v>
      </c>
      <c r="C14" s="163"/>
      <c r="D14" s="85"/>
      <c r="E14" s="85"/>
      <c r="F14" s="85"/>
      <c r="G14" s="184">
        <v>0.5</v>
      </c>
      <c r="H14" s="184">
        <f t="shared" si="2"/>
        <v>0</v>
      </c>
      <c r="I14" s="184"/>
      <c r="J14" s="184"/>
      <c r="K14" s="83"/>
      <c r="L14" s="83"/>
      <c r="M14" s="83"/>
      <c r="N14" s="82"/>
      <c r="O14" s="182">
        <v>0.5</v>
      </c>
      <c r="P14" s="181">
        <f t="shared" si="5"/>
        <v>0</v>
      </c>
      <c r="Q14" s="100"/>
      <c r="R14" s="82"/>
    </row>
    <row r="15" spans="1:38" ht="13.5" thickBot="1">
      <c r="A15" s="497" t="s">
        <v>49</v>
      </c>
      <c r="B15" s="87" t="s">
        <v>426</v>
      </c>
      <c r="C15" s="86" t="s">
        <v>47</v>
      </c>
      <c r="D15" s="85">
        <v>341.36500000000001</v>
      </c>
      <c r="E15" s="85">
        <v>400</v>
      </c>
      <c r="F15" s="85">
        <v>414.50749999999999</v>
      </c>
      <c r="G15" s="85">
        <v>0.5</v>
      </c>
      <c r="H15" s="85">
        <f t="shared" si="2"/>
        <v>207.25375</v>
      </c>
      <c r="I15" s="85">
        <f>E15-H15</f>
        <v>192.74625</v>
      </c>
      <c r="J15" s="85">
        <f>H15/E15*100</f>
        <v>51.813437500000006</v>
      </c>
      <c r="K15" s="83" t="s">
        <v>425</v>
      </c>
      <c r="L15" s="83">
        <v>527.53499999999997</v>
      </c>
      <c r="M15" s="83">
        <v>600</v>
      </c>
      <c r="N15" s="82">
        <f t="shared" ref="N15:N24" si="7">F15</f>
        <v>414.50749999999999</v>
      </c>
      <c r="O15" s="83">
        <v>0.5</v>
      </c>
      <c r="P15" s="82">
        <f t="shared" si="5"/>
        <v>207.25375</v>
      </c>
      <c r="Q15" s="205">
        <f>M15-P15</f>
        <v>392.74625000000003</v>
      </c>
      <c r="R15" s="82" t="str">
        <f t="shared" ref="R15:R24" si="8">IF(Q15&gt;=0,"No","Yes")</f>
        <v>No</v>
      </c>
      <c r="AA15" s="494" t="s">
        <v>544</v>
      </c>
      <c r="AB15" s="495"/>
      <c r="AC15" s="495"/>
      <c r="AD15" s="495"/>
      <c r="AE15" s="495"/>
      <c r="AF15" s="496"/>
      <c r="AG15" s="166"/>
    </row>
    <row r="16" spans="1:38" ht="14.25" customHeight="1" thickBot="1">
      <c r="A16" s="499"/>
      <c r="B16" s="96" t="s">
        <v>9</v>
      </c>
      <c r="C16" s="95" t="s">
        <v>424</v>
      </c>
      <c r="D16" s="108">
        <v>72.555000000000007</v>
      </c>
      <c r="E16" s="108">
        <v>300</v>
      </c>
      <c r="F16" s="108">
        <v>249.06020000000001</v>
      </c>
      <c r="G16" s="94">
        <v>0.5</v>
      </c>
      <c r="H16" s="94">
        <f t="shared" si="2"/>
        <v>124.5301</v>
      </c>
      <c r="I16" s="85">
        <f t="shared" ref="I16:I24" si="9">E16-H16</f>
        <v>175.4699</v>
      </c>
      <c r="J16" s="85">
        <f t="shared" ref="J16:J24" si="10">H16/E16*100</f>
        <v>41.510033333333332</v>
      </c>
      <c r="K16" s="106" t="s">
        <v>423</v>
      </c>
      <c r="L16" s="106">
        <v>258.625</v>
      </c>
      <c r="M16" s="106">
        <v>250</v>
      </c>
      <c r="N16" s="105">
        <f t="shared" si="7"/>
        <v>249.06020000000001</v>
      </c>
      <c r="O16" s="92">
        <v>0.5</v>
      </c>
      <c r="P16" s="91">
        <f t="shared" si="5"/>
        <v>124.5301</v>
      </c>
      <c r="Q16" s="205">
        <f t="shared" ref="Q16:Q24" si="11">M16-P16</f>
        <v>125.4699</v>
      </c>
      <c r="R16" s="82" t="str">
        <f t="shared" si="8"/>
        <v>No</v>
      </c>
      <c r="V16" s="408" t="s">
        <v>454</v>
      </c>
      <c r="W16" s="409"/>
      <c r="X16" s="358"/>
      <c r="AA16" s="336" t="s">
        <v>470</v>
      </c>
      <c r="AB16" s="337" t="s">
        <v>471</v>
      </c>
      <c r="AC16" s="337" t="s">
        <v>472</v>
      </c>
      <c r="AD16" s="337" t="s">
        <v>473</v>
      </c>
      <c r="AE16" s="338" t="s">
        <v>474</v>
      </c>
      <c r="AF16" s="339" t="s">
        <v>527</v>
      </c>
      <c r="AG16" s="340" t="s">
        <v>418</v>
      </c>
      <c r="AL16" s="253"/>
    </row>
    <row r="17" spans="1:41" ht="14.25" customHeight="1" thickBot="1">
      <c r="A17" s="499"/>
      <c r="B17" s="96" t="s">
        <v>10</v>
      </c>
      <c r="C17" s="95" t="s">
        <v>386</v>
      </c>
      <c r="D17" s="108">
        <v>894.93</v>
      </c>
      <c r="E17" s="108">
        <v>150</v>
      </c>
      <c r="F17" s="108">
        <v>185.4342</v>
      </c>
      <c r="G17" s="94">
        <v>0.5</v>
      </c>
      <c r="H17" s="94">
        <f t="shared" si="2"/>
        <v>92.717100000000002</v>
      </c>
      <c r="I17" s="85">
        <f t="shared" si="9"/>
        <v>57.282899999999998</v>
      </c>
      <c r="J17" s="85">
        <f t="shared" si="10"/>
        <v>61.811400000000006</v>
      </c>
      <c r="K17" s="106" t="s">
        <v>385</v>
      </c>
      <c r="L17" s="106">
        <v>975.03499999999997</v>
      </c>
      <c r="M17" s="106">
        <v>150</v>
      </c>
      <c r="N17" s="105">
        <f t="shared" si="7"/>
        <v>185.4342</v>
      </c>
      <c r="O17" s="92">
        <v>0.5</v>
      </c>
      <c r="P17" s="91">
        <f t="shared" si="5"/>
        <v>92.717100000000002</v>
      </c>
      <c r="Q17" s="205">
        <f t="shared" si="11"/>
        <v>57.282899999999998</v>
      </c>
      <c r="R17" s="82" t="str">
        <f t="shared" si="8"/>
        <v>No</v>
      </c>
      <c r="V17" s="90"/>
      <c r="W17" s="411"/>
      <c r="X17" s="99"/>
      <c r="AA17" s="60" t="s">
        <v>84</v>
      </c>
      <c r="AB17" s="341">
        <v>0</v>
      </c>
      <c r="AC17" s="341">
        <v>0</v>
      </c>
      <c r="AD17" s="342">
        <v>0</v>
      </c>
      <c r="AE17" s="342">
        <v>0</v>
      </c>
      <c r="AF17" s="343">
        <v>0</v>
      </c>
      <c r="AG17" s="344">
        <f>SUM(AB17:AF17)</f>
        <v>0</v>
      </c>
      <c r="AL17" s="329"/>
      <c r="AM17" s="330"/>
    </row>
    <row r="18" spans="1:41" ht="14.25" customHeight="1" thickBot="1">
      <c r="A18" s="499"/>
      <c r="B18" s="96" t="s">
        <v>11</v>
      </c>
      <c r="C18" s="95" t="s">
        <v>378</v>
      </c>
      <c r="D18" s="108">
        <v>839.23</v>
      </c>
      <c r="E18" s="108">
        <v>150</v>
      </c>
      <c r="F18" s="108">
        <v>213.84829999999999</v>
      </c>
      <c r="G18" s="94">
        <v>0.5</v>
      </c>
      <c r="H18" s="94">
        <f t="shared" si="2"/>
        <v>106.92415</v>
      </c>
      <c r="I18" s="85">
        <f t="shared" si="9"/>
        <v>43.075850000000003</v>
      </c>
      <c r="J18" s="85">
        <f t="shared" si="10"/>
        <v>71.28276666666666</v>
      </c>
      <c r="K18" s="106" t="s">
        <v>422</v>
      </c>
      <c r="L18" s="106">
        <v>1025.3</v>
      </c>
      <c r="M18" s="106">
        <v>150</v>
      </c>
      <c r="N18" s="105">
        <f t="shared" si="7"/>
        <v>213.84829999999999</v>
      </c>
      <c r="O18" s="92">
        <v>0.5</v>
      </c>
      <c r="P18" s="91">
        <f t="shared" si="5"/>
        <v>106.92415</v>
      </c>
      <c r="Q18" s="205">
        <f t="shared" si="11"/>
        <v>43.075850000000003</v>
      </c>
      <c r="R18" s="82" t="str">
        <f t="shared" si="8"/>
        <v>No</v>
      </c>
      <c r="V18" s="138" t="s">
        <v>390</v>
      </c>
      <c r="W18" s="137" t="s">
        <v>389</v>
      </c>
      <c r="X18" s="136" t="s">
        <v>388</v>
      </c>
      <c r="AA18" s="60" t="s">
        <v>85</v>
      </c>
      <c r="AB18" s="341">
        <v>0</v>
      </c>
      <c r="AC18" s="341">
        <v>0</v>
      </c>
      <c r="AD18" s="341">
        <v>0</v>
      </c>
      <c r="AE18" s="341">
        <v>0</v>
      </c>
      <c r="AF18" s="343">
        <v>0</v>
      </c>
      <c r="AG18" s="60">
        <f t="shared" ref="AG18:AG28" si="12">SUM(AB18:AF18)</f>
        <v>0</v>
      </c>
      <c r="AL18" s="330"/>
      <c r="AM18" s="330"/>
    </row>
    <row r="19" spans="1:41" ht="14.25" customHeight="1" thickBot="1">
      <c r="A19" s="499"/>
      <c r="B19" s="96" t="s">
        <v>12</v>
      </c>
      <c r="C19" s="95" t="s">
        <v>52</v>
      </c>
      <c r="D19" s="108">
        <v>428.91</v>
      </c>
      <c r="E19" s="108">
        <v>200</v>
      </c>
      <c r="F19" s="108">
        <v>320.7817</v>
      </c>
      <c r="G19" s="94">
        <v>0.5</v>
      </c>
      <c r="H19" s="94">
        <f t="shared" si="2"/>
        <v>160.39085</v>
      </c>
      <c r="I19" s="85">
        <f t="shared" si="9"/>
        <v>39.60915</v>
      </c>
      <c r="J19" s="85">
        <f t="shared" si="10"/>
        <v>80.195425</v>
      </c>
      <c r="K19" s="106" t="s">
        <v>421</v>
      </c>
      <c r="L19" s="106">
        <v>440.09</v>
      </c>
      <c r="M19" s="106">
        <v>200</v>
      </c>
      <c r="N19" s="105">
        <f t="shared" si="7"/>
        <v>320.7817</v>
      </c>
      <c r="O19" s="92">
        <v>0.5</v>
      </c>
      <c r="P19" s="91">
        <f t="shared" si="5"/>
        <v>160.39085</v>
      </c>
      <c r="Q19" s="205">
        <f t="shared" si="11"/>
        <v>39.60915</v>
      </c>
      <c r="R19" s="82" t="str">
        <f t="shared" si="8"/>
        <v>No</v>
      </c>
      <c r="V19" s="133"/>
      <c r="W19" s="132"/>
      <c r="X19" s="99"/>
      <c r="AA19" s="60" t="s">
        <v>86</v>
      </c>
      <c r="AB19" s="341">
        <v>1</v>
      </c>
      <c r="AC19" s="341">
        <v>0</v>
      </c>
      <c r="AD19" s="341">
        <v>0</v>
      </c>
      <c r="AE19" s="341">
        <v>0</v>
      </c>
      <c r="AF19" s="343">
        <v>0</v>
      </c>
      <c r="AG19" s="60">
        <f t="shared" si="12"/>
        <v>1</v>
      </c>
      <c r="AI19" s="405" t="s">
        <v>476</v>
      </c>
      <c r="AJ19" s="405" t="s">
        <v>477</v>
      </c>
      <c r="AK19" s="345" t="s">
        <v>478</v>
      </c>
      <c r="AL19" s="334"/>
      <c r="AM19" s="330"/>
    </row>
    <row r="20" spans="1:41" ht="14.25" customHeight="1" thickBot="1">
      <c r="A20" s="499"/>
      <c r="B20" s="96" t="s">
        <v>420</v>
      </c>
      <c r="C20" s="95" t="s">
        <v>412</v>
      </c>
      <c r="D20" s="94">
        <v>530.30999999999995</v>
      </c>
      <c r="E20" s="94">
        <v>200</v>
      </c>
      <c r="F20" s="94">
        <v>22.35</v>
      </c>
      <c r="G20" s="73">
        <v>0.5</v>
      </c>
      <c r="H20" s="73">
        <f t="shared" si="2"/>
        <v>11.175000000000001</v>
      </c>
      <c r="I20" s="85">
        <f t="shared" si="9"/>
        <v>188.82499999999999</v>
      </c>
      <c r="J20" s="85">
        <f t="shared" si="10"/>
        <v>5.5875000000000004</v>
      </c>
      <c r="K20" s="92" t="s">
        <v>419</v>
      </c>
      <c r="L20" s="92">
        <v>541.49</v>
      </c>
      <c r="M20" s="92">
        <v>150</v>
      </c>
      <c r="N20" s="91">
        <f t="shared" si="7"/>
        <v>22.35</v>
      </c>
      <c r="O20" s="72">
        <v>0.5</v>
      </c>
      <c r="P20" s="119">
        <f t="shared" si="5"/>
        <v>11.175000000000001</v>
      </c>
      <c r="Q20" s="205">
        <f t="shared" si="11"/>
        <v>138.82499999999999</v>
      </c>
      <c r="R20" s="82" t="str">
        <f t="shared" si="8"/>
        <v>No</v>
      </c>
      <c r="V20" s="133" t="s">
        <v>12</v>
      </c>
      <c r="W20" s="132">
        <v>9.15</v>
      </c>
      <c r="X20" s="99">
        <f>(W20/200)*100</f>
        <v>4.5750000000000002</v>
      </c>
      <c r="AA20" s="60" t="s">
        <v>87</v>
      </c>
      <c r="AB20" s="341">
        <v>1</v>
      </c>
      <c r="AC20" s="341">
        <v>0</v>
      </c>
      <c r="AD20" s="341">
        <v>0</v>
      </c>
      <c r="AE20" s="341">
        <v>0</v>
      </c>
      <c r="AF20" s="343">
        <v>0</v>
      </c>
      <c r="AG20" s="60">
        <f t="shared" si="12"/>
        <v>1</v>
      </c>
      <c r="AI20" s="61" t="s">
        <v>471</v>
      </c>
      <c r="AJ20" s="61">
        <v>100</v>
      </c>
      <c r="AK20" s="413">
        <v>15</v>
      </c>
      <c r="AL20" s="330"/>
      <c r="AM20" s="330"/>
    </row>
    <row r="21" spans="1:41" ht="13.5" thickBot="1">
      <c r="A21" s="497" t="s">
        <v>414</v>
      </c>
      <c r="B21" s="87" t="s">
        <v>7</v>
      </c>
      <c r="C21" s="86" t="s">
        <v>48</v>
      </c>
      <c r="D21" s="85">
        <v>457.755</v>
      </c>
      <c r="E21" s="85">
        <v>200</v>
      </c>
      <c r="F21" s="85">
        <v>200.1122</v>
      </c>
      <c r="G21" s="85">
        <v>0.5</v>
      </c>
      <c r="H21" s="85">
        <f t="shared" si="2"/>
        <v>100.0561</v>
      </c>
      <c r="I21" s="85">
        <f t="shared" si="9"/>
        <v>99.943899999999999</v>
      </c>
      <c r="J21" s="85">
        <f t="shared" si="10"/>
        <v>50.02805</v>
      </c>
      <c r="K21" s="83" t="s">
        <v>417</v>
      </c>
      <c r="L21" s="83">
        <v>733.18499999999995</v>
      </c>
      <c r="M21" s="83">
        <v>200</v>
      </c>
      <c r="N21" s="82">
        <f t="shared" si="7"/>
        <v>200.1122</v>
      </c>
      <c r="O21" s="83">
        <v>0.5</v>
      </c>
      <c r="P21" s="82">
        <f t="shared" si="5"/>
        <v>100.0561</v>
      </c>
      <c r="Q21" s="205">
        <f t="shared" si="11"/>
        <v>99.943899999999999</v>
      </c>
      <c r="R21" s="203" t="str">
        <f t="shared" si="8"/>
        <v>No</v>
      </c>
      <c r="U21" s="411"/>
      <c r="V21" s="133"/>
      <c r="W21" s="132"/>
      <c r="X21" s="99"/>
      <c r="AA21" s="60" t="s">
        <v>88</v>
      </c>
      <c r="AB21" s="341">
        <v>0</v>
      </c>
      <c r="AC21" s="341">
        <v>0</v>
      </c>
      <c r="AD21" s="341">
        <v>0</v>
      </c>
      <c r="AE21" s="341">
        <v>0</v>
      </c>
      <c r="AF21" s="343">
        <v>0</v>
      </c>
      <c r="AG21" s="60">
        <f t="shared" si="12"/>
        <v>0</v>
      </c>
      <c r="AH21" s="330"/>
      <c r="AI21" s="346" t="s">
        <v>472</v>
      </c>
      <c r="AJ21" s="346">
        <v>150</v>
      </c>
      <c r="AK21" s="414">
        <v>16.3689</v>
      </c>
      <c r="AL21" s="330"/>
      <c r="AM21" s="330"/>
    </row>
    <row r="22" spans="1:41" ht="14.25" customHeight="1" thickBot="1">
      <c r="A22" s="499"/>
      <c r="B22" s="96" t="s">
        <v>416</v>
      </c>
      <c r="C22" s="95" t="s">
        <v>74</v>
      </c>
      <c r="D22" s="108">
        <v>632.29</v>
      </c>
      <c r="E22" s="108">
        <v>300</v>
      </c>
      <c r="F22" s="108">
        <v>416.14780000000002</v>
      </c>
      <c r="G22" s="94">
        <v>0.5</v>
      </c>
      <c r="H22" s="94">
        <f t="shared" si="2"/>
        <v>208.07390000000001</v>
      </c>
      <c r="I22" s="85">
        <f t="shared" si="9"/>
        <v>91.926099999999991</v>
      </c>
      <c r="J22" s="85">
        <f t="shared" si="10"/>
        <v>69.35796666666667</v>
      </c>
      <c r="K22" s="106" t="s">
        <v>361</v>
      </c>
      <c r="L22" s="106">
        <v>692.19500000000005</v>
      </c>
      <c r="M22" s="106">
        <v>300</v>
      </c>
      <c r="N22" s="105">
        <f t="shared" si="7"/>
        <v>416.14780000000002</v>
      </c>
      <c r="O22" s="92">
        <v>0.5</v>
      </c>
      <c r="P22" s="91">
        <f t="shared" si="5"/>
        <v>208.07390000000001</v>
      </c>
      <c r="Q22" s="205">
        <f t="shared" si="11"/>
        <v>91.926099999999991</v>
      </c>
      <c r="R22" s="82" t="str">
        <f t="shared" si="8"/>
        <v>No</v>
      </c>
      <c r="U22" s="411"/>
      <c r="V22" s="133"/>
      <c r="W22" s="132"/>
      <c r="X22" s="99"/>
      <c r="AA22" s="60" t="s">
        <v>89</v>
      </c>
      <c r="AB22" s="341">
        <v>0</v>
      </c>
      <c r="AC22" s="341">
        <v>0</v>
      </c>
      <c r="AD22" s="341">
        <v>0</v>
      </c>
      <c r="AE22" s="341">
        <v>0</v>
      </c>
      <c r="AF22" s="343">
        <v>0</v>
      </c>
      <c r="AG22" s="60">
        <f t="shared" si="12"/>
        <v>0</v>
      </c>
      <c r="AH22" s="329"/>
      <c r="AI22" s="346" t="s">
        <v>473</v>
      </c>
      <c r="AJ22" s="346">
        <v>200</v>
      </c>
      <c r="AK22" s="414">
        <v>16.746700000000001</v>
      </c>
      <c r="AL22" s="330"/>
      <c r="AM22" s="330"/>
    </row>
    <row r="23" spans="1:41" ht="14.25" customHeight="1" thickBot="1">
      <c r="A23" s="499"/>
      <c r="B23" s="96" t="s">
        <v>415</v>
      </c>
      <c r="C23" s="95" t="s">
        <v>414</v>
      </c>
      <c r="D23" s="108">
        <v>370.31</v>
      </c>
      <c r="E23" s="108">
        <v>200</v>
      </c>
      <c r="F23" s="108">
        <v>24.103000000000002</v>
      </c>
      <c r="G23" s="94">
        <v>0.5</v>
      </c>
      <c r="H23" s="94">
        <f t="shared" si="2"/>
        <v>12.051500000000001</v>
      </c>
      <c r="I23" s="85">
        <f t="shared" si="9"/>
        <v>187.9485</v>
      </c>
      <c r="J23" s="85">
        <f t="shared" si="10"/>
        <v>6.0257500000000004</v>
      </c>
      <c r="K23" s="106" t="s">
        <v>413</v>
      </c>
      <c r="L23" s="106">
        <v>820.63</v>
      </c>
      <c r="M23" s="106">
        <v>150</v>
      </c>
      <c r="N23" s="105">
        <f t="shared" si="7"/>
        <v>24.103000000000002</v>
      </c>
      <c r="O23" s="92">
        <v>0.5</v>
      </c>
      <c r="P23" s="91">
        <f t="shared" si="5"/>
        <v>12.051500000000001</v>
      </c>
      <c r="Q23" s="205">
        <f t="shared" si="11"/>
        <v>137.9485</v>
      </c>
      <c r="R23" s="82" t="str">
        <f t="shared" si="8"/>
        <v>No</v>
      </c>
      <c r="V23" s="133" t="s">
        <v>327</v>
      </c>
      <c r="W23" s="132">
        <v>89.132999999999996</v>
      </c>
      <c r="X23" s="99">
        <f>(W23/300)*100</f>
        <v>29.710999999999999</v>
      </c>
      <c r="AA23" s="60" t="s">
        <v>90</v>
      </c>
      <c r="AB23" s="341">
        <v>0</v>
      </c>
      <c r="AC23" s="341">
        <v>0</v>
      </c>
      <c r="AD23" s="341">
        <v>0</v>
      </c>
      <c r="AE23" s="341">
        <v>0</v>
      </c>
      <c r="AF23" s="343">
        <v>0</v>
      </c>
      <c r="AG23" s="60">
        <f t="shared" si="12"/>
        <v>0</v>
      </c>
      <c r="AH23" s="329"/>
      <c r="AI23" s="346" t="s">
        <v>474</v>
      </c>
      <c r="AJ23" s="346">
        <v>250</v>
      </c>
      <c r="AK23" s="414">
        <v>16.886600000000001</v>
      </c>
      <c r="AL23" s="330"/>
      <c r="AM23" s="330"/>
    </row>
    <row r="24" spans="1:41" ht="14.25" customHeight="1" thickBot="1">
      <c r="A24" s="499"/>
      <c r="B24" s="96" t="s">
        <v>397</v>
      </c>
      <c r="C24" s="95" t="s">
        <v>412</v>
      </c>
      <c r="D24" s="94">
        <v>530.30999999999995</v>
      </c>
      <c r="E24" s="94">
        <v>200</v>
      </c>
      <c r="F24" s="94">
        <v>22.35</v>
      </c>
      <c r="G24" s="73">
        <v>0.5</v>
      </c>
      <c r="H24" s="73">
        <f t="shared" si="2"/>
        <v>11.175000000000001</v>
      </c>
      <c r="I24" s="85">
        <f t="shared" si="9"/>
        <v>188.82499999999999</v>
      </c>
      <c r="J24" s="85">
        <f t="shared" si="10"/>
        <v>5.5875000000000004</v>
      </c>
      <c r="K24" s="92" t="s">
        <v>411</v>
      </c>
      <c r="L24" s="92">
        <v>660.63</v>
      </c>
      <c r="M24" s="92">
        <v>150</v>
      </c>
      <c r="N24" s="91">
        <f t="shared" si="7"/>
        <v>22.35</v>
      </c>
      <c r="O24" s="72">
        <v>0.5</v>
      </c>
      <c r="P24" s="119">
        <f t="shared" si="5"/>
        <v>11.175000000000001</v>
      </c>
      <c r="Q24" s="205">
        <f t="shared" si="11"/>
        <v>138.82499999999999</v>
      </c>
      <c r="R24" s="82" t="str">
        <f t="shared" si="8"/>
        <v>No</v>
      </c>
      <c r="V24" s="133"/>
      <c r="W24" s="132"/>
      <c r="X24" s="99"/>
      <c r="AA24" s="60" t="s">
        <v>91</v>
      </c>
      <c r="AB24" s="341">
        <v>1</v>
      </c>
      <c r="AC24" s="341">
        <v>0</v>
      </c>
      <c r="AD24" s="343">
        <v>0</v>
      </c>
      <c r="AE24" s="343">
        <v>0</v>
      </c>
      <c r="AF24" s="343">
        <v>0</v>
      </c>
      <c r="AG24" s="60">
        <f t="shared" si="12"/>
        <v>1</v>
      </c>
      <c r="AH24" s="330"/>
      <c r="AI24" s="347" t="s">
        <v>527</v>
      </c>
      <c r="AJ24" s="347">
        <v>300</v>
      </c>
      <c r="AK24" s="415">
        <v>17</v>
      </c>
      <c r="AL24" s="330"/>
      <c r="AM24" s="330"/>
    </row>
    <row r="25" spans="1:41" ht="13.5" thickBot="1">
      <c r="A25" s="164" t="s">
        <v>410</v>
      </c>
      <c r="B25" s="87" t="s">
        <v>409</v>
      </c>
      <c r="C25" s="163"/>
      <c r="D25" s="85"/>
      <c r="E25" s="85"/>
      <c r="F25" s="85"/>
      <c r="G25" s="184">
        <v>0.5</v>
      </c>
      <c r="H25" s="184">
        <f t="shared" si="2"/>
        <v>0</v>
      </c>
      <c r="I25" s="184"/>
      <c r="J25" s="184"/>
      <c r="K25" s="83"/>
      <c r="L25" s="83"/>
      <c r="M25" s="83"/>
      <c r="N25" s="82"/>
      <c r="O25" s="182">
        <v>0.5</v>
      </c>
      <c r="P25" s="181">
        <f t="shared" si="5"/>
        <v>0</v>
      </c>
      <c r="Q25" s="100"/>
      <c r="R25" s="82"/>
      <c r="V25" s="133"/>
      <c r="W25" s="132"/>
      <c r="X25" s="230"/>
      <c r="AA25" s="60" t="s">
        <v>92</v>
      </c>
      <c r="AB25" s="343">
        <v>0</v>
      </c>
      <c r="AC25" s="343">
        <v>0</v>
      </c>
      <c r="AD25" s="343">
        <v>0</v>
      </c>
      <c r="AE25" s="343">
        <v>0</v>
      </c>
      <c r="AF25" s="343">
        <v>0</v>
      </c>
      <c r="AG25" s="60">
        <f t="shared" si="12"/>
        <v>0</v>
      </c>
      <c r="AH25" s="330"/>
      <c r="AI25" s="330"/>
      <c r="AJ25" s="330"/>
      <c r="AL25" s="330"/>
      <c r="AM25" s="330"/>
    </row>
    <row r="26" spans="1:41" ht="13.5" thickBot="1">
      <c r="A26" s="519" t="s">
        <v>408</v>
      </c>
      <c r="B26" s="160" t="s">
        <v>14</v>
      </c>
      <c r="C26" s="86" t="s">
        <v>407</v>
      </c>
      <c r="D26" s="85">
        <v>391.72</v>
      </c>
      <c r="E26" s="84">
        <v>400</v>
      </c>
      <c r="F26" s="85">
        <v>664.51419999999996</v>
      </c>
      <c r="G26" s="85">
        <v>0.5</v>
      </c>
      <c r="H26" s="85">
        <f t="shared" si="2"/>
        <v>332.25709999999998</v>
      </c>
      <c r="I26" s="85">
        <f>E26-H26</f>
        <v>67.74290000000002</v>
      </c>
      <c r="J26" s="84">
        <f>H26/E26*100</f>
        <v>83.064274999999995</v>
      </c>
      <c r="K26" s="83" t="s">
        <v>406</v>
      </c>
      <c r="L26" s="83">
        <v>799.22</v>
      </c>
      <c r="M26" s="83">
        <v>300</v>
      </c>
      <c r="N26" s="82">
        <f t="shared" ref="N26:N56" si="13">F26</f>
        <v>664.51419999999996</v>
      </c>
      <c r="O26" s="83">
        <v>0.5</v>
      </c>
      <c r="P26" s="82">
        <f t="shared" si="5"/>
        <v>332.25709999999998</v>
      </c>
      <c r="Q26" s="124">
        <f>M26-P26</f>
        <v>-32.25709999999998</v>
      </c>
      <c r="R26" s="220" t="str">
        <f t="shared" ref="R26:R56" si="14">IF(Q26&gt;=0,"No","Yes")</f>
        <v>Yes</v>
      </c>
      <c r="S26" s="280" t="s">
        <v>441</v>
      </c>
      <c r="T26" s="280" t="s">
        <v>456</v>
      </c>
      <c r="V26" s="133"/>
      <c r="W26" s="132"/>
      <c r="X26" s="229"/>
      <c r="AA26" s="60" t="s">
        <v>93</v>
      </c>
      <c r="AB26" s="343">
        <v>0</v>
      </c>
      <c r="AC26" s="341">
        <v>0</v>
      </c>
      <c r="AD26" s="343">
        <v>0</v>
      </c>
      <c r="AE26" s="343">
        <v>0</v>
      </c>
      <c r="AF26" s="343">
        <v>0</v>
      </c>
      <c r="AG26" s="60">
        <f t="shared" si="12"/>
        <v>0</v>
      </c>
      <c r="AH26" s="330"/>
      <c r="AI26" s="330"/>
      <c r="AJ26" s="330"/>
      <c r="AL26" s="330"/>
      <c r="AM26" s="330"/>
    </row>
    <row r="27" spans="1:41" ht="14.25" customHeight="1" thickBot="1">
      <c r="A27" s="520"/>
      <c r="B27" s="75" t="s">
        <v>360</v>
      </c>
      <c r="C27" s="74" t="s">
        <v>55</v>
      </c>
      <c r="D27" s="157">
        <v>566.26</v>
      </c>
      <c r="E27" s="157">
        <v>300</v>
      </c>
      <c r="F27" s="157">
        <v>424.66829999999999</v>
      </c>
      <c r="G27" s="73">
        <v>0.5</v>
      </c>
      <c r="H27" s="73">
        <f t="shared" si="2"/>
        <v>212.33414999999999</v>
      </c>
      <c r="I27" s="85">
        <f t="shared" ref="I27:I56" si="15">E27-H27</f>
        <v>87.665850000000006</v>
      </c>
      <c r="J27" s="73">
        <f t="shared" ref="J27:J56" si="16">F27/E27*100</f>
        <v>141.55610000000001</v>
      </c>
      <c r="K27" s="156" t="s">
        <v>405</v>
      </c>
      <c r="L27" s="156">
        <v>973.76</v>
      </c>
      <c r="M27" s="156">
        <v>300</v>
      </c>
      <c r="N27" s="71">
        <f t="shared" si="13"/>
        <v>424.66829999999999</v>
      </c>
      <c r="O27" s="72">
        <v>0.5</v>
      </c>
      <c r="P27" s="119">
        <f t="shared" si="5"/>
        <v>212.33414999999999</v>
      </c>
      <c r="Q27" s="124">
        <f t="shared" ref="Q27:Q56" si="17">M27-P27</f>
        <v>87.665850000000006</v>
      </c>
      <c r="R27" s="203" t="str">
        <f t="shared" si="14"/>
        <v>No</v>
      </c>
      <c r="S27" s="219" t="s">
        <v>12</v>
      </c>
      <c r="T27" s="218">
        <v>9.15</v>
      </c>
      <c r="V27" s="227"/>
      <c r="W27" s="226"/>
      <c r="X27" s="89"/>
      <c r="AA27" s="60" t="s">
        <v>94</v>
      </c>
      <c r="AB27" s="343">
        <v>0</v>
      </c>
      <c r="AC27" s="341">
        <v>0</v>
      </c>
      <c r="AD27" s="343">
        <v>0</v>
      </c>
      <c r="AE27" s="343">
        <v>0</v>
      </c>
      <c r="AF27" s="343">
        <v>0</v>
      </c>
      <c r="AG27" s="60">
        <f t="shared" si="12"/>
        <v>0</v>
      </c>
      <c r="AH27" s="18"/>
      <c r="AI27" s="494" t="s">
        <v>543</v>
      </c>
      <c r="AJ27" s="495"/>
      <c r="AK27" s="495"/>
      <c r="AL27" s="495"/>
      <c r="AM27" s="495"/>
      <c r="AN27" s="496"/>
      <c r="AO27" s="166"/>
    </row>
    <row r="28" spans="1:41" ht="13.5" thickBot="1">
      <c r="A28" s="499" t="s">
        <v>404</v>
      </c>
      <c r="B28" s="63" t="s">
        <v>6</v>
      </c>
      <c r="C28" s="114" t="s">
        <v>47</v>
      </c>
      <c r="D28" s="94">
        <v>341.46499999999997</v>
      </c>
      <c r="E28" s="93">
        <v>400</v>
      </c>
      <c r="F28" s="94">
        <v>414.50749999999999</v>
      </c>
      <c r="G28" s="85">
        <v>0.5</v>
      </c>
      <c r="H28" s="85">
        <f t="shared" si="2"/>
        <v>207.25375</v>
      </c>
      <c r="I28" s="85">
        <f t="shared" si="15"/>
        <v>192.74625</v>
      </c>
      <c r="J28" s="73">
        <f t="shared" si="16"/>
        <v>103.62687500000001</v>
      </c>
      <c r="K28" s="92" t="s">
        <v>403</v>
      </c>
      <c r="L28" s="92">
        <v>849.47500000000002</v>
      </c>
      <c r="M28" s="92">
        <v>400</v>
      </c>
      <c r="N28" s="91">
        <f t="shared" si="13"/>
        <v>414.50749999999999</v>
      </c>
      <c r="O28" s="83">
        <v>0.5</v>
      </c>
      <c r="P28" s="82">
        <f t="shared" si="5"/>
        <v>207.25375</v>
      </c>
      <c r="Q28" s="124">
        <f t="shared" si="17"/>
        <v>192.74625</v>
      </c>
      <c r="R28" s="203" t="str">
        <f t="shared" si="14"/>
        <v>No</v>
      </c>
      <c r="S28" s="262"/>
      <c r="T28" s="245"/>
      <c r="V28" s="225" t="s">
        <v>369</v>
      </c>
      <c r="W28" s="224">
        <f>SUM(W19:W26)</f>
        <v>98.283000000000001</v>
      </c>
      <c r="X28" s="20"/>
      <c r="AA28" s="326" t="s">
        <v>469</v>
      </c>
      <c r="AB28" s="348">
        <v>0</v>
      </c>
      <c r="AC28" s="348">
        <v>0</v>
      </c>
      <c r="AD28" s="348">
        <v>0</v>
      </c>
      <c r="AE28" s="348">
        <v>0</v>
      </c>
      <c r="AF28" s="348">
        <v>0</v>
      </c>
      <c r="AG28" s="326">
        <f t="shared" si="12"/>
        <v>0</v>
      </c>
      <c r="AH28" s="330"/>
      <c r="AI28" s="336" t="s">
        <v>470</v>
      </c>
      <c r="AJ28" s="337" t="s">
        <v>471</v>
      </c>
      <c r="AK28" s="337" t="s">
        <v>472</v>
      </c>
      <c r="AL28" s="337" t="s">
        <v>473</v>
      </c>
      <c r="AM28" s="338" t="s">
        <v>474</v>
      </c>
      <c r="AN28" s="339" t="s">
        <v>527</v>
      </c>
      <c r="AO28" s="340" t="s">
        <v>418</v>
      </c>
    </row>
    <row r="29" spans="1:41" ht="14.25" customHeight="1" thickBot="1">
      <c r="A29" s="499"/>
      <c r="B29" s="63" t="s">
        <v>402</v>
      </c>
      <c r="C29" s="114" t="s">
        <v>386</v>
      </c>
      <c r="D29" s="94">
        <v>894.93</v>
      </c>
      <c r="E29" s="93">
        <v>150</v>
      </c>
      <c r="F29" s="94">
        <v>185.4342</v>
      </c>
      <c r="G29" s="94">
        <v>0.5</v>
      </c>
      <c r="H29" s="94">
        <f t="shared" si="2"/>
        <v>92.717100000000002</v>
      </c>
      <c r="I29" s="85">
        <f t="shared" si="15"/>
        <v>57.282899999999998</v>
      </c>
      <c r="J29" s="73">
        <f t="shared" si="16"/>
        <v>123.62280000000001</v>
      </c>
      <c r="K29" s="92" t="s">
        <v>385</v>
      </c>
      <c r="L29" s="92">
        <v>975.03499999999997</v>
      </c>
      <c r="M29" s="92">
        <v>150</v>
      </c>
      <c r="N29" s="91">
        <f t="shared" si="13"/>
        <v>185.4342</v>
      </c>
      <c r="O29" s="92">
        <v>0.5</v>
      </c>
      <c r="P29" s="91">
        <f t="shared" si="5"/>
        <v>92.717100000000002</v>
      </c>
      <c r="Q29" s="124">
        <f t="shared" si="17"/>
        <v>57.282899999999998</v>
      </c>
      <c r="R29" s="203" t="str">
        <f t="shared" si="14"/>
        <v>No</v>
      </c>
      <c r="S29" s="261"/>
      <c r="T29" s="245"/>
      <c r="V29" s="17" t="s">
        <v>365</v>
      </c>
      <c r="W29" s="17">
        <f>W28/9100.11497</f>
        <v>1.0800193219976427E-2</v>
      </c>
      <c r="X29" s="20"/>
      <c r="AA29" s="340" t="s">
        <v>479</v>
      </c>
      <c r="AB29" s="349">
        <f t="shared" ref="AB29:AG29" si="18">SUM(AB17:AB28)</f>
        <v>3</v>
      </c>
      <c r="AC29" s="349">
        <f t="shared" si="18"/>
        <v>0</v>
      </c>
      <c r="AD29" s="349">
        <f t="shared" si="18"/>
        <v>0</v>
      </c>
      <c r="AE29" s="349">
        <f t="shared" si="18"/>
        <v>0</v>
      </c>
      <c r="AF29" s="349">
        <f t="shared" si="18"/>
        <v>0</v>
      </c>
      <c r="AG29" s="350">
        <f t="shared" si="18"/>
        <v>3</v>
      </c>
      <c r="AH29" s="330"/>
      <c r="AI29" s="60" t="s">
        <v>84</v>
      </c>
      <c r="AJ29" s="343">
        <f>AB17+AB36</f>
        <v>0</v>
      </c>
      <c r="AK29" s="343">
        <f t="shared" ref="AK29:AN40" si="19">AC17+AC36</f>
        <v>3</v>
      </c>
      <c r="AL29" s="343">
        <f t="shared" si="19"/>
        <v>2</v>
      </c>
      <c r="AM29" s="343">
        <f t="shared" si="19"/>
        <v>1</v>
      </c>
      <c r="AN29" s="343">
        <f t="shared" si="19"/>
        <v>0</v>
      </c>
      <c r="AO29" s="344">
        <f>SUM(AJ29:AN29)</f>
        <v>6</v>
      </c>
    </row>
    <row r="30" spans="1:41" ht="14.25" customHeight="1" thickBot="1">
      <c r="A30" s="499"/>
      <c r="B30" s="96" t="s">
        <v>401</v>
      </c>
      <c r="C30" s="95" t="s">
        <v>378</v>
      </c>
      <c r="D30" s="108">
        <v>839.23</v>
      </c>
      <c r="E30" s="108">
        <v>150</v>
      </c>
      <c r="F30" s="108">
        <v>213.84829999999999</v>
      </c>
      <c r="G30" s="94">
        <v>0.5</v>
      </c>
      <c r="H30" s="94">
        <f t="shared" si="2"/>
        <v>106.92415</v>
      </c>
      <c r="I30" s="85">
        <f t="shared" si="15"/>
        <v>43.075850000000003</v>
      </c>
      <c r="J30" s="73">
        <f t="shared" si="16"/>
        <v>142.56553333333332</v>
      </c>
      <c r="K30" s="106" t="s">
        <v>400</v>
      </c>
      <c r="L30" s="106">
        <v>1347.24</v>
      </c>
      <c r="M30" s="106">
        <v>100</v>
      </c>
      <c r="N30" s="105">
        <f t="shared" si="13"/>
        <v>213.84829999999999</v>
      </c>
      <c r="O30" s="92">
        <v>0.5</v>
      </c>
      <c r="P30" s="91">
        <f t="shared" si="5"/>
        <v>106.92415</v>
      </c>
      <c r="Q30" s="124">
        <f t="shared" si="17"/>
        <v>-6.9241499999999974</v>
      </c>
      <c r="R30" s="220" t="str">
        <f t="shared" si="14"/>
        <v>Yes</v>
      </c>
      <c r="AA30" s="340" t="s">
        <v>478</v>
      </c>
      <c r="AB30" s="351">
        <f>PRODUCT(AB29*AK20)</f>
        <v>45</v>
      </c>
      <c r="AC30" s="351">
        <f>PRODUCT(AC29*AK21)</f>
        <v>0</v>
      </c>
      <c r="AD30" s="351">
        <f>PRODUCT(AD29*AK22)</f>
        <v>0</v>
      </c>
      <c r="AE30" s="351">
        <f>PRODUCT(AE29*AK23)</f>
        <v>0</v>
      </c>
      <c r="AF30" s="351">
        <f>PRODUCT(AF29*AK24)</f>
        <v>0</v>
      </c>
      <c r="AG30" s="340">
        <f>SUM(AB30:AF30)</f>
        <v>45</v>
      </c>
      <c r="AH30" s="330"/>
      <c r="AI30" s="60" t="s">
        <v>85</v>
      </c>
      <c r="AJ30" s="343">
        <f t="shared" ref="AJ30:AJ40" si="20">AB18+AB37</f>
        <v>0</v>
      </c>
      <c r="AK30" s="343">
        <f t="shared" si="19"/>
        <v>4</v>
      </c>
      <c r="AL30" s="343">
        <f t="shared" si="19"/>
        <v>3</v>
      </c>
      <c r="AM30" s="343">
        <f t="shared" si="19"/>
        <v>0</v>
      </c>
      <c r="AN30" s="343">
        <f t="shared" si="19"/>
        <v>2</v>
      </c>
      <c r="AO30" s="60">
        <f t="shared" ref="AO30:AO40" si="21">SUM(AJ30:AN30)</f>
        <v>9</v>
      </c>
    </row>
    <row r="31" spans="1:41" ht="14.25" customHeight="1" thickBot="1">
      <c r="A31" s="499"/>
      <c r="B31" s="96" t="s">
        <v>399</v>
      </c>
      <c r="C31" s="95" t="s">
        <v>52</v>
      </c>
      <c r="D31" s="94">
        <v>428.91</v>
      </c>
      <c r="E31" s="93">
        <v>200</v>
      </c>
      <c r="F31" s="94">
        <v>320.7817</v>
      </c>
      <c r="G31" s="94">
        <v>0.5</v>
      </c>
      <c r="H31" s="94">
        <f t="shared" si="2"/>
        <v>160.39085</v>
      </c>
      <c r="I31" s="85">
        <f t="shared" si="15"/>
        <v>39.60915</v>
      </c>
      <c r="J31" s="73">
        <f t="shared" si="16"/>
        <v>160.39085</v>
      </c>
      <c r="K31" s="92" t="s">
        <v>398</v>
      </c>
      <c r="L31" s="92">
        <v>762.03</v>
      </c>
      <c r="M31" s="92">
        <v>150</v>
      </c>
      <c r="N31" s="91">
        <f t="shared" si="13"/>
        <v>320.7817</v>
      </c>
      <c r="O31" s="92">
        <v>0.5</v>
      </c>
      <c r="P31" s="91">
        <f t="shared" si="5"/>
        <v>160.39085</v>
      </c>
      <c r="Q31" s="124">
        <f t="shared" si="17"/>
        <v>-10.39085</v>
      </c>
      <c r="R31" s="220" t="str">
        <f t="shared" si="14"/>
        <v>Yes</v>
      </c>
      <c r="AA31" s="340" t="s">
        <v>477</v>
      </c>
      <c r="AB31" s="351">
        <f>AB29*AJ20</f>
        <v>300</v>
      </c>
      <c r="AC31" s="351">
        <f>AC29*AJ21</f>
        <v>0</v>
      </c>
      <c r="AD31" s="351">
        <f>AD29*AJ22</f>
        <v>0</v>
      </c>
      <c r="AE31" s="351">
        <f>AE29*AJ23</f>
        <v>0</v>
      </c>
      <c r="AF31" s="351">
        <f>AF29*AJ24</f>
        <v>0</v>
      </c>
      <c r="AG31" s="340">
        <f>SUM(AB31:AF31)</f>
        <v>300</v>
      </c>
      <c r="AH31" s="330"/>
      <c r="AI31" s="60" t="s">
        <v>86</v>
      </c>
      <c r="AJ31" s="343">
        <f t="shared" si="20"/>
        <v>1</v>
      </c>
      <c r="AK31" s="343">
        <f t="shared" si="19"/>
        <v>0</v>
      </c>
      <c r="AL31" s="343">
        <f t="shared" si="19"/>
        <v>2</v>
      </c>
      <c r="AM31" s="343">
        <f t="shared" si="19"/>
        <v>0</v>
      </c>
      <c r="AN31" s="343">
        <f t="shared" si="19"/>
        <v>1</v>
      </c>
      <c r="AO31" s="60">
        <f t="shared" si="21"/>
        <v>4</v>
      </c>
    </row>
    <row r="32" spans="1:41" ht="14.25" customHeight="1" thickBot="1">
      <c r="A32" s="499"/>
      <c r="B32" s="96" t="s">
        <v>396</v>
      </c>
      <c r="C32" s="95" t="s">
        <v>56</v>
      </c>
      <c r="D32" s="94">
        <v>268.91000000000003</v>
      </c>
      <c r="E32" s="94">
        <v>250</v>
      </c>
      <c r="F32" s="94">
        <v>277.57420000000002</v>
      </c>
      <c r="G32" s="73">
        <v>0.5</v>
      </c>
      <c r="H32" s="73">
        <f t="shared" si="2"/>
        <v>138.78710000000001</v>
      </c>
      <c r="I32" s="85">
        <f t="shared" si="15"/>
        <v>111.21289999999999</v>
      </c>
      <c r="J32" s="73">
        <f t="shared" si="16"/>
        <v>111.02968</v>
      </c>
      <c r="K32" s="92" t="s">
        <v>395</v>
      </c>
      <c r="L32" s="92">
        <v>922.03</v>
      </c>
      <c r="M32" s="92">
        <v>250</v>
      </c>
      <c r="N32" s="105">
        <f t="shared" si="13"/>
        <v>277.57420000000002</v>
      </c>
      <c r="O32" s="72">
        <v>0.5</v>
      </c>
      <c r="P32" s="119">
        <f t="shared" si="5"/>
        <v>138.78710000000001</v>
      </c>
      <c r="Q32" s="124">
        <f t="shared" si="17"/>
        <v>111.21289999999999</v>
      </c>
      <c r="R32" s="203" t="str">
        <f t="shared" si="14"/>
        <v>No</v>
      </c>
      <c r="AA32" s="330"/>
      <c r="AB32" s="330"/>
      <c r="AC32" s="18"/>
      <c r="AD32" s="330"/>
      <c r="AE32" s="330"/>
      <c r="AF32" s="330"/>
      <c r="AG32" s="330"/>
      <c r="AH32" s="330"/>
      <c r="AI32" s="60" t="s">
        <v>87</v>
      </c>
      <c r="AJ32" s="343">
        <f t="shared" si="20"/>
        <v>1</v>
      </c>
      <c r="AK32" s="343">
        <f t="shared" si="19"/>
        <v>7</v>
      </c>
      <c r="AL32" s="343">
        <f t="shared" si="19"/>
        <v>10</v>
      </c>
      <c r="AM32" s="343">
        <f t="shared" si="19"/>
        <v>6</v>
      </c>
      <c r="AN32" s="343">
        <f t="shared" si="19"/>
        <v>0</v>
      </c>
      <c r="AO32" s="60">
        <f t="shared" si="21"/>
        <v>24</v>
      </c>
    </row>
    <row r="33" spans="1:41" ht="13.5" thickBot="1">
      <c r="A33" s="497" t="s">
        <v>382</v>
      </c>
      <c r="B33" s="87" t="s">
        <v>393</v>
      </c>
      <c r="C33" s="86" t="s">
        <v>392</v>
      </c>
      <c r="D33" s="85">
        <v>774.56</v>
      </c>
      <c r="E33" s="85">
        <v>450</v>
      </c>
      <c r="F33" s="85">
        <v>593.39</v>
      </c>
      <c r="G33" s="85">
        <v>0.5</v>
      </c>
      <c r="H33" s="85">
        <f t="shared" si="2"/>
        <v>296.69499999999999</v>
      </c>
      <c r="I33" s="85">
        <f t="shared" si="15"/>
        <v>153.30500000000001</v>
      </c>
      <c r="J33" s="73">
        <f t="shared" si="16"/>
        <v>131.86444444444444</v>
      </c>
      <c r="K33" s="83" t="s">
        <v>391</v>
      </c>
      <c r="L33" s="83">
        <v>778.62</v>
      </c>
      <c r="M33" s="83">
        <v>450</v>
      </c>
      <c r="N33" s="82">
        <f t="shared" si="13"/>
        <v>593.39</v>
      </c>
      <c r="O33" s="83">
        <v>0.5</v>
      </c>
      <c r="P33" s="82">
        <f t="shared" si="5"/>
        <v>296.69499999999999</v>
      </c>
      <c r="Q33" s="124">
        <f t="shared" si="17"/>
        <v>153.30500000000001</v>
      </c>
      <c r="R33" s="203" t="str">
        <f t="shared" si="14"/>
        <v>No</v>
      </c>
      <c r="AA33" s="330"/>
      <c r="AB33" s="330"/>
      <c r="AC33" s="18"/>
      <c r="AD33" s="330"/>
      <c r="AE33" s="330"/>
      <c r="AF33" s="330"/>
      <c r="AG33" s="330"/>
      <c r="AH33" s="330"/>
      <c r="AI33" s="60" t="s">
        <v>88</v>
      </c>
      <c r="AJ33" s="343">
        <f t="shared" si="20"/>
        <v>0</v>
      </c>
      <c r="AK33" s="343">
        <f t="shared" si="19"/>
        <v>0</v>
      </c>
      <c r="AL33" s="343">
        <f t="shared" si="19"/>
        <v>7</v>
      </c>
      <c r="AM33" s="343">
        <f t="shared" si="19"/>
        <v>1</v>
      </c>
      <c r="AN33" s="343">
        <f t="shared" si="19"/>
        <v>0</v>
      </c>
      <c r="AO33" s="60">
        <f t="shared" si="21"/>
        <v>8</v>
      </c>
    </row>
    <row r="34" spans="1:41" ht="14.25" customHeight="1" thickBot="1">
      <c r="A34" s="499"/>
      <c r="B34" s="96" t="s">
        <v>387</v>
      </c>
      <c r="C34" s="95" t="s">
        <v>386</v>
      </c>
      <c r="D34" s="108">
        <v>894.93</v>
      </c>
      <c r="E34" s="107">
        <v>150</v>
      </c>
      <c r="F34" s="108">
        <v>185.4342</v>
      </c>
      <c r="G34" s="94">
        <v>0.5</v>
      </c>
      <c r="H34" s="94">
        <f t="shared" si="2"/>
        <v>92.717100000000002</v>
      </c>
      <c r="I34" s="85">
        <f t="shared" si="15"/>
        <v>57.282899999999998</v>
      </c>
      <c r="J34" s="73">
        <f t="shared" si="16"/>
        <v>123.62280000000001</v>
      </c>
      <c r="K34" s="106" t="s">
        <v>385</v>
      </c>
      <c r="L34" s="106">
        <v>975.03499999999997</v>
      </c>
      <c r="M34" s="106">
        <v>150</v>
      </c>
      <c r="N34" s="105">
        <f t="shared" si="13"/>
        <v>185.4342</v>
      </c>
      <c r="O34" s="92">
        <v>0.5</v>
      </c>
      <c r="P34" s="91">
        <f t="shared" si="5"/>
        <v>92.717100000000002</v>
      </c>
      <c r="Q34" s="124">
        <f t="shared" si="17"/>
        <v>57.282899999999998</v>
      </c>
      <c r="R34" s="203" t="str">
        <f t="shared" si="14"/>
        <v>No</v>
      </c>
      <c r="X34" s="20"/>
      <c r="AA34" s="494" t="s">
        <v>542</v>
      </c>
      <c r="AB34" s="495"/>
      <c r="AC34" s="495"/>
      <c r="AD34" s="495"/>
      <c r="AE34" s="495"/>
      <c r="AF34" s="496"/>
      <c r="AG34" s="166"/>
      <c r="AH34" s="330"/>
      <c r="AI34" s="60" t="s">
        <v>89</v>
      </c>
      <c r="AJ34" s="343">
        <f t="shared" si="20"/>
        <v>0</v>
      </c>
      <c r="AK34" s="343">
        <f t="shared" si="19"/>
        <v>5</v>
      </c>
      <c r="AL34" s="343">
        <f t="shared" si="19"/>
        <v>1</v>
      </c>
      <c r="AM34" s="343">
        <f t="shared" si="19"/>
        <v>1</v>
      </c>
      <c r="AN34" s="343">
        <f t="shared" si="19"/>
        <v>0</v>
      </c>
      <c r="AO34" s="60">
        <f t="shared" si="21"/>
        <v>7</v>
      </c>
    </row>
    <row r="35" spans="1:41" ht="14.25" customHeight="1" thickBot="1">
      <c r="A35" s="499"/>
      <c r="B35" s="96" t="s">
        <v>383</v>
      </c>
      <c r="C35" s="95" t="s">
        <v>382</v>
      </c>
      <c r="D35" s="94">
        <v>553.46500000000003</v>
      </c>
      <c r="E35" s="93">
        <v>300</v>
      </c>
      <c r="F35" s="94">
        <v>491.47570000000002</v>
      </c>
      <c r="G35" s="73">
        <v>0.5</v>
      </c>
      <c r="H35" s="73">
        <f t="shared" si="2"/>
        <v>245.73785000000001</v>
      </c>
      <c r="I35" s="85">
        <f t="shared" si="15"/>
        <v>54.262149999999991</v>
      </c>
      <c r="J35" s="73">
        <f t="shared" si="16"/>
        <v>163.82523333333333</v>
      </c>
      <c r="K35" s="92" t="s">
        <v>381</v>
      </c>
      <c r="L35" s="92">
        <v>660.12</v>
      </c>
      <c r="M35" s="92">
        <v>300</v>
      </c>
      <c r="N35" s="91">
        <f t="shared" si="13"/>
        <v>491.47570000000002</v>
      </c>
      <c r="O35" s="72">
        <v>0.5</v>
      </c>
      <c r="P35" s="119">
        <f t="shared" si="5"/>
        <v>245.73785000000001</v>
      </c>
      <c r="Q35" s="124">
        <f t="shared" si="17"/>
        <v>54.262149999999991</v>
      </c>
      <c r="R35" s="203" t="str">
        <f t="shared" si="14"/>
        <v>No</v>
      </c>
      <c r="AA35" s="336" t="s">
        <v>470</v>
      </c>
      <c r="AB35" s="337" t="s">
        <v>471</v>
      </c>
      <c r="AC35" s="337" t="s">
        <v>472</v>
      </c>
      <c r="AD35" s="337" t="s">
        <v>473</v>
      </c>
      <c r="AE35" s="338" t="s">
        <v>474</v>
      </c>
      <c r="AF35" s="339" t="s">
        <v>527</v>
      </c>
      <c r="AG35" s="340" t="s">
        <v>418</v>
      </c>
      <c r="AH35" s="330"/>
      <c r="AI35" s="60" t="s">
        <v>90</v>
      </c>
      <c r="AJ35" s="343">
        <f t="shared" si="20"/>
        <v>0</v>
      </c>
      <c r="AK35" s="343">
        <f t="shared" si="19"/>
        <v>0</v>
      </c>
      <c r="AL35" s="343">
        <f t="shared" si="19"/>
        <v>1</v>
      </c>
      <c r="AM35" s="343">
        <f t="shared" si="19"/>
        <v>1</v>
      </c>
      <c r="AN35" s="343">
        <f t="shared" si="19"/>
        <v>1</v>
      </c>
      <c r="AO35" s="60">
        <f t="shared" si="21"/>
        <v>3</v>
      </c>
    </row>
    <row r="36" spans="1:41" ht="13.5" thickBot="1">
      <c r="A36" s="497" t="s">
        <v>375</v>
      </c>
      <c r="B36" s="87" t="s">
        <v>379</v>
      </c>
      <c r="C36" s="86" t="s">
        <v>378</v>
      </c>
      <c r="D36" s="85">
        <v>839.23</v>
      </c>
      <c r="E36" s="84">
        <v>150</v>
      </c>
      <c r="F36" s="85">
        <v>213.84829999999999</v>
      </c>
      <c r="G36" s="85">
        <v>0.5</v>
      </c>
      <c r="H36" s="85">
        <f t="shared" si="2"/>
        <v>106.92415</v>
      </c>
      <c r="I36" s="85">
        <f t="shared" si="15"/>
        <v>43.075850000000003</v>
      </c>
      <c r="J36" s="73">
        <f t="shared" si="16"/>
        <v>142.56553333333332</v>
      </c>
      <c r="K36" s="83" t="s">
        <v>377</v>
      </c>
      <c r="L36" s="83">
        <v>844.89</v>
      </c>
      <c r="M36" s="83">
        <v>150</v>
      </c>
      <c r="N36" s="82">
        <f t="shared" si="13"/>
        <v>213.84829999999999</v>
      </c>
      <c r="O36" s="83">
        <v>0.5</v>
      </c>
      <c r="P36" s="82">
        <f t="shared" si="5"/>
        <v>106.92415</v>
      </c>
      <c r="Q36" s="124">
        <f t="shared" si="17"/>
        <v>43.075850000000003</v>
      </c>
      <c r="R36" s="203" t="str">
        <f t="shared" si="14"/>
        <v>No</v>
      </c>
      <c r="AA36" s="60" t="s">
        <v>84</v>
      </c>
      <c r="AB36" s="343">
        <v>0</v>
      </c>
      <c r="AC36" s="343">
        <f>3</f>
        <v>3</v>
      </c>
      <c r="AD36" s="419">
        <f>1+1</f>
        <v>2</v>
      </c>
      <c r="AE36" s="419">
        <f>1</f>
        <v>1</v>
      </c>
      <c r="AF36" s="343">
        <v>0</v>
      </c>
      <c r="AG36" s="344">
        <f>SUM(AB36:AF36)</f>
        <v>6</v>
      </c>
      <c r="AH36" s="330"/>
      <c r="AI36" s="60" t="s">
        <v>91</v>
      </c>
      <c r="AJ36" s="343">
        <f t="shared" si="20"/>
        <v>1</v>
      </c>
      <c r="AK36" s="343">
        <f t="shared" si="19"/>
        <v>7</v>
      </c>
      <c r="AL36" s="343">
        <f t="shared" si="19"/>
        <v>2</v>
      </c>
      <c r="AM36" s="343">
        <f t="shared" si="19"/>
        <v>1</v>
      </c>
      <c r="AN36" s="343">
        <f t="shared" si="19"/>
        <v>0</v>
      </c>
      <c r="AO36" s="60">
        <f t="shared" si="21"/>
        <v>11</v>
      </c>
    </row>
    <row r="37" spans="1:41" ht="14.25" customHeight="1" thickBot="1">
      <c r="A37" s="499"/>
      <c r="B37" s="96" t="s">
        <v>376</v>
      </c>
      <c r="C37" s="95" t="s">
        <v>375</v>
      </c>
      <c r="D37" s="94">
        <v>497.76499999999999</v>
      </c>
      <c r="E37" s="94">
        <v>800</v>
      </c>
      <c r="F37" s="94">
        <v>1151.328</v>
      </c>
      <c r="G37" s="73">
        <v>0.5</v>
      </c>
      <c r="H37" s="73">
        <f t="shared" si="2"/>
        <v>575.66399999999999</v>
      </c>
      <c r="I37" s="85">
        <f t="shared" si="15"/>
        <v>224.33600000000001</v>
      </c>
      <c r="J37" s="73">
        <f t="shared" si="16"/>
        <v>143.916</v>
      </c>
      <c r="K37" s="92" t="s">
        <v>374</v>
      </c>
      <c r="L37" s="92">
        <v>503.42500000000001</v>
      </c>
      <c r="M37" s="92">
        <v>800</v>
      </c>
      <c r="N37" s="91">
        <f t="shared" si="13"/>
        <v>1151.328</v>
      </c>
      <c r="O37" s="72">
        <v>0.5</v>
      </c>
      <c r="P37" s="119">
        <f t="shared" si="5"/>
        <v>575.66399999999999</v>
      </c>
      <c r="Q37" s="124">
        <f t="shared" si="17"/>
        <v>224.33600000000001</v>
      </c>
      <c r="R37" s="203" t="str">
        <f t="shared" si="14"/>
        <v>No</v>
      </c>
      <c r="AA37" s="60" t="s">
        <v>85</v>
      </c>
      <c r="AB37" s="343">
        <v>0</v>
      </c>
      <c r="AC37" s="343">
        <f>2+1+1</f>
        <v>4</v>
      </c>
      <c r="AD37" s="343">
        <f>2+1</f>
        <v>3</v>
      </c>
      <c r="AE37" s="343">
        <v>0</v>
      </c>
      <c r="AF37" s="343">
        <f>1+1</f>
        <v>2</v>
      </c>
      <c r="AG37" s="60">
        <f t="shared" ref="AG37:AG47" si="22">SUM(AB37:AF37)</f>
        <v>9</v>
      </c>
      <c r="AI37" s="60" t="s">
        <v>92</v>
      </c>
      <c r="AJ37" s="343">
        <f t="shared" si="20"/>
        <v>0</v>
      </c>
      <c r="AK37" s="343">
        <f t="shared" si="19"/>
        <v>2</v>
      </c>
      <c r="AL37" s="343">
        <f t="shared" si="19"/>
        <v>5</v>
      </c>
      <c r="AM37" s="343">
        <f t="shared" si="19"/>
        <v>0</v>
      </c>
      <c r="AN37" s="343">
        <f t="shared" si="19"/>
        <v>0</v>
      </c>
      <c r="AO37" s="60">
        <f t="shared" si="21"/>
        <v>7</v>
      </c>
    </row>
    <row r="38" spans="1:41" ht="13.5" thickBot="1">
      <c r="A38" s="279" t="s">
        <v>372</v>
      </c>
      <c r="B38" s="87" t="s">
        <v>373</v>
      </c>
      <c r="C38" s="86" t="s">
        <v>372</v>
      </c>
      <c r="D38" s="85">
        <v>285.27999999999997</v>
      </c>
      <c r="E38" s="85">
        <v>500</v>
      </c>
      <c r="F38" s="85">
        <v>779.52329999999995</v>
      </c>
      <c r="G38" s="184">
        <v>0.5</v>
      </c>
      <c r="H38" s="184">
        <f t="shared" si="2"/>
        <v>389.76164999999997</v>
      </c>
      <c r="I38" s="85">
        <f t="shared" si="15"/>
        <v>110.23835000000003</v>
      </c>
      <c r="J38" s="73">
        <f t="shared" si="16"/>
        <v>155.90465999999998</v>
      </c>
      <c r="K38" s="83" t="s">
        <v>371</v>
      </c>
      <c r="L38" s="83">
        <v>539.80499999999995</v>
      </c>
      <c r="M38" s="83">
        <v>300</v>
      </c>
      <c r="N38" s="82">
        <f t="shared" si="13"/>
        <v>779.52329999999995</v>
      </c>
      <c r="O38" s="182">
        <v>0.5</v>
      </c>
      <c r="P38" s="181">
        <f t="shared" si="5"/>
        <v>389.76164999999997</v>
      </c>
      <c r="Q38" s="124">
        <f t="shared" si="17"/>
        <v>-89.761649999999975</v>
      </c>
      <c r="R38" s="220" t="str">
        <f t="shared" si="14"/>
        <v>Yes</v>
      </c>
      <c r="S38" s="219" t="s">
        <v>327</v>
      </c>
      <c r="T38" s="218">
        <v>89.132999999999996</v>
      </c>
      <c r="AA38" s="60" t="s">
        <v>86</v>
      </c>
      <c r="AB38" s="341">
        <v>0</v>
      </c>
      <c r="AC38" s="343">
        <v>0</v>
      </c>
      <c r="AD38" s="341">
        <f>1+1</f>
        <v>2</v>
      </c>
      <c r="AE38" s="343">
        <v>0</v>
      </c>
      <c r="AF38" s="343">
        <f>1</f>
        <v>1</v>
      </c>
      <c r="AG38" s="60">
        <f t="shared" si="22"/>
        <v>3</v>
      </c>
      <c r="AI38" s="60" t="s">
        <v>93</v>
      </c>
      <c r="AJ38" s="343">
        <f t="shared" si="20"/>
        <v>0</v>
      </c>
      <c r="AK38" s="343">
        <f t="shared" si="19"/>
        <v>0</v>
      </c>
      <c r="AL38" s="343">
        <f t="shared" si="19"/>
        <v>2</v>
      </c>
      <c r="AM38" s="343">
        <f t="shared" si="19"/>
        <v>2</v>
      </c>
      <c r="AN38" s="343">
        <f t="shared" si="19"/>
        <v>0</v>
      </c>
      <c r="AO38" s="60">
        <f t="shared" si="21"/>
        <v>4</v>
      </c>
    </row>
    <row r="39" spans="1:41" ht="13.5" thickBot="1">
      <c r="A39" s="497" t="s">
        <v>60</v>
      </c>
      <c r="B39" s="87" t="s">
        <v>368</v>
      </c>
      <c r="C39" s="86" t="s">
        <v>367</v>
      </c>
      <c r="D39" s="85">
        <v>239.47</v>
      </c>
      <c r="E39" s="84">
        <v>750</v>
      </c>
      <c r="F39" s="85">
        <v>886.15449999999998</v>
      </c>
      <c r="G39" s="85">
        <v>0.5</v>
      </c>
      <c r="H39" s="85">
        <f t="shared" si="2"/>
        <v>443.07724999999999</v>
      </c>
      <c r="I39" s="85">
        <f t="shared" si="15"/>
        <v>306.92275000000001</v>
      </c>
      <c r="J39" s="73">
        <f t="shared" si="16"/>
        <v>118.15393333333333</v>
      </c>
      <c r="K39" s="83" t="s">
        <v>366</v>
      </c>
      <c r="L39" s="83">
        <v>585.61500000000001</v>
      </c>
      <c r="M39" s="83">
        <v>450</v>
      </c>
      <c r="N39" s="82">
        <f t="shared" si="13"/>
        <v>886.15449999999998</v>
      </c>
      <c r="O39" s="83">
        <v>0.5</v>
      </c>
      <c r="P39" s="82">
        <f t="shared" si="5"/>
        <v>443.07724999999999</v>
      </c>
      <c r="Q39" s="124">
        <f t="shared" si="17"/>
        <v>6.9227500000000077</v>
      </c>
      <c r="R39" s="203" t="str">
        <f t="shared" si="14"/>
        <v>No</v>
      </c>
      <c r="S39" s="262" t="s">
        <v>394</v>
      </c>
      <c r="T39" s="245" t="s">
        <v>480</v>
      </c>
      <c r="AA39" s="60" t="s">
        <v>87</v>
      </c>
      <c r="AB39" s="341">
        <v>0</v>
      </c>
      <c r="AC39" s="420">
        <f>3+2+2</f>
        <v>7</v>
      </c>
      <c r="AD39" s="343">
        <f>2+1+2+4+1</f>
        <v>10</v>
      </c>
      <c r="AE39" s="343">
        <f>1+2+3</f>
        <v>6</v>
      </c>
      <c r="AF39" s="343">
        <v>0</v>
      </c>
      <c r="AG39" s="60">
        <f t="shared" si="22"/>
        <v>23</v>
      </c>
      <c r="AI39" s="60" t="s">
        <v>94</v>
      </c>
      <c r="AJ39" s="343">
        <f t="shared" si="20"/>
        <v>0</v>
      </c>
      <c r="AK39" s="343">
        <f t="shared" si="19"/>
        <v>1</v>
      </c>
      <c r="AL39" s="343">
        <f t="shared" si="19"/>
        <v>2</v>
      </c>
      <c r="AM39" s="343">
        <f t="shared" si="19"/>
        <v>3</v>
      </c>
      <c r="AN39" s="343">
        <f t="shared" si="19"/>
        <v>0</v>
      </c>
      <c r="AO39" s="60">
        <f t="shared" si="21"/>
        <v>6</v>
      </c>
    </row>
    <row r="40" spans="1:41" ht="14.25" customHeight="1" thickBot="1">
      <c r="A40" s="498"/>
      <c r="B40" s="75" t="s">
        <v>364</v>
      </c>
      <c r="C40" s="74" t="s">
        <v>61</v>
      </c>
      <c r="D40" s="73">
        <v>381.34</v>
      </c>
      <c r="E40" s="73">
        <v>200</v>
      </c>
      <c r="F40" s="73">
        <v>233.80699999999999</v>
      </c>
      <c r="G40" s="73">
        <v>0.5</v>
      </c>
      <c r="H40" s="73">
        <f t="shared" si="2"/>
        <v>116.90349999999999</v>
      </c>
      <c r="I40" s="85">
        <f t="shared" si="15"/>
        <v>83.096500000000006</v>
      </c>
      <c r="J40" s="73">
        <f t="shared" si="16"/>
        <v>116.90350000000001</v>
      </c>
      <c r="K40" s="72" t="s">
        <v>328</v>
      </c>
      <c r="L40" s="72">
        <v>673.16499999999996</v>
      </c>
      <c r="M40" s="72">
        <v>150</v>
      </c>
      <c r="N40" s="119">
        <f t="shared" si="13"/>
        <v>233.80699999999999</v>
      </c>
      <c r="O40" s="72">
        <v>0.5</v>
      </c>
      <c r="P40" s="119">
        <f t="shared" si="5"/>
        <v>116.90349999999999</v>
      </c>
      <c r="Q40" s="124">
        <f t="shared" si="17"/>
        <v>33.096500000000006</v>
      </c>
      <c r="R40" s="203" t="str">
        <f t="shared" si="14"/>
        <v>No</v>
      </c>
      <c r="S40" s="261"/>
      <c r="T40" s="245"/>
      <c r="AA40" s="60" t="s">
        <v>88</v>
      </c>
      <c r="AB40" s="341">
        <v>0</v>
      </c>
      <c r="AC40" s="343">
        <v>0</v>
      </c>
      <c r="AD40" s="343">
        <f>1+1+1+2+1+1</f>
        <v>7</v>
      </c>
      <c r="AE40" s="343">
        <f>1</f>
        <v>1</v>
      </c>
      <c r="AF40" s="343">
        <v>0</v>
      </c>
      <c r="AG40" s="60">
        <f t="shared" si="22"/>
        <v>8</v>
      </c>
      <c r="AI40" s="326" t="s">
        <v>469</v>
      </c>
      <c r="AJ40" s="343">
        <f t="shared" si="20"/>
        <v>0</v>
      </c>
      <c r="AK40" s="343">
        <f t="shared" si="19"/>
        <v>1</v>
      </c>
      <c r="AL40" s="343">
        <f t="shared" si="19"/>
        <v>1</v>
      </c>
      <c r="AM40" s="343">
        <f t="shared" si="19"/>
        <v>0</v>
      </c>
      <c r="AN40" s="343">
        <f t="shared" si="19"/>
        <v>0</v>
      </c>
      <c r="AO40" s="326">
        <f t="shared" si="21"/>
        <v>2</v>
      </c>
    </row>
    <row r="41" spans="1:41" ht="13.5" thickBot="1">
      <c r="A41" s="499" t="s">
        <v>363</v>
      </c>
      <c r="B41" s="63" t="s">
        <v>362</v>
      </c>
      <c r="C41" s="114" t="s">
        <v>74</v>
      </c>
      <c r="D41" s="94">
        <v>632.29499999999996</v>
      </c>
      <c r="E41" s="94">
        <v>300</v>
      </c>
      <c r="F41" s="94">
        <v>416.14780000000002</v>
      </c>
      <c r="G41" s="85">
        <v>0.5</v>
      </c>
      <c r="H41" s="85">
        <f t="shared" si="2"/>
        <v>208.07390000000001</v>
      </c>
      <c r="I41" s="85">
        <f t="shared" si="15"/>
        <v>91.926099999999991</v>
      </c>
      <c r="J41" s="73">
        <f t="shared" si="16"/>
        <v>138.71593333333334</v>
      </c>
      <c r="K41" s="92" t="s">
        <v>361</v>
      </c>
      <c r="L41" s="92">
        <v>692.19500000000005</v>
      </c>
      <c r="M41" s="92">
        <v>300</v>
      </c>
      <c r="N41" s="91">
        <f t="shared" si="13"/>
        <v>416.14780000000002</v>
      </c>
      <c r="O41" s="83">
        <v>0.5</v>
      </c>
      <c r="P41" s="82">
        <f t="shared" si="5"/>
        <v>208.07390000000001</v>
      </c>
      <c r="Q41" s="124">
        <f t="shared" si="17"/>
        <v>91.926099999999991</v>
      </c>
      <c r="R41" s="203" t="str">
        <f t="shared" si="14"/>
        <v>No</v>
      </c>
      <c r="AA41" s="60" t="s">
        <v>89</v>
      </c>
      <c r="AB41" s="343">
        <v>0</v>
      </c>
      <c r="AC41" s="343">
        <f>2+2+1</f>
        <v>5</v>
      </c>
      <c r="AD41" s="343">
        <f>1</f>
        <v>1</v>
      </c>
      <c r="AE41" s="343">
        <f>1</f>
        <v>1</v>
      </c>
      <c r="AF41" s="343">
        <v>0</v>
      </c>
      <c r="AG41" s="60">
        <f t="shared" si="22"/>
        <v>7</v>
      </c>
      <c r="AI41" s="340" t="s">
        <v>479</v>
      </c>
      <c r="AJ41" s="349">
        <f>SUM(AJ29:AJ40)</f>
        <v>3</v>
      </c>
      <c r="AK41" s="349">
        <f>SUM(AK29:AK40)</f>
        <v>30</v>
      </c>
      <c r="AL41" s="349">
        <f>SUM(AL29:AL40)</f>
        <v>38</v>
      </c>
      <c r="AM41" s="349">
        <f>SUM(AM29:AM40)</f>
        <v>16</v>
      </c>
      <c r="AN41" s="349">
        <f>SUM(AN29:AN40)</f>
        <v>4</v>
      </c>
      <c r="AO41" s="350">
        <f t="shared" ref="AO41" si="23">SUM(AO29:AO40)</f>
        <v>91</v>
      </c>
    </row>
    <row r="42" spans="1:41" ht="14.25" customHeight="1" thickBot="1">
      <c r="A42" s="499"/>
      <c r="B42" s="96" t="s">
        <v>360</v>
      </c>
      <c r="C42" s="95" t="s">
        <v>55</v>
      </c>
      <c r="D42" s="108">
        <v>566.26</v>
      </c>
      <c r="E42" s="108">
        <v>300</v>
      </c>
      <c r="F42" s="108">
        <v>424.66829999999999</v>
      </c>
      <c r="G42" s="94">
        <v>0.5</v>
      </c>
      <c r="H42" s="94">
        <f t="shared" si="2"/>
        <v>212.33414999999999</v>
      </c>
      <c r="I42" s="85">
        <f t="shared" si="15"/>
        <v>87.665850000000006</v>
      </c>
      <c r="J42" s="73">
        <f t="shared" si="16"/>
        <v>141.55610000000001</v>
      </c>
      <c r="K42" s="106" t="s">
        <v>359</v>
      </c>
      <c r="L42" s="106">
        <v>1033.6600000000001</v>
      </c>
      <c r="M42" s="106">
        <v>300</v>
      </c>
      <c r="N42" s="105">
        <f t="shared" si="13"/>
        <v>424.66829999999999</v>
      </c>
      <c r="O42" s="92">
        <v>0.5</v>
      </c>
      <c r="P42" s="91">
        <f t="shared" si="5"/>
        <v>212.33414999999999</v>
      </c>
      <c r="Q42" s="124">
        <f t="shared" si="17"/>
        <v>87.665850000000006</v>
      </c>
      <c r="R42" s="203" t="str">
        <f t="shared" si="14"/>
        <v>No</v>
      </c>
      <c r="AA42" s="60" t="s">
        <v>90</v>
      </c>
      <c r="AB42" s="341">
        <v>0</v>
      </c>
      <c r="AC42" s="341">
        <v>0</v>
      </c>
      <c r="AD42" s="341">
        <f>1</f>
        <v>1</v>
      </c>
      <c r="AE42" s="343">
        <f>1</f>
        <v>1</v>
      </c>
      <c r="AF42" s="343">
        <f>1</f>
        <v>1</v>
      </c>
      <c r="AG42" s="60">
        <f t="shared" si="22"/>
        <v>3</v>
      </c>
      <c r="AI42" s="340" t="s">
        <v>478</v>
      </c>
      <c r="AJ42" s="351">
        <f>PRODUCT(AJ41*AK20)</f>
        <v>45</v>
      </c>
      <c r="AK42" s="416">
        <f>PRODUCT(AK41*AK21)</f>
        <v>491.06700000000001</v>
      </c>
      <c r="AL42" s="416">
        <f>PRODUCT(AL41*AK22)</f>
        <v>636.37459999999999</v>
      </c>
      <c r="AM42" s="416">
        <f>PRODUCT(AM41*AK23)</f>
        <v>270.18560000000002</v>
      </c>
      <c r="AN42" s="416">
        <f>PRODUCT(AN41*AK24)</f>
        <v>68</v>
      </c>
      <c r="AO42" s="421">
        <f>SUM(AJ42:AN42)</f>
        <v>1510.6272000000001</v>
      </c>
    </row>
    <row r="43" spans="1:41" ht="14.25" customHeight="1" thickBot="1">
      <c r="A43" s="499"/>
      <c r="B43" s="96" t="s">
        <v>358</v>
      </c>
      <c r="C43" s="95" t="s">
        <v>62</v>
      </c>
      <c r="D43" s="94">
        <v>174.54</v>
      </c>
      <c r="E43" s="94">
        <v>250</v>
      </c>
      <c r="F43" s="94">
        <v>80.336669999999998</v>
      </c>
      <c r="G43" s="73">
        <v>0.5</v>
      </c>
      <c r="H43" s="73">
        <f t="shared" si="2"/>
        <v>40.168334999999999</v>
      </c>
      <c r="I43" s="85">
        <f t="shared" si="15"/>
        <v>209.83166499999999</v>
      </c>
      <c r="J43" s="73">
        <f t="shared" si="16"/>
        <v>32.134667999999998</v>
      </c>
      <c r="K43" s="92" t="s">
        <v>357</v>
      </c>
      <c r="L43" s="92">
        <v>811.21</v>
      </c>
      <c r="M43" s="92">
        <v>150</v>
      </c>
      <c r="N43" s="105">
        <f t="shared" si="13"/>
        <v>80.336669999999998</v>
      </c>
      <c r="O43" s="72">
        <v>0.5</v>
      </c>
      <c r="P43" s="119">
        <f t="shared" si="5"/>
        <v>40.168334999999999</v>
      </c>
      <c r="Q43" s="124">
        <f t="shared" si="17"/>
        <v>109.831665</v>
      </c>
      <c r="R43" s="203" t="str">
        <f t="shared" si="14"/>
        <v>No</v>
      </c>
      <c r="AA43" s="60" t="s">
        <v>91</v>
      </c>
      <c r="AB43" s="341">
        <v>0</v>
      </c>
      <c r="AC43" s="341">
        <f>1+2+1+1+1+1</f>
        <v>7</v>
      </c>
      <c r="AD43" s="343">
        <f>1+1</f>
        <v>2</v>
      </c>
      <c r="AE43" s="343">
        <f>1</f>
        <v>1</v>
      </c>
      <c r="AF43" s="343">
        <v>0</v>
      </c>
      <c r="AG43" s="60">
        <f t="shared" si="22"/>
        <v>10</v>
      </c>
      <c r="AI43" s="340" t="s">
        <v>528</v>
      </c>
      <c r="AJ43" s="351">
        <f>AJ41*AJ20</f>
        <v>300</v>
      </c>
      <c r="AK43" s="351">
        <f>AK41*AJ21</f>
        <v>4500</v>
      </c>
      <c r="AL43" s="351">
        <f>AL41*AJ22</f>
        <v>7600</v>
      </c>
      <c r="AM43" s="351">
        <f>AM41*AJ23</f>
        <v>4000</v>
      </c>
      <c r="AN43" s="351">
        <f>AN41*AJ24</f>
        <v>1200</v>
      </c>
      <c r="AO43" s="340">
        <f>SUM(AJ43:AN43)</f>
        <v>17600</v>
      </c>
    </row>
    <row r="44" spans="1:41" ht="13.5" thickBot="1">
      <c r="A44" s="279" t="s">
        <v>355</v>
      </c>
      <c r="B44" s="87" t="s">
        <v>356</v>
      </c>
      <c r="C44" s="86" t="s">
        <v>355</v>
      </c>
      <c r="D44" s="85">
        <v>517.28</v>
      </c>
      <c r="E44" s="85">
        <v>200</v>
      </c>
      <c r="F44" s="85">
        <v>67.241829999999993</v>
      </c>
      <c r="G44" s="184">
        <v>0.5</v>
      </c>
      <c r="H44" s="184">
        <f t="shared" si="2"/>
        <v>33.620914999999997</v>
      </c>
      <c r="I44" s="85">
        <f t="shared" si="15"/>
        <v>166.379085</v>
      </c>
      <c r="J44" s="73">
        <f t="shared" si="16"/>
        <v>33.620914999999997</v>
      </c>
      <c r="K44" s="83" t="s">
        <v>354</v>
      </c>
      <c r="L44" s="83">
        <v>607.995</v>
      </c>
      <c r="M44" s="83">
        <v>150</v>
      </c>
      <c r="N44" s="82">
        <f t="shared" si="13"/>
        <v>67.241829999999993</v>
      </c>
      <c r="O44" s="182">
        <v>0.5</v>
      </c>
      <c r="P44" s="181">
        <f t="shared" si="5"/>
        <v>33.620914999999997</v>
      </c>
      <c r="Q44" s="124">
        <f t="shared" si="17"/>
        <v>116.379085</v>
      </c>
      <c r="R44" s="203" t="str">
        <f t="shared" si="14"/>
        <v>No</v>
      </c>
      <c r="AA44" s="60" t="s">
        <v>92</v>
      </c>
      <c r="AB44" s="343">
        <v>0</v>
      </c>
      <c r="AC44" s="341">
        <f>1+1</f>
        <v>2</v>
      </c>
      <c r="AD44" s="343">
        <f>4+1</f>
        <v>5</v>
      </c>
      <c r="AE44" s="343">
        <v>0</v>
      </c>
      <c r="AF44" s="343">
        <v>0</v>
      </c>
      <c r="AG44" s="60">
        <f t="shared" si="22"/>
        <v>7</v>
      </c>
    </row>
    <row r="45" spans="1:41" ht="13.5" thickBot="1">
      <c r="A45" s="497" t="s">
        <v>349</v>
      </c>
      <c r="B45" s="87" t="s">
        <v>353</v>
      </c>
      <c r="C45" s="86" t="s">
        <v>342</v>
      </c>
      <c r="D45" s="85">
        <v>592.98500000000001</v>
      </c>
      <c r="E45" s="85">
        <v>150</v>
      </c>
      <c r="F45" s="85">
        <v>175.91919999999999</v>
      </c>
      <c r="G45" s="85">
        <v>0.5</v>
      </c>
      <c r="H45" s="85">
        <f t="shared" si="2"/>
        <v>87.959599999999995</v>
      </c>
      <c r="I45" s="85">
        <f t="shared" si="15"/>
        <v>62.040400000000005</v>
      </c>
      <c r="J45" s="73">
        <f t="shared" si="16"/>
        <v>117.27946666666666</v>
      </c>
      <c r="K45" s="83" t="s">
        <v>352</v>
      </c>
      <c r="L45" s="83">
        <v>1051.23</v>
      </c>
      <c r="M45" s="83">
        <v>150</v>
      </c>
      <c r="N45" s="82">
        <f t="shared" si="13"/>
        <v>175.91919999999999</v>
      </c>
      <c r="O45" s="83">
        <v>0.5</v>
      </c>
      <c r="P45" s="82">
        <f t="shared" si="5"/>
        <v>87.959599999999995</v>
      </c>
      <c r="Q45" s="124">
        <f t="shared" si="17"/>
        <v>62.040400000000005</v>
      </c>
      <c r="R45" s="203" t="str">
        <f t="shared" si="14"/>
        <v>No</v>
      </c>
      <c r="AA45" s="60" t="s">
        <v>93</v>
      </c>
      <c r="AB45" s="343">
        <v>0</v>
      </c>
      <c r="AC45" s="341">
        <v>0</v>
      </c>
      <c r="AD45" s="343">
        <f>1+1</f>
        <v>2</v>
      </c>
      <c r="AE45" s="343">
        <f>2</f>
        <v>2</v>
      </c>
      <c r="AF45" s="343">
        <v>0</v>
      </c>
      <c r="AG45" s="60">
        <f t="shared" si="22"/>
        <v>4</v>
      </c>
    </row>
    <row r="46" spans="1:41" ht="14.25" customHeight="1" thickBot="1">
      <c r="A46" s="499"/>
      <c r="B46" s="96" t="s">
        <v>350</v>
      </c>
      <c r="C46" s="95" t="s">
        <v>349</v>
      </c>
      <c r="D46" s="108">
        <v>374.84</v>
      </c>
      <c r="E46" s="108">
        <v>200</v>
      </c>
      <c r="F46" s="108">
        <v>115.1143</v>
      </c>
      <c r="G46" s="94">
        <v>0.5</v>
      </c>
      <c r="H46" s="94">
        <f t="shared" si="2"/>
        <v>57.55715</v>
      </c>
      <c r="I46" s="85">
        <f t="shared" si="15"/>
        <v>142.44284999999999</v>
      </c>
      <c r="J46" s="73">
        <f t="shared" si="16"/>
        <v>57.55715</v>
      </c>
      <c r="K46" s="106" t="s">
        <v>348</v>
      </c>
      <c r="L46" s="106">
        <v>838.745</v>
      </c>
      <c r="M46" s="106">
        <v>150</v>
      </c>
      <c r="N46" s="105">
        <f t="shared" si="13"/>
        <v>115.1143</v>
      </c>
      <c r="O46" s="92">
        <v>0.5</v>
      </c>
      <c r="P46" s="91">
        <f t="shared" si="5"/>
        <v>57.55715</v>
      </c>
      <c r="Q46" s="124">
        <f t="shared" si="17"/>
        <v>92.442849999999993</v>
      </c>
      <c r="R46" s="203" t="str">
        <f t="shared" si="14"/>
        <v>No</v>
      </c>
      <c r="AA46" s="60" t="s">
        <v>94</v>
      </c>
      <c r="AB46" s="343">
        <v>0</v>
      </c>
      <c r="AC46" s="420">
        <f>1</f>
        <v>1</v>
      </c>
      <c r="AD46" s="343">
        <f>1+1</f>
        <v>2</v>
      </c>
      <c r="AE46" s="343">
        <f>3</f>
        <v>3</v>
      </c>
      <c r="AF46" s="343">
        <v>0</v>
      </c>
      <c r="AG46" s="60">
        <f t="shared" si="22"/>
        <v>6</v>
      </c>
    </row>
    <row r="47" spans="1:41" ht="14.25" customHeight="1" thickBot="1">
      <c r="A47" s="499"/>
      <c r="B47" s="96" t="s">
        <v>347</v>
      </c>
      <c r="C47" s="95" t="s">
        <v>335</v>
      </c>
      <c r="D47" s="108">
        <v>675.17499999999995</v>
      </c>
      <c r="E47" s="108">
        <v>150</v>
      </c>
      <c r="F47" s="108">
        <v>87.5685</v>
      </c>
      <c r="G47" s="94">
        <v>0.5</v>
      </c>
      <c r="H47" s="94">
        <f t="shared" si="2"/>
        <v>43.78425</v>
      </c>
      <c r="I47" s="85">
        <f t="shared" si="15"/>
        <v>106.21575</v>
      </c>
      <c r="J47" s="73">
        <f t="shared" si="16"/>
        <v>58.379000000000005</v>
      </c>
      <c r="K47" s="106" t="s">
        <v>346</v>
      </c>
      <c r="L47" s="106">
        <v>792.93499999999995</v>
      </c>
      <c r="M47" s="106">
        <v>150</v>
      </c>
      <c r="N47" s="105">
        <f t="shared" si="13"/>
        <v>87.5685</v>
      </c>
      <c r="O47" s="92">
        <v>0.5</v>
      </c>
      <c r="P47" s="91">
        <f t="shared" si="5"/>
        <v>43.78425</v>
      </c>
      <c r="Q47" s="124">
        <f t="shared" si="17"/>
        <v>106.21575</v>
      </c>
      <c r="R47" s="203" t="str">
        <f t="shared" si="14"/>
        <v>No</v>
      </c>
      <c r="AA47" s="326" t="s">
        <v>469</v>
      </c>
      <c r="AB47" s="348">
        <v>0</v>
      </c>
      <c r="AC47" s="348">
        <f>1</f>
        <v>1</v>
      </c>
      <c r="AD47" s="348">
        <f>1</f>
        <v>1</v>
      </c>
      <c r="AE47" s="348">
        <v>0</v>
      </c>
      <c r="AF47" s="348">
        <v>0</v>
      </c>
      <c r="AG47" s="326">
        <f t="shared" si="22"/>
        <v>2</v>
      </c>
    </row>
    <row r="48" spans="1:41" ht="14.25" customHeight="1" thickBot="1">
      <c r="A48" s="499"/>
      <c r="B48" s="96" t="s">
        <v>339</v>
      </c>
      <c r="C48" s="95" t="s">
        <v>338</v>
      </c>
      <c r="D48" s="94">
        <v>768.38499999999999</v>
      </c>
      <c r="E48" s="94">
        <v>150</v>
      </c>
      <c r="F48" s="94">
        <v>46.164000000000001</v>
      </c>
      <c r="G48" s="73">
        <v>0.5</v>
      </c>
      <c r="H48" s="73">
        <f t="shared" si="2"/>
        <v>23.082000000000001</v>
      </c>
      <c r="I48" s="85">
        <f t="shared" si="15"/>
        <v>126.91800000000001</v>
      </c>
      <c r="J48" s="73">
        <f t="shared" si="16"/>
        <v>30.776000000000003</v>
      </c>
      <c r="K48" s="92" t="s">
        <v>345</v>
      </c>
      <c r="L48" s="92">
        <v>934.80499999999995</v>
      </c>
      <c r="M48" s="92">
        <v>150</v>
      </c>
      <c r="N48" s="91">
        <f t="shared" si="13"/>
        <v>46.164000000000001</v>
      </c>
      <c r="O48" s="72">
        <v>0.5</v>
      </c>
      <c r="P48" s="119">
        <f t="shared" si="5"/>
        <v>23.082000000000001</v>
      </c>
      <c r="Q48" s="124">
        <f t="shared" si="17"/>
        <v>126.91800000000001</v>
      </c>
      <c r="R48" s="203" t="str">
        <f t="shared" si="14"/>
        <v>No</v>
      </c>
      <c r="AA48" s="340" t="s">
        <v>479</v>
      </c>
      <c r="AB48" s="349">
        <f>SUM(AB36:AB47)</f>
        <v>0</v>
      </c>
      <c r="AC48" s="349">
        <f>SUM(AC36:AC47)</f>
        <v>30</v>
      </c>
      <c r="AD48" s="349">
        <f>SUM(AD36:AD47)</f>
        <v>38</v>
      </c>
      <c r="AE48" s="349">
        <f>SUM(AE36:AE47)</f>
        <v>16</v>
      </c>
      <c r="AF48" s="349">
        <f>SUM(AF36:AF47)</f>
        <v>4</v>
      </c>
      <c r="AG48" s="350">
        <f t="shared" ref="AG48" si="24">SUM(AG36:AG47)</f>
        <v>88</v>
      </c>
    </row>
    <row r="49" spans="1:33" ht="13.5" thickBot="1">
      <c r="A49" s="497" t="s">
        <v>344</v>
      </c>
      <c r="B49" s="87" t="s">
        <v>343</v>
      </c>
      <c r="C49" s="86" t="s">
        <v>342</v>
      </c>
      <c r="D49" s="85">
        <v>592.98500000000001</v>
      </c>
      <c r="E49" s="85">
        <v>150</v>
      </c>
      <c r="F49" s="85">
        <v>175.91919999999999</v>
      </c>
      <c r="G49" s="85">
        <v>0.5</v>
      </c>
      <c r="H49" s="85">
        <f t="shared" si="2"/>
        <v>87.959599999999995</v>
      </c>
      <c r="I49" s="85">
        <f t="shared" si="15"/>
        <v>62.040400000000005</v>
      </c>
      <c r="J49" s="73">
        <f t="shared" si="16"/>
        <v>117.27946666666666</v>
      </c>
      <c r="K49" s="83" t="s">
        <v>341</v>
      </c>
      <c r="L49" s="83">
        <v>992.44500000000005</v>
      </c>
      <c r="M49" s="83">
        <v>150</v>
      </c>
      <c r="N49" s="82">
        <f t="shared" si="13"/>
        <v>175.91919999999999</v>
      </c>
      <c r="O49" s="83">
        <v>0.5</v>
      </c>
      <c r="P49" s="82">
        <f t="shared" si="5"/>
        <v>87.959599999999995</v>
      </c>
      <c r="Q49" s="124">
        <f t="shared" si="17"/>
        <v>62.040400000000005</v>
      </c>
      <c r="R49" s="203" t="str">
        <f t="shared" si="14"/>
        <v>No</v>
      </c>
      <c r="AA49" s="340" t="s">
        <v>478</v>
      </c>
      <c r="AB49" s="416">
        <f>PRODUCT(AB48*AK20)</f>
        <v>0</v>
      </c>
      <c r="AC49" s="416">
        <f>PRODUCT(AC48*AK21)</f>
        <v>491.06700000000001</v>
      </c>
      <c r="AD49" s="416">
        <f>PRODUCT(AD48*AK22)</f>
        <v>636.37459999999999</v>
      </c>
      <c r="AE49" s="416">
        <f>PRODUCT(AE48*AK23)</f>
        <v>270.18560000000002</v>
      </c>
      <c r="AF49" s="416">
        <f>PRODUCT(AF48*AK24)</f>
        <v>68</v>
      </c>
      <c r="AG49" s="421">
        <f>SUM(AB49:AF49)</f>
        <v>1465.6272000000001</v>
      </c>
    </row>
    <row r="50" spans="1:33" ht="14.25" customHeight="1" thickBot="1">
      <c r="A50" s="499"/>
      <c r="B50" s="96" t="s">
        <v>339</v>
      </c>
      <c r="C50" s="95" t="s">
        <v>338</v>
      </c>
      <c r="D50" s="94">
        <v>768.38499999999999</v>
      </c>
      <c r="E50" s="94">
        <v>150</v>
      </c>
      <c r="F50" s="94">
        <v>46.164000000000001</v>
      </c>
      <c r="G50" s="73">
        <v>0.5</v>
      </c>
      <c r="H50" s="73">
        <f t="shared" si="2"/>
        <v>23.082000000000001</v>
      </c>
      <c r="I50" s="85">
        <f t="shared" si="15"/>
        <v>126.91800000000001</v>
      </c>
      <c r="J50" s="73">
        <f t="shared" si="16"/>
        <v>30.776000000000003</v>
      </c>
      <c r="K50" s="92" t="s">
        <v>337</v>
      </c>
      <c r="L50" s="92">
        <v>817.04499999999996</v>
      </c>
      <c r="M50" s="92">
        <v>150</v>
      </c>
      <c r="N50" s="91">
        <f t="shared" si="13"/>
        <v>46.164000000000001</v>
      </c>
      <c r="O50" s="72">
        <v>0.5</v>
      </c>
      <c r="P50" s="119">
        <f t="shared" si="5"/>
        <v>23.082000000000001</v>
      </c>
      <c r="Q50" s="124">
        <f t="shared" si="17"/>
        <v>126.91800000000001</v>
      </c>
      <c r="R50" s="203" t="str">
        <f t="shared" si="14"/>
        <v>No</v>
      </c>
      <c r="AA50" s="340" t="s">
        <v>528</v>
      </c>
      <c r="AB50" s="351">
        <f>AB48*AJ20</f>
        <v>0</v>
      </c>
      <c r="AC50" s="351">
        <f>AC48*AJ21</f>
        <v>4500</v>
      </c>
      <c r="AD50" s="351">
        <f>AD48*AJ22</f>
        <v>7600</v>
      </c>
      <c r="AE50" s="351">
        <f>AE48*AJ23</f>
        <v>4000</v>
      </c>
      <c r="AF50" s="351">
        <f>AF48*AJ24</f>
        <v>1200</v>
      </c>
      <c r="AG50" s="340">
        <f>SUM(AB50:AF50)</f>
        <v>17300</v>
      </c>
    </row>
    <row r="51" spans="1:33" ht="13.5" thickBot="1">
      <c r="A51" s="497" t="s">
        <v>340</v>
      </c>
      <c r="B51" s="87" t="s">
        <v>339</v>
      </c>
      <c r="C51" s="86" t="s">
        <v>338</v>
      </c>
      <c r="D51" s="85">
        <v>768.38499999999999</v>
      </c>
      <c r="E51" s="85">
        <v>150</v>
      </c>
      <c r="F51" s="85">
        <v>46.164000000000001</v>
      </c>
      <c r="G51" s="85">
        <v>0.5</v>
      </c>
      <c r="H51" s="85">
        <f t="shared" si="2"/>
        <v>23.082000000000001</v>
      </c>
      <c r="I51" s="85">
        <f t="shared" si="15"/>
        <v>126.91800000000001</v>
      </c>
      <c r="J51" s="73">
        <f t="shared" si="16"/>
        <v>30.776000000000003</v>
      </c>
      <c r="K51" s="83" t="s">
        <v>337</v>
      </c>
      <c r="L51" s="83">
        <v>817.04499999999996</v>
      </c>
      <c r="M51" s="83">
        <v>150</v>
      </c>
      <c r="N51" s="82">
        <f t="shared" si="13"/>
        <v>46.164000000000001</v>
      </c>
      <c r="O51" s="83">
        <v>0.5</v>
      </c>
      <c r="P51" s="82">
        <f t="shared" si="5"/>
        <v>23.082000000000001</v>
      </c>
      <c r="Q51" s="124">
        <f t="shared" si="17"/>
        <v>126.91800000000001</v>
      </c>
      <c r="R51" s="203" t="str">
        <f t="shared" si="14"/>
        <v>No</v>
      </c>
    </row>
    <row r="52" spans="1:33" ht="14.25" customHeight="1" thickBot="1">
      <c r="A52" s="499"/>
      <c r="B52" s="96" t="s">
        <v>30</v>
      </c>
      <c r="C52" s="95" t="s">
        <v>326</v>
      </c>
      <c r="D52" s="94">
        <v>317.27</v>
      </c>
      <c r="E52" s="94">
        <v>200</v>
      </c>
      <c r="F52" s="94">
        <v>136.87530000000001</v>
      </c>
      <c r="G52" s="73">
        <v>0.5</v>
      </c>
      <c r="H52" s="73">
        <f t="shared" si="2"/>
        <v>68.437650000000005</v>
      </c>
      <c r="I52" s="85">
        <f t="shared" si="15"/>
        <v>131.56234999999998</v>
      </c>
      <c r="J52" s="73">
        <f t="shared" si="16"/>
        <v>68.437650000000005</v>
      </c>
      <c r="K52" s="92" t="s">
        <v>325</v>
      </c>
      <c r="L52" s="92">
        <v>518.48</v>
      </c>
      <c r="M52" s="92">
        <v>200</v>
      </c>
      <c r="N52" s="91">
        <f t="shared" si="13"/>
        <v>136.87530000000001</v>
      </c>
      <c r="O52" s="72">
        <v>0.5</v>
      </c>
      <c r="P52" s="119">
        <f t="shared" si="5"/>
        <v>68.437650000000005</v>
      </c>
      <c r="Q52" s="124">
        <f t="shared" si="17"/>
        <v>131.56234999999998</v>
      </c>
      <c r="R52" s="203" t="str">
        <f t="shared" si="14"/>
        <v>No</v>
      </c>
    </row>
    <row r="53" spans="1:33" ht="13.5" thickBot="1">
      <c r="A53" s="497" t="s">
        <v>336</v>
      </c>
      <c r="B53" s="87" t="s">
        <v>28</v>
      </c>
      <c r="C53" s="86" t="s">
        <v>335</v>
      </c>
      <c r="D53" s="85">
        <v>675.17499999999995</v>
      </c>
      <c r="E53" s="85">
        <v>150</v>
      </c>
      <c r="F53" s="85">
        <v>87.5685</v>
      </c>
      <c r="G53" s="85">
        <v>0.5</v>
      </c>
      <c r="H53" s="85">
        <f t="shared" si="2"/>
        <v>43.78425</v>
      </c>
      <c r="I53" s="85">
        <f t="shared" si="15"/>
        <v>106.21575</v>
      </c>
      <c r="J53" s="73">
        <f t="shared" si="16"/>
        <v>58.379000000000005</v>
      </c>
      <c r="K53" s="83" t="s">
        <v>334</v>
      </c>
      <c r="L53" s="83">
        <v>792.93499999999995</v>
      </c>
      <c r="M53" s="83">
        <v>150</v>
      </c>
      <c r="N53" s="82">
        <f t="shared" si="13"/>
        <v>87.5685</v>
      </c>
      <c r="O53" s="83">
        <v>0.5</v>
      </c>
      <c r="P53" s="82">
        <f t="shared" si="5"/>
        <v>43.78425</v>
      </c>
      <c r="Q53" s="124">
        <f t="shared" si="17"/>
        <v>106.21575</v>
      </c>
      <c r="R53" s="203" t="str">
        <f t="shared" si="14"/>
        <v>No</v>
      </c>
    </row>
    <row r="54" spans="1:33" ht="13.5" thickBot="1">
      <c r="A54" s="499"/>
      <c r="B54" s="96" t="s">
        <v>333</v>
      </c>
      <c r="C54" s="95" t="s">
        <v>332</v>
      </c>
      <c r="D54" s="94">
        <v>300.33499999999998</v>
      </c>
      <c r="E54" s="94">
        <v>200</v>
      </c>
      <c r="F54" s="94">
        <v>33.29833</v>
      </c>
      <c r="G54" s="73">
        <v>0.5</v>
      </c>
      <c r="H54" s="73">
        <f t="shared" si="2"/>
        <v>16.649165</v>
      </c>
      <c r="I54" s="85">
        <f t="shared" si="15"/>
        <v>183.35083499999999</v>
      </c>
      <c r="J54" s="73">
        <f t="shared" si="16"/>
        <v>16.649165</v>
      </c>
      <c r="K54" s="92" t="s">
        <v>331</v>
      </c>
      <c r="L54" s="92">
        <v>524.75</v>
      </c>
      <c r="M54" s="92">
        <v>200</v>
      </c>
      <c r="N54" s="91">
        <f t="shared" si="13"/>
        <v>33.29833</v>
      </c>
      <c r="O54" s="72">
        <v>0.5</v>
      </c>
      <c r="P54" s="119">
        <f t="shared" si="5"/>
        <v>16.649165</v>
      </c>
      <c r="Q54" s="124">
        <f t="shared" si="17"/>
        <v>183.35083499999999</v>
      </c>
      <c r="R54" s="203" t="str">
        <f t="shared" si="14"/>
        <v>No</v>
      </c>
    </row>
    <row r="55" spans="1:33" ht="13.5" thickBot="1">
      <c r="A55" s="497" t="s">
        <v>330</v>
      </c>
      <c r="B55" s="87" t="s">
        <v>329</v>
      </c>
      <c r="C55" s="86" t="s">
        <v>61</v>
      </c>
      <c r="D55" s="85">
        <v>381.34</v>
      </c>
      <c r="E55" s="85">
        <v>200</v>
      </c>
      <c r="F55" s="85">
        <v>233.80699999999999</v>
      </c>
      <c r="G55" s="85">
        <v>0.5</v>
      </c>
      <c r="H55" s="85">
        <f t="shared" si="2"/>
        <v>116.90349999999999</v>
      </c>
      <c r="I55" s="85">
        <f t="shared" si="15"/>
        <v>83.096500000000006</v>
      </c>
      <c r="J55" s="73">
        <f t="shared" si="16"/>
        <v>116.90350000000001</v>
      </c>
      <c r="K55" s="83" t="s">
        <v>328</v>
      </c>
      <c r="L55" s="83">
        <v>673.16499999999996</v>
      </c>
      <c r="M55" s="83">
        <v>200</v>
      </c>
      <c r="N55" s="82">
        <f t="shared" si="13"/>
        <v>233.80699999999999</v>
      </c>
      <c r="O55" s="83">
        <v>0.5</v>
      </c>
      <c r="P55" s="82">
        <f t="shared" si="5"/>
        <v>116.90349999999999</v>
      </c>
      <c r="Q55" s="124">
        <f t="shared" si="17"/>
        <v>83.096500000000006</v>
      </c>
      <c r="R55" s="203" t="str">
        <f t="shared" si="14"/>
        <v>No</v>
      </c>
    </row>
    <row r="56" spans="1:33" ht="14.25" customHeight="1" thickBot="1">
      <c r="A56" s="498"/>
      <c r="B56" s="75" t="s">
        <v>30</v>
      </c>
      <c r="C56" s="74" t="s">
        <v>326</v>
      </c>
      <c r="D56" s="73">
        <v>317.27</v>
      </c>
      <c r="E56" s="73">
        <v>200</v>
      </c>
      <c r="F56" s="73">
        <v>136.87530000000001</v>
      </c>
      <c r="G56" s="73">
        <v>0.5</v>
      </c>
      <c r="H56" s="73">
        <f t="shared" si="2"/>
        <v>68.437650000000005</v>
      </c>
      <c r="I56" s="85">
        <f t="shared" si="15"/>
        <v>131.56234999999998</v>
      </c>
      <c r="J56" s="73">
        <f t="shared" si="16"/>
        <v>68.437650000000005</v>
      </c>
      <c r="K56" s="72" t="s">
        <v>325</v>
      </c>
      <c r="L56" s="72">
        <v>518.48</v>
      </c>
      <c r="M56" s="72">
        <v>200</v>
      </c>
      <c r="N56" s="71">
        <f t="shared" si="13"/>
        <v>136.87530000000001</v>
      </c>
      <c r="O56" s="72">
        <v>0.5</v>
      </c>
      <c r="P56" s="119">
        <f t="shared" si="5"/>
        <v>68.437650000000005</v>
      </c>
      <c r="Q56" s="124">
        <f t="shared" si="17"/>
        <v>131.56234999999998</v>
      </c>
      <c r="R56" s="254" t="str">
        <f t="shared" si="14"/>
        <v>No</v>
      </c>
    </row>
    <row r="57" spans="1:33">
      <c r="A57" s="20"/>
      <c r="B57" s="64"/>
      <c r="C57" s="20"/>
      <c r="D57" s="20"/>
      <c r="E57" s="20"/>
      <c r="F57" s="64"/>
      <c r="G57" s="20"/>
      <c r="H57" s="20"/>
      <c r="I57" s="20"/>
      <c r="J57" s="20"/>
      <c r="K57" s="20"/>
      <c r="L57" s="20"/>
      <c r="M57" s="20"/>
      <c r="N57" s="11"/>
      <c r="O57" s="11"/>
      <c r="P57" s="11"/>
      <c r="Q57" s="20"/>
    </row>
    <row r="58" spans="1:33">
      <c r="A58" s="20"/>
      <c r="B58" s="64"/>
      <c r="C58" s="20"/>
      <c r="D58" s="20"/>
      <c r="E58" s="20"/>
      <c r="F58" s="64"/>
      <c r="G58" s="20"/>
      <c r="H58" s="20"/>
      <c r="I58" s="20"/>
      <c r="J58" s="20"/>
      <c r="K58" s="20"/>
      <c r="L58" s="20"/>
      <c r="M58" s="20"/>
      <c r="N58" s="11"/>
      <c r="O58" s="11"/>
      <c r="P58" s="11"/>
      <c r="Q58" s="20"/>
    </row>
    <row r="59" spans="1:33">
      <c r="A59" s="20"/>
      <c r="B59" s="64"/>
      <c r="C59" s="20"/>
      <c r="D59" s="20"/>
      <c r="E59" s="20"/>
      <c r="F59" s="64"/>
      <c r="G59" s="20"/>
      <c r="H59" s="20"/>
      <c r="I59" s="20"/>
      <c r="J59" s="20"/>
      <c r="K59" s="20"/>
      <c r="L59" s="20"/>
      <c r="M59" s="20"/>
      <c r="N59" s="11"/>
      <c r="O59" s="11"/>
      <c r="P59" s="11"/>
      <c r="Q59" s="20"/>
    </row>
    <row r="60" spans="1:33">
      <c r="A60" s="20"/>
      <c r="B60" s="64"/>
      <c r="C60" s="20"/>
      <c r="D60" s="20"/>
      <c r="E60" s="20"/>
      <c r="F60" s="64"/>
      <c r="G60" s="20"/>
      <c r="H60" s="20"/>
      <c r="I60" s="20"/>
      <c r="J60" s="20"/>
      <c r="K60" s="20"/>
      <c r="L60" s="20"/>
      <c r="M60" s="20"/>
      <c r="N60" s="11"/>
      <c r="O60" s="11"/>
      <c r="P60" s="11"/>
      <c r="Q60" s="20"/>
      <c r="U60" s="533"/>
      <c r="V60" s="533"/>
      <c r="W60" s="533"/>
    </row>
    <row r="61" spans="1:33">
      <c r="A61" s="20"/>
      <c r="B61" s="64"/>
      <c r="C61" s="20"/>
      <c r="D61" s="20"/>
      <c r="E61" s="20"/>
      <c r="F61" s="64"/>
      <c r="G61" s="20"/>
      <c r="H61" s="20"/>
      <c r="I61" s="20"/>
      <c r="J61" s="20"/>
      <c r="K61" s="20"/>
      <c r="L61" s="20"/>
      <c r="M61" s="20"/>
      <c r="N61" s="11"/>
      <c r="O61" s="11"/>
      <c r="P61" s="11"/>
      <c r="Q61" s="20"/>
      <c r="U61" s="390"/>
      <c r="V61" s="390"/>
      <c r="W61" s="390"/>
    </row>
    <row r="62" spans="1:33">
      <c r="A62" s="20"/>
      <c r="B62" s="65"/>
      <c r="C62" s="20"/>
      <c r="D62" s="20"/>
      <c r="E62" s="20"/>
      <c r="F62" s="64"/>
      <c r="G62" s="20"/>
      <c r="H62" s="20"/>
      <c r="I62" s="20"/>
      <c r="J62" s="20"/>
      <c r="K62" s="20"/>
      <c r="L62" s="20"/>
      <c r="M62" s="20"/>
      <c r="N62" s="11"/>
      <c r="O62" s="11"/>
      <c r="P62" s="11"/>
      <c r="Q62" s="20"/>
      <c r="U62" s="390"/>
      <c r="V62" s="390"/>
      <c r="W62" s="390"/>
    </row>
    <row r="63" spans="1:33">
      <c r="A63" s="20"/>
      <c r="B63" s="65"/>
      <c r="C63" s="20"/>
      <c r="D63" s="20"/>
      <c r="E63" s="20"/>
      <c r="F63" s="64"/>
      <c r="G63" s="20"/>
      <c r="H63" s="20"/>
      <c r="I63" s="20"/>
      <c r="J63" s="20"/>
      <c r="K63" s="20"/>
      <c r="L63" s="20"/>
      <c r="M63" s="20"/>
      <c r="N63" s="11"/>
      <c r="O63" s="11"/>
      <c r="P63" s="11"/>
      <c r="Q63" s="20"/>
      <c r="U63" s="390"/>
      <c r="V63" s="390"/>
      <c r="W63" s="390"/>
    </row>
    <row r="64" spans="1:33">
      <c r="A64" s="20"/>
      <c r="B64" s="65"/>
      <c r="C64" s="20"/>
      <c r="D64" s="20"/>
      <c r="E64" s="20"/>
      <c r="F64" s="64"/>
      <c r="G64" s="20"/>
      <c r="H64" s="20"/>
      <c r="I64" s="20"/>
      <c r="J64" s="20"/>
      <c r="K64" s="20"/>
      <c r="L64" s="20"/>
      <c r="M64" s="20"/>
      <c r="N64" s="11"/>
      <c r="O64" s="11"/>
      <c r="P64" s="11"/>
      <c r="Q64" s="20"/>
      <c r="U64" s="390"/>
      <c r="V64" s="390"/>
      <c r="W64" s="390"/>
    </row>
    <row r="65" spans="1:23">
      <c r="A65" s="20"/>
      <c r="B65" s="64"/>
      <c r="C65" s="20"/>
      <c r="D65" s="20"/>
      <c r="J65" s="20"/>
      <c r="K65" s="20"/>
      <c r="M65" s="20"/>
      <c r="N65" s="11"/>
      <c r="O65" s="11"/>
      <c r="P65" s="11"/>
      <c r="Q65" s="20"/>
      <c r="U65" s="390"/>
      <c r="V65" s="390"/>
      <c r="W65" s="390"/>
    </row>
    <row r="66" spans="1:23">
      <c r="A66" s="20"/>
      <c r="B66" s="64"/>
      <c r="C66" s="20"/>
      <c r="D66" s="20"/>
      <c r="J66" s="20"/>
      <c r="K66" s="20"/>
      <c r="M66" s="20"/>
      <c r="N66" s="11"/>
      <c r="O66" s="11"/>
      <c r="P66" s="11"/>
      <c r="Q66" s="20"/>
      <c r="U66" s="390"/>
      <c r="V66" s="390"/>
      <c r="W66" s="390"/>
    </row>
    <row r="67" spans="1:23">
      <c r="A67" s="20"/>
      <c r="B67" s="64"/>
      <c r="C67" s="20"/>
      <c r="D67" s="20"/>
      <c r="J67" s="20"/>
      <c r="K67" s="20"/>
      <c r="M67" s="20"/>
      <c r="N67" s="11"/>
      <c r="O67" s="11"/>
      <c r="P67" s="11"/>
      <c r="Q67" s="20"/>
      <c r="U67" s="390"/>
      <c r="V67" s="390"/>
      <c r="W67" s="390"/>
    </row>
    <row r="68" spans="1:23">
      <c r="A68" s="20"/>
      <c r="B68" s="64"/>
      <c r="C68" s="20"/>
      <c r="D68" s="20"/>
      <c r="E68" s="20"/>
      <c r="F68" s="64"/>
      <c r="G68" s="20"/>
      <c r="H68" s="20"/>
      <c r="I68" s="20"/>
      <c r="J68" s="20"/>
      <c r="K68" s="20"/>
      <c r="L68" s="20"/>
      <c r="M68" s="20"/>
      <c r="N68" s="11"/>
      <c r="O68" s="11"/>
      <c r="P68" s="11"/>
      <c r="Q68" s="20"/>
      <c r="U68" s="390"/>
      <c r="V68" s="390"/>
      <c r="W68" s="390"/>
    </row>
    <row r="69" spans="1:23">
      <c r="B69" s="64"/>
      <c r="C69" s="20"/>
      <c r="D69" s="20"/>
      <c r="E69" s="20"/>
      <c r="F69" s="64"/>
      <c r="G69" s="20"/>
      <c r="H69" s="20"/>
      <c r="I69" s="20"/>
      <c r="J69" s="20"/>
      <c r="K69" s="20"/>
      <c r="L69" s="20"/>
      <c r="M69" s="20"/>
      <c r="N69" s="11"/>
      <c r="O69" s="11"/>
      <c r="P69" s="11"/>
      <c r="Q69" s="20"/>
      <c r="S69" s="58"/>
      <c r="T69" s="58"/>
      <c r="U69" s="390"/>
      <c r="V69" s="390"/>
      <c r="W69" s="390"/>
    </row>
    <row r="70" spans="1:23">
      <c r="B70" s="64"/>
      <c r="C70" s="20"/>
      <c r="D70" s="20"/>
      <c r="E70" s="20"/>
      <c r="F70" s="64"/>
      <c r="G70" s="20"/>
      <c r="H70" s="20"/>
      <c r="I70" s="20"/>
      <c r="J70" s="20"/>
      <c r="K70" s="20"/>
      <c r="L70" s="20"/>
      <c r="M70" s="20"/>
      <c r="N70" s="11"/>
      <c r="O70" s="11"/>
      <c r="P70" s="11"/>
      <c r="Q70" s="20"/>
      <c r="S70" s="58"/>
      <c r="T70" s="58"/>
      <c r="U70" s="390"/>
      <c r="V70" s="390"/>
      <c r="W70" s="390"/>
    </row>
    <row r="71" spans="1:23">
      <c r="B71" s="64"/>
      <c r="C71" s="20"/>
      <c r="D71" s="20"/>
      <c r="E71" s="20"/>
      <c r="F71" s="64"/>
      <c r="G71" s="20"/>
      <c r="H71" s="20"/>
      <c r="I71" s="20"/>
      <c r="J71" s="20"/>
      <c r="K71" s="20"/>
      <c r="L71" s="20"/>
      <c r="M71" s="20"/>
      <c r="N71" s="11"/>
      <c r="O71" s="11"/>
      <c r="P71" s="11"/>
      <c r="Q71" s="20"/>
      <c r="S71" s="58"/>
      <c r="T71" s="58"/>
      <c r="U71" s="390"/>
      <c r="V71" s="390"/>
      <c r="W71" s="390"/>
    </row>
    <row r="72" spans="1:23">
      <c r="B72" s="64"/>
      <c r="C72" s="20"/>
      <c r="D72" s="20"/>
      <c r="E72" s="20"/>
      <c r="F72" s="64"/>
      <c r="G72" s="20"/>
      <c r="H72" s="20"/>
      <c r="I72" s="20"/>
      <c r="J72" s="20"/>
      <c r="K72" s="20"/>
      <c r="L72" s="20"/>
      <c r="M72" s="20"/>
      <c r="N72" s="11"/>
      <c r="O72" s="11"/>
      <c r="P72" s="11"/>
      <c r="Q72" s="20"/>
      <c r="S72" s="58"/>
      <c r="T72" s="58"/>
      <c r="U72" s="390"/>
      <c r="V72" s="390"/>
      <c r="W72" s="390"/>
    </row>
    <row r="73" spans="1:23">
      <c r="B73" s="64"/>
      <c r="C73" s="20"/>
      <c r="D73" s="20"/>
      <c r="E73" s="20"/>
      <c r="F73" s="64"/>
      <c r="G73" s="20"/>
      <c r="H73" s="20"/>
      <c r="I73" s="20"/>
      <c r="J73" s="20"/>
      <c r="K73" s="20"/>
      <c r="L73" s="20"/>
      <c r="M73" s="20"/>
      <c r="N73" s="11"/>
      <c r="O73" s="11"/>
      <c r="P73" s="11"/>
      <c r="Q73" s="20"/>
      <c r="S73" s="58"/>
      <c r="U73" s="390"/>
      <c r="V73" s="390"/>
      <c r="W73" s="390"/>
    </row>
    <row r="74" spans="1:23">
      <c r="B74" s="64"/>
      <c r="C74" s="20"/>
      <c r="D74" s="20"/>
      <c r="E74" s="20"/>
      <c r="F74" s="64"/>
      <c r="G74" s="20"/>
      <c r="H74" s="20"/>
      <c r="I74" s="20"/>
      <c r="J74" s="20"/>
      <c r="K74" s="20"/>
      <c r="L74" s="20"/>
      <c r="M74" s="20"/>
      <c r="N74" s="11"/>
      <c r="O74" s="11"/>
      <c r="P74" s="11"/>
      <c r="Q74" s="20"/>
      <c r="S74" s="58"/>
      <c r="U74" s="388"/>
      <c r="V74" s="390"/>
      <c r="W74" s="390"/>
    </row>
    <row r="75" spans="1:23">
      <c r="B75" s="64"/>
      <c r="C75" s="20"/>
      <c r="D75" s="20"/>
      <c r="E75" s="20"/>
      <c r="F75" s="64"/>
      <c r="G75" s="20"/>
      <c r="H75" s="20"/>
      <c r="I75" s="20"/>
      <c r="J75" s="20"/>
      <c r="K75" s="20"/>
      <c r="L75" s="20"/>
      <c r="M75" s="20"/>
      <c r="N75" s="11"/>
      <c r="O75" s="11"/>
      <c r="P75" s="11"/>
      <c r="Q75" s="20"/>
      <c r="U75" s="390"/>
      <c r="V75" s="390"/>
      <c r="W75" s="390"/>
    </row>
    <row r="76" spans="1:23">
      <c r="B76" s="64"/>
      <c r="C76" s="20"/>
      <c r="D76" s="20"/>
      <c r="E76" s="20"/>
      <c r="F76" s="64"/>
      <c r="G76" s="20"/>
      <c r="H76" s="20"/>
      <c r="I76" s="20"/>
      <c r="J76" s="20"/>
      <c r="K76" s="20"/>
      <c r="L76" s="20"/>
      <c r="M76" s="20"/>
      <c r="N76" s="11"/>
      <c r="O76" s="11"/>
      <c r="P76" s="11"/>
      <c r="Q76" s="20"/>
      <c r="U76" s="390"/>
      <c r="V76" s="390"/>
      <c r="W76" s="390"/>
    </row>
    <row r="77" spans="1:23">
      <c r="B77" s="64"/>
      <c r="C77" s="20"/>
      <c r="D77" s="20"/>
      <c r="E77" s="20"/>
      <c r="F77" s="64"/>
      <c r="G77" s="20"/>
      <c r="H77" s="20"/>
      <c r="I77" s="20"/>
      <c r="J77" s="20"/>
      <c r="K77" s="20"/>
      <c r="L77" s="20"/>
      <c r="M77" s="20"/>
      <c r="N77" s="11"/>
      <c r="O77" s="11"/>
      <c r="P77" s="11"/>
      <c r="Q77" s="20"/>
    </row>
    <row r="78" spans="1:23">
      <c r="B78" s="64"/>
      <c r="C78" s="20"/>
      <c r="D78" s="20"/>
      <c r="E78" s="20"/>
      <c r="F78" s="64"/>
      <c r="G78" s="20"/>
      <c r="H78" s="20"/>
      <c r="I78" s="20"/>
      <c r="J78" s="20"/>
      <c r="K78" s="20"/>
      <c r="L78" s="20"/>
      <c r="M78" s="20"/>
      <c r="N78" s="11"/>
      <c r="O78" s="11"/>
      <c r="P78" s="11"/>
      <c r="Q78" s="20"/>
    </row>
    <row r="79" spans="1:23">
      <c r="B79" s="64"/>
      <c r="C79" s="20"/>
      <c r="D79" s="20"/>
      <c r="E79" s="20"/>
      <c r="F79" s="64"/>
      <c r="G79" s="20"/>
      <c r="H79" s="20"/>
      <c r="I79" s="20"/>
      <c r="J79" s="20"/>
      <c r="K79" s="20"/>
      <c r="L79" s="20"/>
      <c r="M79" s="20"/>
      <c r="N79" s="11"/>
      <c r="O79" s="11"/>
      <c r="P79" s="11"/>
      <c r="Q79" s="20"/>
    </row>
    <row r="80" spans="1:23">
      <c r="B80" s="64"/>
      <c r="C80" s="20"/>
      <c r="D80" s="20"/>
      <c r="E80" s="20"/>
      <c r="F80" s="64"/>
      <c r="G80" s="20"/>
      <c r="H80" s="20"/>
      <c r="I80" s="20"/>
      <c r="J80" s="20"/>
      <c r="K80" s="20"/>
      <c r="L80" s="20"/>
      <c r="M80" s="20"/>
      <c r="N80" s="11"/>
      <c r="O80" s="11"/>
      <c r="P80" s="11"/>
      <c r="Q80" s="20"/>
    </row>
    <row r="81" spans="2:17">
      <c r="B81" s="64"/>
      <c r="C81" s="20"/>
      <c r="D81" s="20"/>
      <c r="E81" s="20"/>
      <c r="F81" s="64"/>
      <c r="G81" s="20"/>
      <c r="H81" s="20"/>
      <c r="I81" s="20"/>
      <c r="J81" s="20"/>
      <c r="K81" s="20"/>
      <c r="L81" s="20"/>
      <c r="M81" s="20"/>
      <c r="N81" s="11"/>
      <c r="O81" s="11"/>
      <c r="P81" s="11"/>
      <c r="Q81" s="20"/>
    </row>
    <row r="82" spans="2:17">
      <c r="B82" s="64"/>
      <c r="C82" s="20"/>
      <c r="D82" s="20"/>
      <c r="E82" s="20"/>
      <c r="F82" s="64"/>
      <c r="G82" s="20"/>
      <c r="H82" s="20"/>
      <c r="I82" s="20"/>
      <c r="J82" s="20"/>
      <c r="K82" s="20"/>
      <c r="L82" s="20"/>
      <c r="M82" s="20"/>
      <c r="N82" s="11"/>
      <c r="O82" s="11"/>
      <c r="P82" s="11"/>
      <c r="Q82" s="20"/>
    </row>
    <row r="83" spans="2:17">
      <c r="B83" s="64"/>
      <c r="C83" s="20"/>
      <c r="D83" s="20"/>
      <c r="E83" s="20"/>
      <c r="F83" s="64"/>
      <c r="G83" s="20"/>
      <c r="H83" s="20"/>
      <c r="I83" s="20"/>
      <c r="J83" s="20"/>
      <c r="K83" s="20"/>
      <c r="L83" s="20"/>
      <c r="M83" s="20"/>
      <c r="N83" s="11"/>
      <c r="O83" s="11"/>
      <c r="P83" s="11"/>
      <c r="Q83" s="20"/>
    </row>
    <row r="84" spans="2:17">
      <c r="B84" s="64"/>
      <c r="C84" s="20"/>
      <c r="D84" s="20"/>
      <c r="E84" s="20"/>
      <c r="F84" s="64"/>
      <c r="G84" s="20"/>
      <c r="H84" s="20"/>
      <c r="I84" s="20"/>
      <c r="J84" s="20"/>
      <c r="K84" s="20"/>
      <c r="L84" s="20"/>
      <c r="M84" s="20"/>
      <c r="N84" s="11"/>
      <c r="O84" s="11"/>
      <c r="P84" s="11"/>
      <c r="Q84" s="20"/>
    </row>
    <row r="85" spans="2:17">
      <c r="B85" s="64"/>
      <c r="C85" s="20"/>
      <c r="D85" s="20"/>
      <c r="E85" s="20"/>
      <c r="F85" s="64"/>
      <c r="G85" s="20"/>
      <c r="H85" s="20"/>
      <c r="I85" s="20"/>
      <c r="J85" s="20"/>
      <c r="K85" s="20"/>
      <c r="L85" s="20"/>
      <c r="M85" s="20"/>
      <c r="N85" s="11"/>
      <c r="O85" s="11"/>
      <c r="P85" s="11"/>
      <c r="Q85" s="20"/>
    </row>
    <row r="86" spans="2:17">
      <c r="B86" s="64"/>
      <c r="C86" s="20"/>
      <c r="D86" s="20"/>
      <c r="E86" s="20"/>
      <c r="F86" s="64"/>
      <c r="G86" s="20"/>
      <c r="H86" s="20"/>
      <c r="I86" s="20"/>
      <c r="J86" s="20"/>
      <c r="K86" s="20"/>
      <c r="L86" s="20"/>
      <c r="M86" s="20"/>
      <c r="N86" s="11"/>
      <c r="O86" s="11"/>
      <c r="P86" s="11"/>
      <c r="Q86" s="20"/>
    </row>
    <row r="87" spans="2:17">
      <c r="B87" s="64"/>
      <c r="C87" s="20"/>
      <c r="D87" s="20"/>
      <c r="E87" s="20"/>
      <c r="F87" s="64"/>
      <c r="G87" s="20"/>
      <c r="H87" s="20"/>
      <c r="I87" s="20"/>
      <c r="J87" s="20"/>
      <c r="K87" s="20"/>
      <c r="L87" s="20"/>
      <c r="M87" s="20"/>
      <c r="N87" s="11"/>
      <c r="O87" s="11"/>
      <c r="P87" s="11"/>
      <c r="Q87" s="20"/>
    </row>
    <row r="88" spans="2:17">
      <c r="B88" s="64"/>
      <c r="C88" s="20"/>
      <c r="D88" s="20"/>
      <c r="E88" s="20"/>
      <c r="F88" s="64"/>
      <c r="G88" s="20"/>
      <c r="H88" s="20"/>
      <c r="I88" s="20"/>
      <c r="J88" s="20"/>
      <c r="K88" s="20"/>
      <c r="L88" s="20"/>
      <c r="M88" s="20"/>
      <c r="N88" s="11"/>
      <c r="O88" s="11"/>
      <c r="P88" s="11"/>
      <c r="Q88" s="20"/>
    </row>
    <row r="89" spans="2:17">
      <c r="B89" s="64"/>
      <c r="C89" s="20"/>
      <c r="D89" s="20"/>
      <c r="E89" s="20"/>
      <c r="F89" s="64"/>
      <c r="G89" s="20"/>
      <c r="H89" s="20"/>
      <c r="I89" s="20"/>
      <c r="J89" s="20"/>
      <c r="K89" s="20"/>
      <c r="L89" s="20"/>
      <c r="M89" s="20"/>
      <c r="N89" s="11"/>
      <c r="O89" s="11"/>
      <c r="P89" s="11"/>
      <c r="Q89" s="20"/>
    </row>
    <row r="90" spans="2:17">
      <c r="B90" s="64"/>
      <c r="C90" s="20"/>
      <c r="D90" s="20"/>
      <c r="E90" s="20"/>
      <c r="F90" s="64"/>
      <c r="G90" s="20"/>
      <c r="H90" s="20"/>
      <c r="I90" s="20"/>
      <c r="J90" s="20"/>
      <c r="K90" s="20"/>
      <c r="L90" s="20"/>
      <c r="M90" s="20"/>
      <c r="N90" s="11"/>
      <c r="O90" s="11"/>
      <c r="P90" s="11"/>
      <c r="Q90" s="20"/>
    </row>
    <row r="91" spans="2:17">
      <c r="B91" s="64"/>
      <c r="C91" s="20"/>
      <c r="D91" s="20"/>
      <c r="E91" s="20"/>
      <c r="F91" s="64"/>
      <c r="G91" s="20"/>
      <c r="H91" s="20"/>
      <c r="I91" s="20"/>
      <c r="J91" s="20"/>
      <c r="K91" s="20"/>
      <c r="L91" s="20"/>
      <c r="M91" s="20"/>
      <c r="N91" s="11"/>
      <c r="O91" s="11"/>
      <c r="P91" s="11"/>
      <c r="Q91" s="20"/>
    </row>
    <row r="92" spans="2:17">
      <c r="B92" s="64"/>
      <c r="C92" s="20"/>
      <c r="D92" s="20"/>
      <c r="E92" s="20"/>
      <c r="F92" s="64"/>
      <c r="G92" s="20"/>
      <c r="H92" s="20"/>
      <c r="I92" s="20"/>
      <c r="J92" s="20"/>
      <c r="K92" s="20"/>
      <c r="L92" s="20"/>
      <c r="M92" s="20"/>
      <c r="N92" s="11"/>
      <c r="O92" s="11"/>
      <c r="P92" s="11"/>
      <c r="Q92" s="20"/>
    </row>
    <row r="93" spans="2:17">
      <c r="B93" s="64"/>
      <c r="C93" s="20"/>
      <c r="D93" s="20"/>
      <c r="E93" s="20"/>
      <c r="F93" s="64"/>
      <c r="G93" s="20"/>
      <c r="H93" s="20"/>
      <c r="I93" s="20"/>
      <c r="J93" s="20"/>
      <c r="K93" s="20"/>
      <c r="L93" s="20"/>
      <c r="M93" s="20"/>
      <c r="N93" s="11"/>
      <c r="O93" s="11"/>
      <c r="P93" s="11"/>
      <c r="Q93" s="20"/>
    </row>
    <row r="94" spans="2:17">
      <c r="B94" s="64"/>
      <c r="C94" s="20"/>
      <c r="D94" s="20"/>
      <c r="E94" s="20"/>
      <c r="F94" s="64"/>
      <c r="G94" s="20"/>
      <c r="H94" s="20"/>
      <c r="I94" s="20"/>
      <c r="J94" s="20"/>
      <c r="K94" s="20"/>
      <c r="L94" s="20"/>
      <c r="M94" s="20"/>
      <c r="N94" s="11"/>
      <c r="O94" s="11"/>
      <c r="P94" s="11"/>
      <c r="Q94" s="20"/>
    </row>
    <row r="95" spans="2:17">
      <c r="B95" s="64"/>
      <c r="C95" s="20"/>
      <c r="D95" s="20"/>
      <c r="E95" s="20"/>
      <c r="F95" s="64"/>
      <c r="G95" s="20"/>
      <c r="H95" s="20"/>
      <c r="I95" s="20"/>
      <c r="J95" s="20"/>
      <c r="K95" s="20"/>
      <c r="L95" s="20"/>
      <c r="M95" s="20"/>
      <c r="N95" s="11"/>
      <c r="O95" s="11"/>
      <c r="P95" s="11"/>
      <c r="Q95" s="20"/>
    </row>
    <row r="96" spans="2:17">
      <c r="B96" s="64"/>
      <c r="C96" s="20"/>
      <c r="D96" s="20"/>
      <c r="E96" s="20"/>
      <c r="F96" s="64"/>
      <c r="G96" s="20"/>
      <c r="H96" s="20"/>
      <c r="I96" s="20"/>
      <c r="J96" s="20"/>
      <c r="K96" s="20"/>
      <c r="L96" s="20"/>
      <c r="M96" s="20"/>
      <c r="N96" s="11"/>
      <c r="O96" s="11"/>
      <c r="P96" s="11"/>
      <c r="Q96" s="20"/>
    </row>
    <row r="97" spans="2:17">
      <c r="B97" s="64"/>
      <c r="C97" s="20"/>
      <c r="D97" s="20"/>
      <c r="E97" s="20"/>
      <c r="F97" s="64"/>
      <c r="G97" s="20"/>
      <c r="H97" s="20"/>
      <c r="I97" s="20"/>
      <c r="J97" s="20"/>
      <c r="K97" s="20"/>
      <c r="L97" s="20"/>
      <c r="M97" s="20"/>
      <c r="N97" s="11"/>
      <c r="O97" s="11"/>
      <c r="P97" s="11"/>
      <c r="Q97" s="20"/>
    </row>
    <row r="98" spans="2:17">
      <c r="B98" s="64"/>
      <c r="C98" s="20"/>
      <c r="D98" s="20"/>
      <c r="E98" s="20"/>
      <c r="F98" s="64"/>
      <c r="G98" s="20"/>
      <c r="H98" s="20"/>
      <c r="I98" s="20"/>
      <c r="J98" s="20"/>
      <c r="K98" s="20"/>
      <c r="L98" s="20"/>
      <c r="M98" s="20"/>
      <c r="N98" s="11"/>
      <c r="O98" s="11"/>
      <c r="P98" s="11"/>
      <c r="Q98" s="20"/>
    </row>
    <row r="99" spans="2:17">
      <c r="B99" s="64"/>
      <c r="C99" s="20"/>
      <c r="D99" s="20"/>
      <c r="E99" s="20"/>
      <c r="F99" s="64"/>
      <c r="G99" s="20"/>
      <c r="H99" s="20"/>
      <c r="I99" s="20"/>
      <c r="J99" s="20"/>
      <c r="K99" s="20"/>
      <c r="L99" s="20"/>
      <c r="M99" s="20"/>
      <c r="N99" s="11"/>
      <c r="O99" s="11"/>
      <c r="P99" s="11"/>
      <c r="Q99" s="20"/>
    </row>
    <row r="100" spans="2:17">
      <c r="B100" s="64"/>
      <c r="C100" s="20"/>
      <c r="D100" s="20"/>
      <c r="E100" s="20"/>
      <c r="F100" s="64"/>
      <c r="G100" s="20"/>
      <c r="H100" s="20"/>
      <c r="I100" s="20"/>
      <c r="J100" s="20"/>
      <c r="K100" s="20"/>
      <c r="L100" s="20"/>
      <c r="M100" s="20"/>
      <c r="N100" s="11"/>
      <c r="O100" s="11"/>
      <c r="P100" s="11"/>
      <c r="Q100" s="20"/>
    </row>
    <row r="101" spans="2:17">
      <c r="B101" s="64"/>
      <c r="C101" s="20"/>
      <c r="D101" s="20"/>
      <c r="E101" s="20"/>
      <c r="F101" s="64"/>
      <c r="G101" s="20"/>
      <c r="H101" s="20"/>
      <c r="I101" s="20"/>
      <c r="J101" s="20"/>
      <c r="K101" s="20"/>
      <c r="L101" s="20"/>
      <c r="M101" s="20"/>
      <c r="N101" s="11"/>
      <c r="O101" s="11"/>
      <c r="P101" s="11"/>
      <c r="Q101" s="20"/>
    </row>
    <row r="102" spans="2:17">
      <c r="B102" s="64"/>
      <c r="C102" s="20"/>
      <c r="D102" s="20"/>
      <c r="E102" s="20"/>
      <c r="F102" s="64"/>
      <c r="G102" s="20"/>
      <c r="H102" s="20"/>
      <c r="I102" s="20"/>
      <c r="J102" s="20"/>
      <c r="K102" s="20"/>
      <c r="L102" s="20"/>
      <c r="M102" s="20"/>
      <c r="N102" s="11"/>
      <c r="O102" s="11"/>
      <c r="P102" s="11"/>
      <c r="Q102" s="20"/>
    </row>
    <row r="103" spans="2:17">
      <c r="B103" s="64"/>
      <c r="C103" s="20"/>
      <c r="D103" s="20"/>
      <c r="E103" s="20"/>
      <c r="F103" s="64"/>
      <c r="G103" s="20"/>
      <c r="H103" s="20"/>
      <c r="I103" s="20"/>
      <c r="J103" s="20"/>
      <c r="K103" s="20"/>
      <c r="L103" s="20"/>
      <c r="M103" s="20"/>
      <c r="N103" s="11"/>
      <c r="O103" s="11"/>
      <c r="P103" s="11"/>
      <c r="Q103" s="20"/>
    </row>
    <row r="104" spans="2:17">
      <c r="B104" s="64"/>
      <c r="C104" s="20"/>
      <c r="D104" s="20"/>
      <c r="E104" s="20"/>
      <c r="F104" s="64"/>
      <c r="G104" s="20"/>
      <c r="H104" s="20"/>
      <c r="I104" s="20"/>
      <c r="J104" s="20"/>
      <c r="K104" s="20"/>
      <c r="L104" s="20"/>
      <c r="M104" s="20"/>
      <c r="N104" s="11"/>
      <c r="O104" s="11"/>
      <c r="P104" s="11"/>
      <c r="Q104" s="20"/>
    </row>
    <row r="105" spans="2:17">
      <c r="B105" s="64"/>
      <c r="C105" s="20"/>
      <c r="D105" s="20"/>
      <c r="E105" s="20"/>
      <c r="F105" s="64"/>
      <c r="G105" s="20"/>
      <c r="H105" s="20"/>
      <c r="I105" s="20"/>
      <c r="J105" s="20"/>
      <c r="K105" s="20"/>
      <c r="L105" s="20"/>
      <c r="M105" s="20"/>
      <c r="N105" s="11"/>
      <c r="O105" s="11"/>
      <c r="P105" s="11"/>
      <c r="Q105" s="20"/>
    </row>
    <row r="106" spans="2:17">
      <c r="B106" s="64"/>
      <c r="C106" s="20"/>
      <c r="D106" s="20"/>
      <c r="E106" s="20"/>
      <c r="F106" s="64"/>
      <c r="G106" s="20"/>
      <c r="H106" s="20"/>
      <c r="I106" s="20"/>
      <c r="J106" s="20"/>
      <c r="K106" s="20"/>
      <c r="L106" s="20"/>
      <c r="M106" s="20"/>
      <c r="N106" s="11"/>
      <c r="O106" s="11"/>
      <c r="P106" s="11"/>
      <c r="Q106" s="20"/>
    </row>
    <row r="107" spans="2:17">
      <c r="B107" s="64"/>
      <c r="C107" s="20"/>
      <c r="D107" s="20"/>
      <c r="E107" s="20"/>
      <c r="F107" s="64"/>
      <c r="G107" s="20"/>
      <c r="H107" s="20"/>
      <c r="I107" s="20"/>
      <c r="J107" s="20"/>
      <c r="K107" s="20"/>
      <c r="L107" s="20"/>
      <c r="M107" s="20"/>
      <c r="N107" s="11"/>
      <c r="O107" s="11"/>
      <c r="P107" s="11"/>
      <c r="Q107" s="20"/>
    </row>
    <row r="108" spans="2:17">
      <c r="B108" s="64"/>
      <c r="C108" s="20"/>
      <c r="D108" s="20"/>
      <c r="E108" s="20"/>
      <c r="F108" s="64"/>
      <c r="G108" s="20"/>
      <c r="H108" s="20"/>
      <c r="I108" s="20"/>
      <c r="J108" s="20"/>
      <c r="K108" s="20"/>
      <c r="L108" s="20"/>
      <c r="M108" s="20"/>
      <c r="N108" s="11"/>
      <c r="O108" s="11"/>
      <c r="P108" s="11"/>
      <c r="Q108" s="20"/>
    </row>
    <row r="109" spans="2:17">
      <c r="B109" s="64"/>
      <c r="C109" s="20"/>
      <c r="D109" s="20"/>
      <c r="E109" s="20"/>
      <c r="F109" s="64"/>
      <c r="G109" s="20"/>
      <c r="H109" s="20"/>
      <c r="I109" s="20"/>
      <c r="J109" s="20"/>
      <c r="K109" s="20"/>
      <c r="L109" s="20"/>
      <c r="M109" s="20"/>
      <c r="N109" s="11"/>
      <c r="O109" s="11"/>
      <c r="P109" s="11"/>
      <c r="Q109" s="20"/>
    </row>
    <row r="110" spans="2:17">
      <c r="B110" s="64"/>
      <c r="C110" s="20"/>
      <c r="D110" s="20"/>
      <c r="E110" s="20"/>
      <c r="F110" s="64"/>
      <c r="G110" s="20"/>
      <c r="H110" s="20"/>
      <c r="I110" s="20"/>
      <c r="J110" s="20"/>
      <c r="K110" s="20"/>
      <c r="L110" s="20"/>
      <c r="M110" s="20"/>
      <c r="N110" s="11"/>
      <c r="O110" s="11"/>
      <c r="P110" s="11"/>
      <c r="Q110" s="20"/>
    </row>
    <row r="111" spans="2:17">
      <c r="B111" s="64"/>
      <c r="C111" s="20"/>
      <c r="D111" s="20"/>
      <c r="E111" s="20"/>
      <c r="F111" s="64"/>
      <c r="G111" s="20"/>
      <c r="H111" s="20"/>
      <c r="I111" s="20"/>
      <c r="J111" s="20"/>
      <c r="K111" s="20"/>
      <c r="L111" s="20"/>
      <c r="M111" s="20"/>
      <c r="N111" s="11"/>
      <c r="O111" s="11"/>
      <c r="P111" s="11"/>
      <c r="Q111" s="20"/>
    </row>
    <row r="112" spans="2:17">
      <c r="B112" s="64"/>
      <c r="C112" s="20"/>
      <c r="D112" s="20"/>
      <c r="E112" s="20"/>
      <c r="F112" s="64"/>
      <c r="G112" s="20"/>
      <c r="H112" s="20"/>
      <c r="I112" s="20"/>
      <c r="J112" s="20"/>
      <c r="K112" s="20"/>
      <c r="L112" s="20"/>
      <c r="M112" s="20"/>
      <c r="N112" s="11"/>
      <c r="O112" s="11"/>
      <c r="P112" s="11"/>
      <c r="Q112" s="20"/>
    </row>
    <row r="113" spans="1:17">
      <c r="B113" s="64"/>
      <c r="C113" s="20"/>
      <c r="D113" s="20"/>
      <c r="E113" s="20"/>
      <c r="F113" s="64"/>
      <c r="G113" s="20"/>
      <c r="H113" s="20"/>
      <c r="I113" s="20"/>
      <c r="J113" s="20"/>
      <c r="K113" s="20"/>
      <c r="L113" s="20"/>
      <c r="M113" s="20"/>
      <c r="N113" s="11"/>
      <c r="O113" s="11"/>
      <c r="P113" s="11"/>
      <c r="Q113" s="20"/>
    </row>
    <row r="114" spans="1:17">
      <c r="B114" s="64"/>
      <c r="C114" s="20"/>
      <c r="D114" s="20"/>
      <c r="E114" s="20"/>
      <c r="F114" s="64"/>
      <c r="G114" s="20"/>
      <c r="H114" s="20"/>
      <c r="I114" s="20"/>
      <c r="J114" s="20"/>
      <c r="K114" s="20"/>
      <c r="L114" s="20"/>
      <c r="M114" s="20"/>
      <c r="N114" s="11"/>
      <c r="O114" s="11"/>
      <c r="P114" s="11"/>
      <c r="Q114" s="20"/>
    </row>
    <row r="115" spans="1:17">
      <c r="B115" s="64"/>
      <c r="C115" s="20"/>
      <c r="D115" s="20"/>
      <c r="E115" s="20"/>
      <c r="F115" s="64"/>
      <c r="G115" s="20"/>
      <c r="H115" s="20"/>
      <c r="I115" s="20"/>
      <c r="J115" s="20"/>
      <c r="K115" s="20"/>
      <c r="L115" s="20"/>
      <c r="M115" s="20"/>
      <c r="N115" s="11"/>
      <c r="O115" s="11"/>
      <c r="P115" s="11"/>
      <c r="Q115" s="20"/>
    </row>
    <row r="116" spans="1:17">
      <c r="B116" s="64"/>
      <c r="C116" s="20"/>
      <c r="D116" s="20"/>
      <c r="E116" s="20"/>
      <c r="F116" s="64"/>
      <c r="G116" s="20"/>
      <c r="H116" s="20"/>
      <c r="I116" s="20"/>
      <c r="J116" s="20"/>
      <c r="K116" s="20"/>
      <c r="L116" s="20"/>
      <c r="M116" s="20"/>
      <c r="N116" s="11"/>
      <c r="O116" s="11"/>
      <c r="P116" s="11"/>
      <c r="Q116" s="20"/>
    </row>
    <row r="117" spans="1:17">
      <c r="B117" s="64"/>
      <c r="C117" s="20"/>
      <c r="D117" s="20"/>
      <c r="E117" s="20"/>
      <c r="F117" s="64"/>
      <c r="G117" s="20"/>
      <c r="H117" s="20"/>
      <c r="I117" s="20"/>
      <c r="J117" s="20"/>
      <c r="K117" s="20"/>
      <c r="L117" s="20"/>
      <c r="M117" s="20"/>
      <c r="N117" s="11"/>
      <c r="O117" s="11"/>
      <c r="P117" s="11"/>
      <c r="Q117" s="20"/>
    </row>
    <row r="118" spans="1:17">
      <c r="B118" s="64"/>
      <c r="C118" s="20"/>
      <c r="D118" s="20"/>
      <c r="E118" s="20"/>
      <c r="F118" s="64"/>
      <c r="G118" s="20"/>
      <c r="H118" s="20"/>
      <c r="I118" s="20"/>
      <c r="J118" s="20"/>
      <c r="K118" s="20"/>
      <c r="L118" s="20"/>
      <c r="M118" s="20"/>
      <c r="N118" s="11"/>
      <c r="O118" s="11"/>
      <c r="P118" s="11"/>
      <c r="Q118" s="20"/>
    </row>
    <row r="119" spans="1:17">
      <c r="B119" s="64"/>
      <c r="C119" s="20"/>
      <c r="D119" s="20"/>
      <c r="E119" s="20"/>
      <c r="F119" s="64"/>
      <c r="G119" s="20"/>
      <c r="H119" s="20"/>
      <c r="I119" s="20"/>
      <c r="J119" s="20"/>
      <c r="K119" s="20"/>
      <c r="L119" s="20"/>
      <c r="M119" s="20"/>
      <c r="N119" s="11"/>
      <c r="O119" s="11"/>
      <c r="P119" s="11"/>
      <c r="Q119" s="20"/>
    </row>
    <row r="120" spans="1:17">
      <c r="B120" s="64"/>
      <c r="C120" s="20"/>
      <c r="D120" s="20"/>
      <c r="E120" s="20"/>
      <c r="F120" s="64"/>
      <c r="G120" s="20"/>
      <c r="H120" s="20"/>
      <c r="I120" s="20"/>
      <c r="J120" s="20"/>
      <c r="K120" s="20"/>
      <c r="L120" s="20"/>
      <c r="M120" s="20"/>
      <c r="N120" s="11"/>
      <c r="O120" s="11"/>
      <c r="P120" s="11"/>
      <c r="Q120" s="20"/>
    </row>
    <row r="121" spans="1:17">
      <c r="B121" s="64"/>
      <c r="C121" s="20"/>
      <c r="D121" s="20"/>
      <c r="E121" s="20"/>
      <c r="F121" s="64"/>
      <c r="G121" s="20"/>
      <c r="H121" s="20"/>
      <c r="I121" s="20"/>
      <c r="J121" s="20"/>
      <c r="K121" s="20"/>
      <c r="L121" s="20"/>
      <c r="M121" s="20"/>
      <c r="N121" s="11"/>
      <c r="O121" s="11"/>
      <c r="P121" s="11"/>
      <c r="Q121" s="20"/>
    </row>
    <row r="122" spans="1:17">
      <c r="B122" s="64"/>
      <c r="C122" s="20"/>
      <c r="D122" s="20"/>
      <c r="E122" s="20"/>
      <c r="F122" s="64"/>
      <c r="G122" s="20"/>
      <c r="H122" s="20"/>
      <c r="I122" s="20"/>
      <c r="J122" s="20"/>
      <c r="K122" s="20"/>
      <c r="L122" s="20"/>
      <c r="M122" s="20"/>
      <c r="N122" s="11"/>
      <c r="O122" s="11"/>
      <c r="P122" s="11"/>
      <c r="Q122" s="20"/>
    </row>
    <row r="123" spans="1:17">
      <c r="B123" s="64"/>
      <c r="C123" s="20"/>
      <c r="D123" s="20"/>
      <c r="E123" s="20"/>
      <c r="F123" s="64"/>
      <c r="G123" s="20"/>
      <c r="H123" s="20"/>
      <c r="I123" s="20"/>
      <c r="J123" s="20"/>
      <c r="K123" s="20"/>
      <c r="L123" s="20"/>
      <c r="M123" s="20"/>
      <c r="N123" s="11"/>
      <c r="O123" s="11"/>
      <c r="P123" s="11"/>
      <c r="Q123" s="20"/>
    </row>
    <row r="124" spans="1:17">
      <c r="A124" s="20"/>
      <c r="B124" s="64"/>
      <c r="C124" s="20"/>
      <c r="D124" s="20"/>
      <c r="E124" s="20"/>
      <c r="F124" s="64"/>
      <c r="G124" s="20"/>
      <c r="H124" s="20"/>
      <c r="I124" s="20"/>
      <c r="J124" s="20"/>
      <c r="K124" s="20"/>
      <c r="L124" s="20"/>
      <c r="M124" s="20"/>
      <c r="N124" s="11"/>
      <c r="O124" s="11"/>
      <c r="P124" s="11"/>
      <c r="Q124" s="20"/>
    </row>
    <row r="125" spans="1:17">
      <c r="A125" s="20"/>
      <c r="B125" s="64"/>
      <c r="C125" s="20"/>
      <c r="D125" s="20"/>
      <c r="E125" s="20"/>
      <c r="F125" s="64"/>
      <c r="G125" s="20"/>
      <c r="H125" s="20"/>
      <c r="I125" s="20"/>
      <c r="J125" s="20"/>
      <c r="K125" s="20"/>
      <c r="L125" s="20"/>
      <c r="M125" s="20"/>
      <c r="N125" s="11"/>
      <c r="O125" s="11"/>
      <c r="P125" s="11"/>
      <c r="Q125" s="20"/>
    </row>
    <row r="126" spans="1:17">
      <c r="A126" s="20"/>
      <c r="B126" s="64"/>
      <c r="C126" s="20"/>
      <c r="D126" s="20"/>
      <c r="E126" s="20"/>
      <c r="F126" s="64"/>
      <c r="G126" s="20"/>
      <c r="H126" s="20"/>
      <c r="I126" s="20"/>
      <c r="J126" s="20"/>
      <c r="K126" s="20"/>
      <c r="L126" s="20"/>
      <c r="M126" s="20"/>
      <c r="N126" s="11"/>
      <c r="O126" s="11"/>
      <c r="P126" s="11"/>
      <c r="Q126" s="20"/>
    </row>
    <row r="127" spans="1:17">
      <c r="A127" s="20"/>
      <c r="B127" s="64"/>
      <c r="C127" s="20"/>
      <c r="D127" s="20"/>
      <c r="E127" s="20"/>
      <c r="F127" s="64"/>
      <c r="G127" s="20"/>
      <c r="H127" s="20"/>
      <c r="I127" s="20"/>
      <c r="J127" s="20"/>
      <c r="K127" s="20"/>
      <c r="L127" s="20"/>
      <c r="M127" s="20"/>
      <c r="N127" s="11"/>
      <c r="O127" s="11"/>
      <c r="P127" s="11"/>
      <c r="Q127" s="20"/>
    </row>
    <row r="128" spans="1:17">
      <c r="A128" s="20"/>
      <c r="B128" s="64"/>
      <c r="C128" s="20"/>
      <c r="D128" s="20"/>
      <c r="E128" s="20"/>
      <c r="F128" s="64"/>
      <c r="G128" s="20"/>
      <c r="H128" s="20"/>
      <c r="I128" s="20"/>
      <c r="J128" s="20"/>
      <c r="K128" s="20"/>
      <c r="L128" s="20"/>
      <c r="M128" s="20"/>
      <c r="N128" s="11"/>
      <c r="O128" s="11"/>
      <c r="P128" s="11"/>
      <c r="Q128" s="20"/>
    </row>
    <row r="129" spans="1:17">
      <c r="A129" s="20"/>
      <c r="B129" s="64"/>
      <c r="C129" s="20"/>
      <c r="D129" s="20"/>
      <c r="E129" s="20"/>
      <c r="F129" s="64"/>
      <c r="G129" s="20"/>
      <c r="H129" s="20"/>
      <c r="I129" s="20"/>
      <c r="J129" s="20"/>
      <c r="K129" s="20"/>
      <c r="L129" s="20"/>
      <c r="M129" s="20"/>
      <c r="N129" s="11"/>
      <c r="O129" s="11"/>
      <c r="P129" s="11"/>
      <c r="Q129" s="20"/>
    </row>
    <row r="130" spans="1:17">
      <c r="A130" s="20"/>
      <c r="B130" s="64"/>
      <c r="C130" s="20"/>
      <c r="D130" s="20"/>
      <c r="E130" s="20"/>
      <c r="F130" s="64"/>
      <c r="G130" s="20"/>
      <c r="H130" s="20"/>
      <c r="I130" s="20"/>
      <c r="J130" s="20"/>
      <c r="K130" s="20"/>
      <c r="L130" s="20"/>
      <c r="M130" s="20"/>
      <c r="N130" s="11"/>
      <c r="O130" s="11"/>
      <c r="P130" s="11"/>
      <c r="Q130" s="20"/>
    </row>
    <row r="131" spans="1:17">
      <c r="A131" s="20"/>
      <c r="B131" s="64"/>
      <c r="C131" s="20"/>
      <c r="D131" s="20"/>
      <c r="E131" s="20"/>
      <c r="F131" s="64"/>
      <c r="G131" s="20"/>
      <c r="H131" s="20"/>
      <c r="I131" s="20"/>
      <c r="J131" s="20"/>
      <c r="K131" s="20"/>
      <c r="L131" s="20"/>
      <c r="M131" s="20"/>
      <c r="N131" s="11"/>
      <c r="O131" s="11"/>
      <c r="P131" s="11"/>
      <c r="Q131" s="20"/>
    </row>
    <row r="132" spans="1:17">
      <c r="A132" s="20"/>
      <c r="B132" s="64"/>
      <c r="C132" s="20"/>
      <c r="D132" s="20"/>
      <c r="E132" s="20"/>
      <c r="F132" s="64"/>
      <c r="G132" s="20"/>
      <c r="H132" s="20"/>
      <c r="I132" s="20"/>
      <c r="J132" s="20"/>
      <c r="K132" s="20"/>
      <c r="L132" s="20"/>
      <c r="M132" s="20"/>
      <c r="N132" s="11"/>
      <c r="O132" s="11"/>
      <c r="P132" s="11"/>
      <c r="Q132" s="20"/>
    </row>
    <row r="133" spans="1:17">
      <c r="A133" s="20"/>
      <c r="B133" s="64"/>
      <c r="C133" s="20"/>
      <c r="D133" s="20"/>
      <c r="E133" s="20"/>
      <c r="F133" s="64"/>
      <c r="G133" s="20"/>
      <c r="H133" s="20"/>
      <c r="I133" s="20"/>
      <c r="J133" s="20"/>
      <c r="K133" s="20"/>
      <c r="L133" s="20"/>
      <c r="M133" s="20"/>
      <c r="N133" s="11"/>
      <c r="O133" s="11"/>
      <c r="P133" s="11"/>
      <c r="Q133" s="20"/>
    </row>
    <row r="134" spans="1:17">
      <c r="A134" s="20"/>
      <c r="B134" s="64"/>
      <c r="C134" s="20"/>
      <c r="D134" s="20"/>
      <c r="E134" s="20"/>
      <c r="F134" s="64"/>
      <c r="G134" s="20"/>
      <c r="H134" s="20"/>
      <c r="I134" s="20"/>
      <c r="J134" s="20"/>
      <c r="K134" s="20"/>
      <c r="L134" s="20"/>
      <c r="M134" s="20"/>
      <c r="N134" s="11"/>
      <c r="O134" s="11"/>
      <c r="P134" s="11"/>
      <c r="Q134" s="20"/>
    </row>
    <row r="135" spans="1:17">
      <c r="A135" s="20"/>
      <c r="B135" s="64"/>
      <c r="C135" s="20"/>
      <c r="D135" s="20"/>
      <c r="E135" s="20"/>
      <c r="F135" s="64"/>
      <c r="G135" s="20"/>
      <c r="H135" s="20"/>
      <c r="I135" s="20"/>
      <c r="J135" s="20"/>
      <c r="K135" s="20"/>
      <c r="L135" s="20"/>
      <c r="M135" s="20"/>
      <c r="N135" s="11"/>
      <c r="O135" s="11"/>
      <c r="P135" s="11"/>
      <c r="Q135" s="20"/>
    </row>
    <row r="136" spans="1:17">
      <c r="A136" s="20"/>
      <c r="B136" s="64"/>
      <c r="C136" s="20"/>
      <c r="D136" s="20"/>
      <c r="E136" s="20"/>
      <c r="F136" s="64"/>
      <c r="G136" s="20"/>
      <c r="H136" s="20"/>
      <c r="I136" s="20"/>
      <c r="J136" s="20"/>
      <c r="K136" s="20"/>
      <c r="L136" s="20"/>
      <c r="M136" s="20"/>
      <c r="N136" s="11"/>
      <c r="O136" s="11"/>
      <c r="P136" s="11"/>
      <c r="Q136" s="20"/>
    </row>
    <row r="137" spans="1:17">
      <c r="A137" s="20"/>
      <c r="B137" s="64"/>
      <c r="C137" s="20"/>
      <c r="D137" s="20"/>
      <c r="E137" s="20"/>
      <c r="F137" s="64"/>
      <c r="G137" s="20"/>
      <c r="H137" s="20"/>
      <c r="I137" s="20"/>
      <c r="J137" s="20"/>
      <c r="K137" s="20"/>
      <c r="L137" s="20"/>
      <c r="M137" s="20"/>
      <c r="N137" s="11"/>
      <c r="O137" s="11"/>
      <c r="P137" s="11"/>
      <c r="Q137" s="20"/>
    </row>
    <row r="138" spans="1:17">
      <c r="A138" s="20"/>
      <c r="B138" s="64"/>
      <c r="C138" s="20"/>
      <c r="D138" s="20"/>
      <c r="E138" s="20"/>
      <c r="F138" s="64"/>
      <c r="G138" s="20"/>
      <c r="H138" s="20"/>
      <c r="I138" s="20"/>
      <c r="J138" s="20"/>
      <c r="K138" s="20"/>
      <c r="L138" s="20"/>
      <c r="M138" s="20"/>
      <c r="N138" s="11"/>
      <c r="O138" s="11"/>
      <c r="P138" s="11"/>
      <c r="Q138" s="20"/>
    </row>
    <row r="139" spans="1:17">
      <c r="A139" s="20"/>
      <c r="B139" s="64"/>
      <c r="C139" s="20"/>
      <c r="D139" s="20"/>
      <c r="E139" s="20"/>
      <c r="F139" s="64"/>
      <c r="G139" s="20"/>
      <c r="H139" s="20"/>
      <c r="I139" s="20"/>
      <c r="J139" s="20"/>
      <c r="K139" s="20"/>
      <c r="L139" s="20"/>
      <c r="M139" s="20"/>
      <c r="N139" s="11"/>
      <c r="O139" s="11"/>
      <c r="P139" s="11"/>
      <c r="Q139" s="20"/>
    </row>
    <row r="140" spans="1:17">
      <c r="A140" s="20"/>
      <c r="B140" s="64"/>
      <c r="C140" s="20"/>
      <c r="D140" s="20"/>
      <c r="E140" s="20"/>
      <c r="F140" s="64"/>
      <c r="G140" s="20"/>
      <c r="H140" s="20"/>
      <c r="I140" s="20"/>
      <c r="J140" s="20"/>
      <c r="K140" s="20"/>
      <c r="L140" s="20"/>
      <c r="M140" s="20"/>
      <c r="N140" s="11"/>
      <c r="O140" s="11"/>
      <c r="P140" s="11"/>
      <c r="Q140" s="20"/>
    </row>
    <row r="141" spans="1:17">
      <c r="A141" s="20"/>
      <c r="B141" s="64"/>
      <c r="C141" s="20"/>
      <c r="D141" s="20"/>
      <c r="E141" s="20"/>
      <c r="F141" s="64"/>
      <c r="G141" s="20"/>
      <c r="H141" s="20"/>
      <c r="I141" s="20"/>
      <c r="J141" s="20"/>
      <c r="K141" s="20"/>
      <c r="L141" s="20"/>
      <c r="M141" s="20"/>
      <c r="N141" s="11"/>
      <c r="O141" s="11"/>
      <c r="P141" s="11"/>
      <c r="Q141" s="20"/>
    </row>
    <row r="142" spans="1:17">
      <c r="A142" s="20"/>
      <c r="B142" s="64"/>
      <c r="C142" s="20"/>
      <c r="D142" s="20"/>
      <c r="E142" s="20"/>
      <c r="F142" s="64"/>
      <c r="G142" s="20"/>
      <c r="H142" s="20"/>
      <c r="I142" s="20"/>
      <c r="J142" s="20"/>
      <c r="K142" s="20"/>
      <c r="L142" s="20"/>
      <c r="M142" s="20"/>
      <c r="N142" s="11"/>
      <c r="O142" s="11"/>
      <c r="P142" s="11"/>
      <c r="Q142" s="20"/>
    </row>
    <row r="143" spans="1:17">
      <c r="A143" s="20"/>
      <c r="B143" s="64"/>
      <c r="C143" s="20"/>
      <c r="D143" s="20"/>
      <c r="E143" s="20"/>
      <c r="F143" s="64"/>
      <c r="G143" s="20"/>
      <c r="H143" s="20"/>
      <c r="I143" s="20"/>
      <c r="J143" s="20"/>
      <c r="K143" s="20"/>
      <c r="L143" s="20"/>
      <c r="M143" s="20"/>
      <c r="N143" s="11"/>
      <c r="O143" s="11"/>
      <c r="P143" s="11"/>
      <c r="Q143" s="20"/>
    </row>
    <row r="144" spans="1:17">
      <c r="A144" s="20"/>
      <c r="B144" s="64"/>
      <c r="C144" s="20"/>
      <c r="D144" s="20"/>
      <c r="E144" s="20"/>
      <c r="F144" s="64"/>
      <c r="G144" s="20"/>
      <c r="H144" s="20"/>
      <c r="I144" s="20"/>
      <c r="J144" s="20"/>
      <c r="K144" s="20"/>
      <c r="L144" s="20"/>
      <c r="M144" s="20"/>
      <c r="N144" s="11"/>
      <c r="O144" s="11"/>
      <c r="P144" s="11"/>
      <c r="Q144" s="20"/>
    </row>
    <row r="145" spans="1:17">
      <c r="A145" s="20"/>
      <c r="B145" s="64"/>
      <c r="C145" s="20"/>
      <c r="D145" s="20"/>
      <c r="E145" s="20"/>
      <c r="F145" s="64"/>
      <c r="G145" s="20"/>
      <c r="H145" s="20"/>
      <c r="I145" s="20"/>
      <c r="J145" s="20"/>
      <c r="K145" s="20"/>
      <c r="L145" s="20"/>
      <c r="M145" s="20"/>
      <c r="N145" s="11"/>
      <c r="O145" s="11"/>
      <c r="P145" s="11"/>
      <c r="Q145" s="20"/>
    </row>
    <row r="146" spans="1:17">
      <c r="A146" s="20"/>
      <c r="B146" s="64"/>
      <c r="C146" s="20"/>
      <c r="D146" s="20"/>
      <c r="E146" s="20"/>
      <c r="F146" s="64"/>
      <c r="G146" s="20"/>
      <c r="H146" s="20"/>
      <c r="I146" s="20"/>
      <c r="J146" s="20"/>
      <c r="K146" s="20"/>
      <c r="L146" s="20"/>
      <c r="M146" s="20"/>
      <c r="N146" s="11"/>
      <c r="O146" s="11"/>
      <c r="P146" s="11"/>
      <c r="Q146" s="20"/>
    </row>
    <row r="147" spans="1:17">
      <c r="A147" s="20"/>
      <c r="B147" s="64"/>
      <c r="C147" s="20"/>
      <c r="D147" s="20"/>
      <c r="E147" s="20"/>
      <c r="F147" s="64"/>
      <c r="G147" s="20"/>
      <c r="H147" s="20"/>
      <c r="I147" s="20"/>
      <c r="J147" s="20"/>
      <c r="K147" s="20"/>
      <c r="L147" s="20"/>
      <c r="M147" s="20"/>
      <c r="N147" s="11"/>
      <c r="O147" s="11"/>
      <c r="P147" s="11"/>
      <c r="Q147" s="20"/>
    </row>
    <row r="148" spans="1:17">
      <c r="A148" s="20"/>
      <c r="B148" s="64"/>
      <c r="C148" s="20"/>
      <c r="D148" s="20"/>
      <c r="E148" s="20"/>
      <c r="F148" s="64"/>
      <c r="G148" s="20"/>
      <c r="H148" s="20"/>
      <c r="I148" s="20"/>
      <c r="J148" s="20"/>
      <c r="K148" s="20"/>
      <c r="L148" s="20"/>
      <c r="M148" s="20"/>
      <c r="N148" s="11"/>
      <c r="O148" s="11"/>
      <c r="P148" s="11"/>
      <c r="Q148" s="20"/>
    </row>
    <row r="149" spans="1:17">
      <c r="A149" s="20"/>
      <c r="B149" s="64"/>
      <c r="C149" s="20"/>
      <c r="D149" s="20"/>
      <c r="E149" s="20"/>
      <c r="F149" s="64"/>
      <c r="G149" s="20"/>
      <c r="H149" s="20"/>
      <c r="I149" s="20"/>
      <c r="J149" s="20"/>
      <c r="K149" s="20"/>
      <c r="L149" s="20"/>
      <c r="M149" s="20"/>
      <c r="N149" s="11"/>
      <c r="O149" s="11"/>
      <c r="P149" s="11"/>
      <c r="Q149" s="20"/>
    </row>
    <row r="150" spans="1:17">
      <c r="A150" s="20"/>
      <c r="B150" s="64"/>
      <c r="C150" s="20"/>
      <c r="D150" s="20"/>
      <c r="E150" s="20"/>
      <c r="F150" s="64"/>
      <c r="G150" s="20"/>
      <c r="H150" s="20"/>
      <c r="I150" s="20"/>
      <c r="J150" s="20"/>
      <c r="K150" s="20"/>
      <c r="L150" s="20"/>
      <c r="M150" s="20"/>
      <c r="N150" s="11"/>
      <c r="O150" s="11"/>
      <c r="P150" s="11"/>
      <c r="Q150" s="20"/>
    </row>
    <row r="151" spans="1:17">
      <c r="A151" s="20"/>
      <c r="B151" s="64"/>
      <c r="C151" s="20"/>
      <c r="D151" s="20"/>
      <c r="E151" s="20"/>
      <c r="F151" s="64"/>
      <c r="G151" s="20"/>
      <c r="H151" s="20"/>
      <c r="I151" s="20"/>
      <c r="J151" s="20"/>
      <c r="K151" s="20"/>
      <c r="L151" s="20"/>
      <c r="M151" s="20"/>
      <c r="N151" s="11"/>
      <c r="O151" s="11"/>
      <c r="P151" s="11"/>
      <c r="Q151" s="20"/>
    </row>
    <row r="152" spans="1:17">
      <c r="A152" s="20"/>
      <c r="B152" s="64"/>
      <c r="C152" s="20"/>
      <c r="D152" s="20"/>
      <c r="E152" s="20"/>
      <c r="F152" s="64"/>
      <c r="G152" s="20"/>
      <c r="H152" s="20"/>
      <c r="I152" s="20"/>
      <c r="J152" s="20"/>
      <c r="K152" s="20"/>
      <c r="L152" s="20"/>
      <c r="M152" s="20"/>
      <c r="N152" s="11"/>
      <c r="O152" s="11"/>
      <c r="P152" s="11"/>
      <c r="Q152" s="20"/>
    </row>
    <row r="153" spans="1:17">
      <c r="A153" s="20"/>
      <c r="B153" s="64"/>
      <c r="C153" s="20"/>
      <c r="D153" s="20"/>
      <c r="E153" s="20"/>
      <c r="F153" s="64"/>
      <c r="G153" s="20"/>
      <c r="H153" s="20"/>
      <c r="I153" s="20"/>
      <c r="J153" s="20"/>
      <c r="K153" s="20"/>
      <c r="L153" s="20"/>
      <c r="M153" s="20"/>
      <c r="N153" s="11"/>
      <c r="O153" s="11"/>
      <c r="P153" s="11"/>
      <c r="Q153" s="20"/>
    </row>
    <row r="154" spans="1:17">
      <c r="A154" s="20"/>
      <c r="B154" s="64"/>
      <c r="C154" s="20"/>
      <c r="D154" s="20"/>
      <c r="E154" s="20"/>
      <c r="F154" s="64"/>
      <c r="G154" s="20"/>
      <c r="H154" s="20"/>
      <c r="I154" s="20"/>
      <c r="J154" s="20"/>
      <c r="K154" s="20"/>
      <c r="L154" s="20"/>
      <c r="M154" s="20"/>
      <c r="N154" s="11"/>
      <c r="O154" s="11"/>
      <c r="P154" s="11"/>
      <c r="Q154" s="20"/>
    </row>
    <row r="155" spans="1:17">
      <c r="A155" s="20"/>
      <c r="B155" s="64"/>
      <c r="C155" s="20"/>
      <c r="D155" s="20"/>
      <c r="E155" s="20"/>
      <c r="F155" s="64"/>
      <c r="G155" s="20"/>
      <c r="H155" s="20"/>
      <c r="I155" s="20"/>
      <c r="J155" s="20"/>
      <c r="K155" s="20"/>
      <c r="L155" s="20"/>
      <c r="M155" s="20"/>
      <c r="N155" s="11"/>
      <c r="O155" s="11"/>
      <c r="P155" s="11"/>
      <c r="Q155" s="20"/>
    </row>
    <row r="156" spans="1:17">
      <c r="A156" s="20"/>
      <c r="B156" s="64"/>
      <c r="C156" s="20"/>
      <c r="D156" s="20"/>
      <c r="E156" s="20"/>
      <c r="F156" s="64"/>
      <c r="G156" s="20"/>
      <c r="H156" s="20"/>
      <c r="I156" s="20"/>
      <c r="J156" s="20"/>
      <c r="K156" s="20"/>
      <c r="L156" s="20"/>
      <c r="M156" s="20"/>
      <c r="N156" s="11"/>
      <c r="O156" s="11"/>
      <c r="P156" s="11"/>
      <c r="Q156" s="20"/>
    </row>
    <row r="157" spans="1:17">
      <c r="A157" s="20"/>
      <c r="B157" s="64"/>
      <c r="C157" s="20"/>
      <c r="D157" s="20"/>
      <c r="E157" s="20"/>
      <c r="F157" s="64"/>
      <c r="G157" s="20"/>
      <c r="H157" s="20"/>
      <c r="I157" s="20"/>
      <c r="J157" s="20"/>
      <c r="K157" s="20"/>
      <c r="L157" s="20"/>
      <c r="M157" s="20"/>
      <c r="N157" s="11"/>
      <c r="O157" s="11"/>
      <c r="P157" s="11"/>
      <c r="Q157" s="20"/>
    </row>
    <row r="158" spans="1:17">
      <c r="A158" s="20"/>
      <c r="B158" s="64"/>
      <c r="C158" s="20"/>
      <c r="D158" s="20"/>
      <c r="E158" s="20"/>
      <c r="F158" s="64"/>
      <c r="G158" s="20"/>
      <c r="H158" s="20"/>
      <c r="I158" s="20"/>
      <c r="J158" s="20"/>
      <c r="K158" s="20"/>
      <c r="L158" s="20"/>
      <c r="M158" s="20"/>
      <c r="N158" s="11"/>
      <c r="O158" s="11"/>
      <c r="P158" s="11"/>
      <c r="Q158" s="20"/>
    </row>
    <row r="159" spans="1:17">
      <c r="A159" s="20"/>
      <c r="B159" s="64"/>
      <c r="C159" s="20"/>
      <c r="D159" s="20"/>
      <c r="E159" s="20"/>
      <c r="F159" s="64"/>
      <c r="G159" s="20"/>
      <c r="H159" s="20"/>
      <c r="I159" s="20"/>
      <c r="J159" s="20"/>
      <c r="K159" s="20"/>
      <c r="L159" s="20"/>
      <c r="M159" s="20"/>
      <c r="N159" s="11"/>
      <c r="O159" s="11"/>
      <c r="P159" s="11"/>
      <c r="Q159" s="20"/>
    </row>
    <row r="160" spans="1:17">
      <c r="A160" s="20"/>
      <c r="B160" s="64"/>
      <c r="C160" s="20"/>
      <c r="D160" s="20"/>
      <c r="E160" s="20"/>
      <c r="F160" s="64"/>
      <c r="G160" s="20"/>
      <c r="H160" s="20"/>
      <c r="I160" s="20"/>
      <c r="J160" s="20"/>
      <c r="K160" s="20"/>
      <c r="L160" s="20"/>
      <c r="M160" s="20"/>
      <c r="N160" s="11"/>
      <c r="O160" s="11"/>
      <c r="P160" s="11"/>
      <c r="Q160" s="20"/>
    </row>
    <row r="161" spans="1:17">
      <c r="A161" s="20"/>
      <c r="B161" s="64"/>
      <c r="C161" s="20"/>
      <c r="D161" s="20"/>
      <c r="E161" s="20"/>
      <c r="F161" s="64"/>
      <c r="G161" s="20"/>
      <c r="H161" s="20"/>
      <c r="I161" s="20"/>
      <c r="J161" s="20"/>
      <c r="K161" s="20"/>
      <c r="L161" s="20"/>
      <c r="M161" s="20"/>
      <c r="N161" s="11"/>
      <c r="O161" s="11"/>
      <c r="P161" s="11"/>
      <c r="Q161" s="20"/>
    </row>
    <row r="162" spans="1:17">
      <c r="A162" s="20"/>
      <c r="B162" s="64"/>
      <c r="C162" s="20"/>
      <c r="D162" s="20"/>
      <c r="E162" s="20"/>
      <c r="F162" s="64"/>
      <c r="G162" s="20"/>
      <c r="H162" s="20"/>
      <c r="I162" s="20"/>
      <c r="J162" s="20"/>
      <c r="K162" s="20"/>
      <c r="L162" s="20"/>
      <c r="M162" s="20"/>
      <c r="N162" s="11"/>
      <c r="O162" s="11"/>
      <c r="P162" s="11"/>
      <c r="Q162" s="20"/>
    </row>
    <row r="163" spans="1:17">
      <c r="A163" s="20"/>
      <c r="B163" s="64"/>
      <c r="C163" s="20"/>
      <c r="D163" s="20"/>
      <c r="E163" s="20"/>
      <c r="F163" s="64"/>
      <c r="G163" s="20"/>
      <c r="H163" s="20"/>
      <c r="I163" s="20"/>
      <c r="J163" s="20"/>
      <c r="K163" s="20"/>
      <c r="L163" s="20"/>
      <c r="M163" s="20"/>
      <c r="N163" s="11"/>
      <c r="O163" s="11"/>
      <c r="P163" s="11"/>
      <c r="Q163" s="20"/>
    </row>
    <row r="164" spans="1:17">
      <c r="A164" s="20"/>
      <c r="B164" s="64"/>
      <c r="C164" s="20"/>
      <c r="D164" s="20"/>
      <c r="E164" s="20"/>
      <c r="F164" s="64"/>
      <c r="G164" s="20"/>
      <c r="H164" s="20"/>
      <c r="I164" s="20"/>
      <c r="J164" s="20"/>
      <c r="K164" s="20"/>
      <c r="L164" s="20"/>
      <c r="M164" s="20"/>
      <c r="N164" s="11"/>
      <c r="O164" s="11"/>
      <c r="P164" s="11"/>
      <c r="Q164" s="20"/>
    </row>
    <row r="165" spans="1:17">
      <c r="A165" s="20"/>
      <c r="B165" s="64"/>
      <c r="C165" s="20"/>
      <c r="D165" s="20"/>
      <c r="E165" s="20"/>
      <c r="F165" s="64"/>
      <c r="G165" s="20"/>
      <c r="H165" s="20"/>
      <c r="I165" s="20"/>
      <c r="J165" s="20"/>
      <c r="K165" s="20"/>
      <c r="L165" s="20"/>
      <c r="M165" s="20"/>
      <c r="N165" s="11"/>
      <c r="O165" s="11"/>
      <c r="P165" s="11"/>
      <c r="Q165" s="20"/>
    </row>
    <row r="166" spans="1:17">
      <c r="A166" s="20"/>
      <c r="B166" s="64"/>
      <c r="C166" s="20"/>
      <c r="D166" s="20"/>
      <c r="E166" s="20"/>
      <c r="F166" s="64"/>
      <c r="G166" s="20"/>
      <c r="H166" s="20"/>
      <c r="I166" s="20"/>
      <c r="J166" s="20"/>
      <c r="K166" s="20"/>
      <c r="L166" s="20"/>
      <c r="M166" s="20"/>
      <c r="N166" s="11"/>
      <c r="O166" s="11"/>
      <c r="P166" s="11"/>
      <c r="Q166" s="20"/>
    </row>
    <row r="167" spans="1:17">
      <c r="A167" s="20"/>
      <c r="B167" s="64"/>
      <c r="C167" s="20"/>
      <c r="D167" s="20"/>
      <c r="E167" s="20"/>
      <c r="F167" s="64"/>
      <c r="G167" s="20"/>
      <c r="H167" s="20"/>
      <c r="I167" s="20"/>
      <c r="J167" s="20"/>
      <c r="K167" s="20"/>
      <c r="L167" s="20"/>
      <c r="M167" s="20"/>
      <c r="N167" s="11"/>
      <c r="O167" s="11"/>
      <c r="P167" s="11"/>
      <c r="Q167" s="20"/>
    </row>
    <row r="168" spans="1:17">
      <c r="A168" s="20"/>
      <c r="B168" s="64"/>
      <c r="C168" s="20"/>
      <c r="D168" s="20"/>
      <c r="E168" s="20"/>
      <c r="F168" s="64"/>
      <c r="G168" s="20"/>
      <c r="H168" s="20"/>
      <c r="I168" s="20"/>
      <c r="J168" s="20"/>
      <c r="K168" s="20"/>
      <c r="L168" s="20"/>
      <c r="M168" s="20"/>
      <c r="N168" s="11"/>
      <c r="O168" s="11"/>
      <c r="P168" s="11"/>
      <c r="Q168" s="20"/>
    </row>
    <row r="169" spans="1:17">
      <c r="A169" s="20"/>
      <c r="B169" s="64"/>
      <c r="C169" s="20"/>
      <c r="D169" s="20"/>
      <c r="E169" s="20"/>
      <c r="F169" s="64"/>
      <c r="G169" s="20"/>
      <c r="H169" s="20"/>
      <c r="I169" s="20"/>
      <c r="J169" s="20"/>
      <c r="K169" s="20"/>
      <c r="L169" s="20"/>
      <c r="M169" s="20"/>
      <c r="N169" s="11"/>
      <c r="O169" s="11"/>
      <c r="P169" s="11"/>
      <c r="Q169" s="20"/>
    </row>
    <row r="170" spans="1:17">
      <c r="A170" s="20"/>
      <c r="B170" s="64"/>
      <c r="C170" s="20"/>
      <c r="D170" s="20"/>
      <c r="E170" s="20"/>
      <c r="F170" s="64"/>
      <c r="G170" s="20"/>
      <c r="H170" s="20"/>
      <c r="I170" s="20"/>
      <c r="J170" s="20"/>
      <c r="K170" s="20"/>
      <c r="L170" s="20"/>
      <c r="M170" s="20"/>
      <c r="N170" s="11"/>
      <c r="O170" s="11"/>
      <c r="P170" s="11"/>
      <c r="Q170" s="20"/>
    </row>
    <row r="171" spans="1:17">
      <c r="A171" s="20"/>
      <c r="B171" s="64"/>
      <c r="C171" s="20"/>
      <c r="D171" s="20"/>
      <c r="E171" s="20"/>
      <c r="F171" s="64"/>
      <c r="G171" s="20"/>
      <c r="H171" s="20"/>
      <c r="I171" s="20"/>
      <c r="J171" s="20"/>
      <c r="K171" s="20"/>
      <c r="L171" s="20"/>
      <c r="M171" s="20"/>
      <c r="N171" s="11"/>
      <c r="O171" s="11"/>
      <c r="P171" s="11"/>
      <c r="Q171" s="20"/>
    </row>
    <row r="172" spans="1:17">
      <c r="A172" s="20"/>
      <c r="B172" s="64"/>
      <c r="C172" s="20"/>
      <c r="D172" s="20"/>
      <c r="E172" s="20"/>
      <c r="F172" s="64"/>
      <c r="G172" s="20"/>
      <c r="H172" s="20"/>
      <c r="I172" s="20"/>
      <c r="J172" s="20"/>
      <c r="K172" s="20"/>
      <c r="L172" s="20"/>
      <c r="M172" s="20"/>
      <c r="N172" s="11"/>
      <c r="O172" s="11"/>
      <c r="P172" s="11"/>
      <c r="Q172" s="20"/>
    </row>
    <row r="173" spans="1:17">
      <c r="A173" s="20"/>
      <c r="B173" s="64"/>
      <c r="C173" s="20"/>
      <c r="D173" s="20"/>
      <c r="E173" s="20"/>
      <c r="F173" s="64"/>
      <c r="G173" s="20"/>
      <c r="H173" s="20"/>
      <c r="I173" s="20"/>
      <c r="J173" s="20"/>
      <c r="K173" s="20"/>
      <c r="L173" s="20"/>
      <c r="M173" s="20"/>
      <c r="N173" s="11"/>
      <c r="O173" s="11"/>
      <c r="P173" s="11"/>
      <c r="Q173" s="20"/>
    </row>
    <row r="174" spans="1:17">
      <c r="A174" s="20"/>
      <c r="B174" s="64"/>
      <c r="C174" s="20"/>
      <c r="D174" s="20"/>
      <c r="E174" s="20"/>
      <c r="F174" s="64"/>
      <c r="G174" s="20"/>
      <c r="H174" s="20"/>
      <c r="I174" s="20"/>
      <c r="J174" s="20"/>
      <c r="K174" s="20"/>
      <c r="L174" s="20"/>
      <c r="M174" s="20"/>
      <c r="N174" s="11"/>
      <c r="O174" s="11"/>
      <c r="P174" s="11"/>
      <c r="Q174" s="20"/>
    </row>
    <row r="175" spans="1:17">
      <c r="A175" s="20"/>
      <c r="B175" s="64"/>
      <c r="C175" s="20"/>
      <c r="D175" s="20"/>
      <c r="E175" s="20"/>
      <c r="F175" s="64"/>
      <c r="G175" s="20"/>
      <c r="H175" s="20"/>
      <c r="I175" s="20"/>
      <c r="J175" s="20"/>
      <c r="K175" s="20"/>
      <c r="L175" s="20"/>
      <c r="M175" s="20"/>
      <c r="N175" s="11"/>
      <c r="O175" s="11"/>
      <c r="P175" s="11"/>
      <c r="Q175" s="20"/>
    </row>
    <row r="176" spans="1:17">
      <c r="A176" s="20"/>
      <c r="B176" s="64"/>
      <c r="C176" s="20"/>
      <c r="D176" s="20"/>
      <c r="E176" s="20"/>
      <c r="F176" s="64"/>
      <c r="G176" s="20"/>
      <c r="H176" s="20"/>
      <c r="I176" s="20"/>
      <c r="J176" s="20"/>
      <c r="K176" s="20"/>
      <c r="L176" s="20"/>
      <c r="M176" s="20"/>
      <c r="N176" s="11"/>
      <c r="O176" s="11"/>
      <c r="P176" s="11"/>
      <c r="Q176" s="20"/>
    </row>
    <row r="177" spans="1:17">
      <c r="A177" s="20"/>
      <c r="B177" s="64"/>
      <c r="C177" s="20"/>
      <c r="D177" s="20"/>
      <c r="E177" s="20"/>
      <c r="F177" s="64"/>
      <c r="G177" s="20"/>
      <c r="H177" s="20"/>
      <c r="I177" s="20"/>
      <c r="J177" s="20"/>
      <c r="K177" s="20"/>
      <c r="L177" s="20"/>
      <c r="M177" s="20"/>
      <c r="N177" s="11"/>
      <c r="O177" s="11"/>
      <c r="P177" s="11"/>
      <c r="Q177" s="20"/>
    </row>
    <row r="178" spans="1:17">
      <c r="A178" s="20"/>
      <c r="B178" s="64"/>
      <c r="C178" s="20"/>
      <c r="D178" s="20"/>
      <c r="E178" s="20"/>
      <c r="F178" s="64"/>
      <c r="G178" s="20"/>
      <c r="H178" s="20"/>
      <c r="I178" s="20"/>
      <c r="J178" s="20"/>
      <c r="K178" s="20"/>
      <c r="L178" s="20"/>
      <c r="M178" s="20"/>
      <c r="N178" s="11"/>
      <c r="O178" s="11"/>
      <c r="P178" s="11"/>
      <c r="Q178" s="20"/>
    </row>
    <row r="179" spans="1:17">
      <c r="A179" s="20"/>
      <c r="B179" s="64"/>
      <c r="C179" s="20"/>
      <c r="D179" s="20"/>
      <c r="E179" s="20"/>
      <c r="F179" s="64"/>
      <c r="G179" s="20"/>
      <c r="H179" s="20"/>
      <c r="I179" s="20"/>
      <c r="J179" s="20"/>
      <c r="K179" s="20"/>
      <c r="L179" s="20"/>
      <c r="M179" s="20"/>
      <c r="N179" s="11"/>
      <c r="O179" s="11"/>
      <c r="P179" s="11"/>
      <c r="Q179" s="20"/>
    </row>
  </sheetData>
  <dataConsolidate/>
  <mergeCells count="21">
    <mergeCell ref="AA15:AF15"/>
    <mergeCell ref="C1:G1"/>
    <mergeCell ref="A15:A20"/>
    <mergeCell ref="A21:A24"/>
    <mergeCell ref="A26:A27"/>
    <mergeCell ref="A4:A5"/>
    <mergeCell ref="A6:A8"/>
    <mergeCell ref="A9:A13"/>
    <mergeCell ref="AA34:AF34"/>
    <mergeCell ref="AI27:AN27"/>
    <mergeCell ref="U60:W60"/>
    <mergeCell ref="A55:A56"/>
    <mergeCell ref="A36:A37"/>
    <mergeCell ref="A39:A40"/>
    <mergeCell ref="A41:A43"/>
    <mergeCell ref="A28:A32"/>
    <mergeCell ref="A49:A50"/>
    <mergeCell ref="A51:A52"/>
    <mergeCell ref="A53:A54"/>
    <mergeCell ref="A33:A35"/>
    <mergeCell ref="A45:A48"/>
  </mergeCells>
  <conditionalFormatting sqref="Q3:Q56">
    <cfRule type="cellIs" dxfId="63" priority="5" operator="lessThan">
      <formula>0</formula>
    </cfRule>
  </conditionalFormatting>
  <conditionalFormatting sqref="M3:M56">
    <cfRule type="expression" dxfId="62" priority="4">
      <formula>(M3&lt;E3)</formula>
    </cfRule>
  </conditionalFormatting>
  <conditionalFormatting sqref="AB17:AG28">
    <cfRule type="cellIs" dxfId="61" priority="3" operator="greaterThan">
      <formula>0</formula>
    </cfRule>
  </conditionalFormatting>
  <conditionalFormatting sqref="AB36:AG47">
    <cfRule type="cellIs" dxfId="60" priority="2" operator="greaterThan">
      <formula>0</formula>
    </cfRule>
  </conditionalFormatting>
  <conditionalFormatting sqref="AJ29:AO40">
    <cfRule type="cellIs" dxfId="59" priority="1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79"/>
  <sheetViews>
    <sheetView topLeftCell="Q1" zoomScale="80" zoomScaleNormal="80" workbookViewId="0">
      <selection activeCell="AL47" sqref="AL47"/>
    </sheetView>
  </sheetViews>
  <sheetFormatPr defaultColWidth="9" defaultRowHeight="12.75"/>
  <cols>
    <col min="1" max="1" width="13.42578125" style="5" customWidth="1"/>
    <col min="2" max="2" width="22.7109375" style="63" customWidth="1"/>
    <col min="3" max="3" width="26.7109375" style="59" customWidth="1"/>
    <col min="4" max="4" width="16.85546875" style="59" customWidth="1"/>
    <col min="5" max="5" width="16.7109375" style="62" customWidth="1"/>
    <col min="6" max="6" width="23.7109375" style="61" customWidth="1"/>
    <col min="7" max="7" width="15.42578125" style="61" customWidth="1"/>
    <col min="8" max="8" width="23.7109375" style="61" customWidth="1"/>
    <col min="9" max="10" width="16.140625" style="59" customWidth="1"/>
    <col min="11" max="11" width="28.85546875" style="59" customWidth="1"/>
    <col min="12" max="12" width="17.7109375" style="59" customWidth="1"/>
    <col min="13" max="13" width="16.140625" style="59" customWidth="1"/>
    <col min="14" max="14" width="17.7109375" style="59" customWidth="1"/>
    <col min="15" max="15" width="23.28515625" style="59" customWidth="1"/>
    <col min="16" max="16" width="17.5703125" style="62" customWidth="1"/>
    <col min="17" max="17" width="26.5703125" style="10" customWidth="1"/>
    <col min="18" max="18" width="35.140625" style="59" customWidth="1"/>
    <col min="19" max="19" width="23" style="58" customWidth="1"/>
    <col min="20" max="20" width="22.85546875" style="5" customWidth="1"/>
    <col min="21" max="21" width="21.5703125" style="5" customWidth="1"/>
    <col min="22" max="22" width="25.28515625" style="5" customWidth="1"/>
    <col min="23" max="16384" width="9" style="5"/>
  </cols>
  <sheetData>
    <row r="1" spans="1:39" ht="14.25" customHeight="1">
      <c r="A1" s="199"/>
      <c r="B1" s="200"/>
      <c r="C1" s="516" t="s">
        <v>453</v>
      </c>
      <c r="D1" s="517"/>
      <c r="E1" s="517"/>
      <c r="F1" s="517"/>
      <c r="G1" s="517"/>
      <c r="H1" s="517"/>
      <c r="I1" s="518"/>
      <c r="J1" s="278"/>
      <c r="K1" s="521" t="s">
        <v>452</v>
      </c>
      <c r="L1" s="522"/>
      <c r="M1" s="522"/>
      <c r="N1" s="522"/>
      <c r="O1" s="522"/>
      <c r="P1" s="552"/>
      <c r="Q1" s="7"/>
      <c r="R1" s="7"/>
    </row>
    <row r="2" spans="1:39" ht="13.5" thickBot="1">
      <c r="A2" s="199" t="s">
        <v>451</v>
      </c>
      <c r="B2" s="198" t="s">
        <v>450</v>
      </c>
      <c r="C2" s="197" t="s">
        <v>449</v>
      </c>
      <c r="D2" s="196" t="s">
        <v>34</v>
      </c>
      <c r="E2" s="196" t="s">
        <v>33</v>
      </c>
      <c r="F2" s="196" t="s">
        <v>448</v>
      </c>
      <c r="G2" s="196" t="s">
        <v>460</v>
      </c>
      <c r="H2" s="196" t="s">
        <v>461</v>
      </c>
      <c r="I2" s="196" t="s">
        <v>445</v>
      </c>
      <c r="J2" s="195" t="s">
        <v>458</v>
      </c>
      <c r="K2" s="192" t="s">
        <v>447</v>
      </c>
      <c r="L2" s="194" t="s">
        <v>34</v>
      </c>
      <c r="M2" s="194" t="s">
        <v>33</v>
      </c>
      <c r="N2" s="193" t="s">
        <v>446</v>
      </c>
      <c r="O2" s="192" t="s">
        <v>445</v>
      </c>
      <c r="P2" s="252" t="s">
        <v>457</v>
      </c>
      <c r="Q2" s="11"/>
      <c r="R2" s="20"/>
      <c r="T2" s="494" t="s">
        <v>545</v>
      </c>
      <c r="U2" s="495"/>
      <c r="V2" s="495"/>
      <c r="W2" s="495"/>
      <c r="X2" s="495"/>
      <c r="Y2" s="496"/>
      <c r="Z2" s="166"/>
      <c r="AG2" s="494" t="s">
        <v>547</v>
      </c>
      <c r="AH2" s="495"/>
      <c r="AI2" s="495"/>
      <c r="AJ2" s="495"/>
      <c r="AK2" s="495"/>
      <c r="AL2" s="496"/>
      <c r="AM2" s="166"/>
    </row>
    <row r="3" spans="1:39" ht="13.5" thickBot="1">
      <c r="A3" s="164" t="s">
        <v>439</v>
      </c>
      <c r="B3" s="186" t="s">
        <v>438</v>
      </c>
      <c r="C3" s="185" t="s">
        <v>437</v>
      </c>
      <c r="D3" s="184">
        <v>386.9</v>
      </c>
      <c r="E3" s="184">
        <v>200</v>
      </c>
      <c r="F3" s="184">
        <v>131.95400000000001</v>
      </c>
      <c r="G3" s="184">
        <v>0.5</v>
      </c>
      <c r="H3" s="184">
        <f>F3*G3</f>
        <v>65.977000000000004</v>
      </c>
      <c r="I3" s="184">
        <f>E3-H3</f>
        <v>134.023</v>
      </c>
      <c r="J3" s="183">
        <f>H3/E3*100</f>
        <v>32.988500000000002</v>
      </c>
      <c r="K3" s="180" t="s">
        <v>436</v>
      </c>
      <c r="L3" s="182">
        <v>598.85</v>
      </c>
      <c r="M3" s="182">
        <v>150</v>
      </c>
      <c r="N3" s="181">
        <f t="shared" ref="N3:N13" si="0">F3</f>
        <v>131.95400000000001</v>
      </c>
      <c r="O3" s="251">
        <f>M3-H3</f>
        <v>84.022999999999996</v>
      </c>
      <c r="P3" s="181" t="str">
        <f t="shared" ref="P3:P9" si="1">IF(O3&gt;=0,"No","Yes")</f>
        <v>No</v>
      </c>
      <c r="Q3" s="11"/>
      <c r="R3" s="11"/>
      <c r="T3" s="336" t="s">
        <v>470</v>
      </c>
      <c r="U3" s="337" t="s">
        <v>471</v>
      </c>
      <c r="V3" s="337" t="s">
        <v>472</v>
      </c>
      <c r="W3" s="337" t="s">
        <v>473</v>
      </c>
      <c r="X3" s="338" t="s">
        <v>474</v>
      </c>
      <c r="Y3" s="339" t="s">
        <v>527</v>
      </c>
      <c r="Z3" s="340" t="s">
        <v>418</v>
      </c>
      <c r="AG3" s="336" t="s">
        <v>470</v>
      </c>
      <c r="AH3" s="337" t="s">
        <v>471</v>
      </c>
      <c r="AI3" s="337" t="s">
        <v>472</v>
      </c>
      <c r="AJ3" s="337" t="s">
        <v>473</v>
      </c>
      <c r="AK3" s="338" t="s">
        <v>474</v>
      </c>
      <c r="AL3" s="339" t="s">
        <v>527</v>
      </c>
      <c r="AM3" s="340" t="s">
        <v>418</v>
      </c>
    </row>
    <row r="4" spans="1:39" ht="13.5" thickBot="1">
      <c r="A4" s="519" t="s">
        <v>44</v>
      </c>
      <c r="B4" s="179" t="s">
        <v>3</v>
      </c>
      <c r="C4" s="178" t="s">
        <v>44</v>
      </c>
      <c r="D4" s="177">
        <v>424.31</v>
      </c>
      <c r="E4" s="177">
        <v>200</v>
      </c>
      <c r="F4" s="177">
        <v>79.758499999999998</v>
      </c>
      <c r="G4" s="85">
        <v>0.5</v>
      </c>
      <c r="H4" s="85">
        <f t="shared" ref="H4:H56" si="2">F4*G4</f>
        <v>39.879249999999999</v>
      </c>
      <c r="I4" s="94">
        <f t="shared" ref="I4:I13" si="3">E4-H4</f>
        <v>160.12074999999999</v>
      </c>
      <c r="J4" s="93">
        <f t="shared" ref="J4:J13" si="4">H4/E4*100</f>
        <v>19.939624999999999</v>
      </c>
      <c r="K4" s="304" t="s">
        <v>435</v>
      </c>
      <c r="L4" s="176">
        <v>561.44000000000005</v>
      </c>
      <c r="M4" s="176">
        <v>150</v>
      </c>
      <c r="N4" s="175">
        <f t="shared" si="0"/>
        <v>79.758499999999998</v>
      </c>
      <c r="O4" s="251">
        <f t="shared" ref="O4:O13" si="5">M4-H4</f>
        <v>110.12075</v>
      </c>
      <c r="P4" s="182" t="str">
        <f t="shared" si="1"/>
        <v>No</v>
      </c>
      <c r="Q4" s="11"/>
      <c r="R4" s="11"/>
      <c r="T4" s="60" t="s">
        <v>84</v>
      </c>
      <c r="U4" s="341">
        <v>0</v>
      </c>
      <c r="V4" s="341">
        <v>0</v>
      </c>
      <c r="W4" s="342">
        <v>0</v>
      </c>
      <c r="X4" s="342">
        <v>0</v>
      </c>
      <c r="Y4" s="343">
        <v>0</v>
      </c>
      <c r="Z4" s="344">
        <f>SUM(U4:Y4)</f>
        <v>0</v>
      </c>
      <c r="AG4" s="60" t="s">
        <v>84</v>
      </c>
      <c r="AH4" s="343">
        <v>0</v>
      </c>
      <c r="AI4" s="343">
        <f>3</f>
        <v>3</v>
      </c>
      <c r="AJ4" s="419">
        <f>1+1</f>
        <v>2</v>
      </c>
      <c r="AK4" s="419">
        <f>1</f>
        <v>1</v>
      </c>
      <c r="AL4" s="343">
        <v>0</v>
      </c>
      <c r="AM4" s="344">
        <f>SUM(AH4:AL4)</f>
        <v>6</v>
      </c>
    </row>
    <row r="5" spans="1:39" ht="14.25" customHeight="1" thickBot="1">
      <c r="A5" s="499"/>
      <c r="B5" s="63" t="s">
        <v>25</v>
      </c>
      <c r="C5" s="114" t="s">
        <v>65</v>
      </c>
      <c r="D5" s="94">
        <v>645.40499999999997</v>
      </c>
      <c r="E5" s="94">
        <v>150</v>
      </c>
      <c r="F5" s="94">
        <v>101.52370000000001</v>
      </c>
      <c r="G5" s="73">
        <v>0.5</v>
      </c>
      <c r="H5" s="73">
        <f t="shared" si="2"/>
        <v>50.761850000000003</v>
      </c>
      <c r="I5" s="94">
        <f t="shared" si="3"/>
        <v>99.23814999999999</v>
      </c>
      <c r="J5" s="93">
        <f t="shared" si="4"/>
        <v>33.841233333333335</v>
      </c>
      <c r="K5" s="301" t="s">
        <v>430</v>
      </c>
      <c r="L5" s="92">
        <v>691.82</v>
      </c>
      <c r="M5" s="92">
        <v>150</v>
      </c>
      <c r="N5" s="91">
        <f t="shared" si="0"/>
        <v>101.52370000000001</v>
      </c>
      <c r="O5" s="251">
        <f t="shared" si="5"/>
        <v>99.23814999999999</v>
      </c>
      <c r="P5" s="182" t="str">
        <f t="shared" si="1"/>
        <v>No</v>
      </c>
      <c r="Q5" s="16" t="s">
        <v>441</v>
      </c>
      <c r="R5" s="16" t="s">
        <v>456</v>
      </c>
      <c r="T5" s="60" t="s">
        <v>85</v>
      </c>
      <c r="U5" s="341">
        <v>0</v>
      </c>
      <c r="V5" s="341">
        <v>0</v>
      </c>
      <c r="W5" s="341">
        <v>0</v>
      </c>
      <c r="X5" s="341">
        <v>0</v>
      </c>
      <c r="Y5" s="343">
        <v>0</v>
      </c>
      <c r="Z5" s="60">
        <f t="shared" ref="Z5:Z15" si="6">SUM(U5:Y5)</f>
        <v>0</v>
      </c>
      <c r="AG5" s="60" t="s">
        <v>85</v>
      </c>
      <c r="AH5" s="343">
        <v>0</v>
      </c>
      <c r="AI5" s="343">
        <f>2+1+1</f>
        <v>4</v>
      </c>
      <c r="AJ5" s="343">
        <f>2+1</f>
        <v>3</v>
      </c>
      <c r="AK5" s="343">
        <v>0</v>
      </c>
      <c r="AL5" s="343">
        <f>1+1</f>
        <v>2</v>
      </c>
      <c r="AM5" s="60">
        <f t="shared" ref="AM5:AM15" si="7">SUM(AH5:AL5)</f>
        <v>9</v>
      </c>
    </row>
    <row r="6" spans="1:39" ht="13.5" thickBot="1">
      <c r="A6" s="497" t="s">
        <v>434</v>
      </c>
      <c r="B6" s="87" t="s">
        <v>433</v>
      </c>
      <c r="C6" s="86" t="s">
        <v>392</v>
      </c>
      <c r="D6" s="85">
        <v>774.56</v>
      </c>
      <c r="E6" s="85">
        <v>450</v>
      </c>
      <c r="F6" s="85">
        <v>593.39</v>
      </c>
      <c r="G6" s="85">
        <v>0.5</v>
      </c>
      <c r="H6" s="85">
        <f t="shared" si="2"/>
        <v>296.69499999999999</v>
      </c>
      <c r="I6" s="85">
        <f t="shared" si="3"/>
        <v>153.30500000000001</v>
      </c>
      <c r="J6" s="84">
        <f t="shared" si="4"/>
        <v>65.932222222222222</v>
      </c>
      <c r="K6" s="100" t="s">
        <v>432</v>
      </c>
      <c r="L6" s="83">
        <v>778.62</v>
      </c>
      <c r="M6" s="83">
        <v>450</v>
      </c>
      <c r="N6" s="82">
        <f t="shared" si="0"/>
        <v>593.39</v>
      </c>
      <c r="O6" s="251">
        <f t="shared" si="5"/>
        <v>153.30500000000001</v>
      </c>
      <c r="P6" s="182" t="str">
        <f t="shared" si="1"/>
        <v>No</v>
      </c>
      <c r="Q6" s="219"/>
      <c r="R6" s="218"/>
      <c r="T6" s="60" t="s">
        <v>86</v>
      </c>
      <c r="U6" s="341">
        <v>0</v>
      </c>
      <c r="V6" s="341">
        <v>0</v>
      </c>
      <c r="W6" s="341">
        <v>0</v>
      </c>
      <c r="X6" s="341">
        <v>0</v>
      </c>
      <c r="Y6" s="343">
        <v>0</v>
      </c>
      <c r="Z6" s="60">
        <f t="shared" si="6"/>
        <v>0</v>
      </c>
      <c r="AB6" s="405" t="s">
        <v>476</v>
      </c>
      <c r="AC6" s="405" t="s">
        <v>477</v>
      </c>
      <c r="AD6" s="345" t="s">
        <v>478</v>
      </c>
      <c r="AG6" s="60" t="s">
        <v>86</v>
      </c>
      <c r="AH6" s="341">
        <v>0</v>
      </c>
      <c r="AI6" s="343">
        <v>0</v>
      </c>
      <c r="AJ6" s="341">
        <f>1+1</f>
        <v>2</v>
      </c>
      <c r="AK6" s="343">
        <v>0</v>
      </c>
      <c r="AL6" s="343">
        <f>1</f>
        <v>1</v>
      </c>
      <c r="AM6" s="60">
        <f t="shared" si="7"/>
        <v>3</v>
      </c>
    </row>
    <row r="7" spans="1:39" ht="14.25" customHeight="1" thickBot="1">
      <c r="A7" s="499"/>
      <c r="B7" s="96" t="s">
        <v>4</v>
      </c>
      <c r="C7" s="95" t="s">
        <v>45</v>
      </c>
      <c r="D7" s="108">
        <v>221.095</v>
      </c>
      <c r="E7" s="108">
        <v>250</v>
      </c>
      <c r="F7" s="108">
        <v>165.54</v>
      </c>
      <c r="G7" s="94">
        <v>0.5</v>
      </c>
      <c r="H7" s="94">
        <f t="shared" si="2"/>
        <v>82.77</v>
      </c>
      <c r="I7" s="94">
        <f t="shared" si="3"/>
        <v>167.23000000000002</v>
      </c>
      <c r="J7" s="93">
        <f t="shared" si="4"/>
        <v>33.107999999999997</v>
      </c>
      <c r="K7" s="302" t="s">
        <v>431</v>
      </c>
      <c r="L7" s="106">
        <v>904.18</v>
      </c>
      <c r="M7" s="106">
        <v>150</v>
      </c>
      <c r="N7" s="105">
        <f t="shared" si="0"/>
        <v>165.54</v>
      </c>
      <c r="O7" s="251">
        <f t="shared" si="5"/>
        <v>67.23</v>
      </c>
      <c r="P7" s="263" t="str">
        <f t="shared" si="1"/>
        <v>No</v>
      </c>
      <c r="Q7" s="262" t="s">
        <v>351</v>
      </c>
      <c r="R7" s="245" t="s">
        <v>351</v>
      </c>
      <c r="T7" s="60" t="s">
        <v>87</v>
      </c>
      <c r="U7" s="341">
        <v>0</v>
      </c>
      <c r="V7" s="341">
        <v>0</v>
      </c>
      <c r="W7" s="341">
        <v>0</v>
      </c>
      <c r="X7" s="341">
        <v>0</v>
      </c>
      <c r="Y7" s="343">
        <v>0</v>
      </c>
      <c r="Z7" s="60">
        <f t="shared" si="6"/>
        <v>0</v>
      </c>
      <c r="AB7" s="61" t="s">
        <v>471</v>
      </c>
      <c r="AC7" s="61">
        <v>100</v>
      </c>
      <c r="AD7" s="413">
        <v>15</v>
      </c>
      <c r="AG7" s="60" t="s">
        <v>87</v>
      </c>
      <c r="AH7" s="341">
        <v>0</v>
      </c>
      <c r="AI7" s="420">
        <f>3+2+2</f>
        <v>7</v>
      </c>
      <c r="AJ7" s="343">
        <f>2+1+2+4+1</f>
        <v>10</v>
      </c>
      <c r="AK7" s="343">
        <f>1+2+3</f>
        <v>6</v>
      </c>
      <c r="AL7" s="343">
        <v>0</v>
      </c>
      <c r="AM7" s="60">
        <f t="shared" si="7"/>
        <v>23</v>
      </c>
    </row>
    <row r="8" spans="1:39" ht="14.25" customHeight="1" thickBot="1">
      <c r="A8" s="499"/>
      <c r="B8" s="96" t="s">
        <v>25</v>
      </c>
      <c r="C8" s="95" t="s">
        <v>65</v>
      </c>
      <c r="D8" s="94">
        <v>645.40499999999997</v>
      </c>
      <c r="E8" s="94">
        <v>150</v>
      </c>
      <c r="F8" s="94">
        <v>101.52370000000001</v>
      </c>
      <c r="G8" s="73">
        <v>0.5</v>
      </c>
      <c r="H8" s="73">
        <f t="shared" si="2"/>
        <v>50.761850000000003</v>
      </c>
      <c r="I8" s="73">
        <f t="shared" si="3"/>
        <v>99.23814999999999</v>
      </c>
      <c r="J8" s="299">
        <f t="shared" si="4"/>
        <v>33.841233333333335</v>
      </c>
      <c r="K8" s="301" t="s">
        <v>430</v>
      </c>
      <c r="L8" s="92">
        <v>691.82</v>
      </c>
      <c r="M8" s="92">
        <v>150</v>
      </c>
      <c r="N8" s="91">
        <f t="shared" si="0"/>
        <v>101.52370000000001</v>
      </c>
      <c r="O8" s="251">
        <f t="shared" si="5"/>
        <v>99.23814999999999</v>
      </c>
      <c r="P8" s="182" t="str">
        <f t="shared" si="1"/>
        <v>No</v>
      </c>
      <c r="Q8" s="261"/>
      <c r="R8" s="245"/>
      <c r="T8" s="60" t="s">
        <v>88</v>
      </c>
      <c r="U8" s="341">
        <v>0</v>
      </c>
      <c r="V8" s="341">
        <v>0</v>
      </c>
      <c r="W8" s="341">
        <v>0</v>
      </c>
      <c r="X8" s="341">
        <v>0</v>
      </c>
      <c r="Y8" s="343">
        <v>0</v>
      </c>
      <c r="Z8" s="60">
        <f t="shared" si="6"/>
        <v>0</v>
      </c>
      <c r="AA8" s="330"/>
      <c r="AB8" s="346" t="s">
        <v>472</v>
      </c>
      <c r="AC8" s="346">
        <v>150</v>
      </c>
      <c r="AD8" s="414">
        <v>16.3689</v>
      </c>
      <c r="AG8" s="60" t="s">
        <v>88</v>
      </c>
      <c r="AH8" s="341">
        <v>0</v>
      </c>
      <c r="AI8" s="343">
        <v>0</v>
      </c>
      <c r="AJ8" s="343">
        <f>1+1+1+2+1+1</f>
        <v>7</v>
      </c>
      <c r="AK8" s="343">
        <f>1</f>
        <v>1</v>
      </c>
      <c r="AL8" s="343">
        <v>0</v>
      </c>
      <c r="AM8" s="60">
        <f t="shared" si="7"/>
        <v>8</v>
      </c>
    </row>
    <row r="9" spans="1:39" ht="13.5" thickBot="1">
      <c r="A9" s="497" t="s">
        <v>46</v>
      </c>
      <c r="B9" s="87" t="s">
        <v>5</v>
      </c>
      <c r="C9" s="86" t="s">
        <v>46</v>
      </c>
      <c r="D9" s="85">
        <v>87.444999999999993</v>
      </c>
      <c r="E9" s="85">
        <v>300</v>
      </c>
      <c r="F9" s="85">
        <v>330.03719999999998</v>
      </c>
      <c r="G9" s="85">
        <v>0.5</v>
      </c>
      <c r="H9" s="85">
        <f t="shared" si="2"/>
        <v>165.01859999999999</v>
      </c>
      <c r="I9" s="94">
        <f t="shared" si="3"/>
        <v>134.98140000000001</v>
      </c>
      <c r="J9" s="93">
        <f t="shared" si="4"/>
        <v>55.006199999999993</v>
      </c>
      <c r="K9" s="100" t="s">
        <v>429</v>
      </c>
      <c r="L9" s="83">
        <v>243.73500000000001</v>
      </c>
      <c r="M9" s="83">
        <v>250</v>
      </c>
      <c r="N9" s="82">
        <f t="shared" si="0"/>
        <v>330.03719999999998</v>
      </c>
      <c r="O9" s="251">
        <f t="shared" si="5"/>
        <v>84.981400000000008</v>
      </c>
      <c r="P9" s="181" t="str">
        <f t="shared" si="1"/>
        <v>No</v>
      </c>
      <c r="Q9" s="239"/>
      <c r="R9" s="239"/>
      <c r="S9" s="253"/>
      <c r="T9" s="60" t="s">
        <v>89</v>
      </c>
      <c r="U9" s="341">
        <v>0</v>
      </c>
      <c r="V9" s="341">
        <v>0</v>
      </c>
      <c r="W9" s="341">
        <v>0</v>
      </c>
      <c r="X9" s="341">
        <v>0</v>
      </c>
      <c r="Y9" s="343">
        <v>0</v>
      </c>
      <c r="Z9" s="60">
        <f t="shared" si="6"/>
        <v>0</v>
      </c>
      <c r="AA9" s="329"/>
      <c r="AB9" s="346" t="s">
        <v>473</v>
      </c>
      <c r="AC9" s="346">
        <v>200</v>
      </c>
      <c r="AD9" s="414">
        <v>16.746700000000001</v>
      </c>
      <c r="AG9" s="60" t="s">
        <v>89</v>
      </c>
      <c r="AH9" s="343">
        <v>0</v>
      </c>
      <c r="AI9" s="343">
        <f>2+2+1</f>
        <v>5</v>
      </c>
      <c r="AJ9" s="343">
        <f>1</f>
        <v>1</v>
      </c>
      <c r="AK9" s="343">
        <f>1</f>
        <v>1</v>
      </c>
      <c r="AL9" s="343">
        <v>0</v>
      </c>
      <c r="AM9" s="60">
        <f t="shared" si="7"/>
        <v>7</v>
      </c>
    </row>
    <row r="10" spans="1:39" ht="14.25" customHeight="1" thickBot="1">
      <c r="A10" s="499"/>
      <c r="B10" s="96" t="s">
        <v>7</v>
      </c>
      <c r="C10" s="95" t="s">
        <v>48</v>
      </c>
      <c r="D10" s="108">
        <v>457.755</v>
      </c>
      <c r="E10" s="108">
        <v>200</v>
      </c>
      <c r="F10" s="108">
        <v>200.11</v>
      </c>
      <c r="G10" s="94">
        <v>0.5</v>
      </c>
      <c r="H10" s="94">
        <f t="shared" si="2"/>
        <v>100.05500000000001</v>
      </c>
      <c r="I10" s="94">
        <f t="shared" si="3"/>
        <v>99.944999999999993</v>
      </c>
      <c r="J10" s="93">
        <f t="shared" si="4"/>
        <v>50.027500000000003</v>
      </c>
      <c r="K10" s="302" t="s">
        <v>428</v>
      </c>
      <c r="L10" s="106">
        <v>614.06500000000005</v>
      </c>
      <c r="M10" s="106">
        <v>150</v>
      </c>
      <c r="N10" s="105">
        <f t="shared" si="0"/>
        <v>200.11</v>
      </c>
      <c r="O10" s="251">
        <f t="shared" si="5"/>
        <v>49.944999999999993</v>
      </c>
      <c r="P10" s="260" t="s">
        <v>455</v>
      </c>
      <c r="Q10" s="11"/>
      <c r="R10" s="11"/>
      <c r="S10" s="253"/>
      <c r="T10" s="60" t="s">
        <v>90</v>
      </c>
      <c r="U10" s="341">
        <v>0</v>
      </c>
      <c r="V10" s="341">
        <v>0</v>
      </c>
      <c r="W10" s="341">
        <v>0</v>
      </c>
      <c r="X10" s="341">
        <v>0</v>
      </c>
      <c r="Y10" s="343">
        <v>0</v>
      </c>
      <c r="Z10" s="60">
        <f t="shared" si="6"/>
        <v>0</v>
      </c>
      <c r="AA10" s="329"/>
      <c r="AB10" s="346" t="s">
        <v>474</v>
      </c>
      <c r="AC10" s="346">
        <v>250</v>
      </c>
      <c r="AD10" s="414">
        <v>16.886600000000001</v>
      </c>
      <c r="AG10" s="60" t="s">
        <v>90</v>
      </c>
      <c r="AH10" s="341">
        <v>0</v>
      </c>
      <c r="AI10" s="341">
        <v>0</v>
      </c>
      <c r="AJ10" s="341">
        <f>1</f>
        <v>1</v>
      </c>
      <c r="AK10" s="343">
        <f>1</f>
        <v>1</v>
      </c>
      <c r="AL10" s="343">
        <f>1</f>
        <v>1</v>
      </c>
      <c r="AM10" s="60">
        <f t="shared" si="7"/>
        <v>3</v>
      </c>
    </row>
    <row r="11" spans="1:39" ht="14.25" customHeight="1" thickBot="1">
      <c r="A11" s="499"/>
      <c r="B11" s="96" t="s">
        <v>8</v>
      </c>
      <c r="C11" s="95" t="s">
        <v>74</v>
      </c>
      <c r="D11" s="108">
        <v>632.29</v>
      </c>
      <c r="E11" s="108">
        <v>300</v>
      </c>
      <c r="F11" s="108">
        <v>416.14780000000002</v>
      </c>
      <c r="G11" s="94">
        <v>0.5</v>
      </c>
      <c r="H11" s="94">
        <f t="shared" si="2"/>
        <v>208.07390000000001</v>
      </c>
      <c r="I11" s="94">
        <f t="shared" si="3"/>
        <v>91.926099999999991</v>
      </c>
      <c r="J11" s="93">
        <f t="shared" si="4"/>
        <v>69.35796666666667</v>
      </c>
      <c r="K11" s="302" t="s">
        <v>427</v>
      </c>
      <c r="L11" s="106">
        <v>692.19500000000005</v>
      </c>
      <c r="M11" s="106">
        <v>300</v>
      </c>
      <c r="N11" s="105">
        <f t="shared" si="0"/>
        <v>416.14780000000002</v>
      </c>
      <c r="O11" s="251">
        <f t="shared" si="5"/>
        <v>91.926099999999991</v>
      </c>
      <c r="P11" s="181" t="str">
        <f>IF(O11&gt;=0,"No","Yes")</f>
        <v>No</v>
      </c>
      <c r="Q11" s="11"/>
      <c r="R11" s="11"/>
      <c r="S11" s="253"/>
      <c r="T11" s="60" t="s">
        <v>91</v>
      </c>
      <c r="U11" s="341">
        <v>0</v>
      </c>
      <c r="V11" s="341">
        <v>0</v>
      </c>
      <c r="W11" s="343">
        <v>0</v>
      </c>
      <c r="X11" s="343">
        <v>0</v>
      </c>
      <c r="Y11" s="343">
        <v>0</v>
      </c>
      <c r="Z11" s="60">
        <f t="shared" si="6"/>
        <v>0</v>
      </c>
      <c r="AA11" s="330"/>
      <c r="AB11" s="347" t="s">
        <v>527</v>
      </c>
      <c r="AC11" s="347">
        <v>300</v>
      </c>
      <c r="AD11" s="415">
        <v>17</v>
      </c>
      <c r="AG11" s="60" t="s">
        <v>91</v>
      </c>
      <c r="AH11" s="341">
        <v>0</v>
      </c>
      <c r="AI11" s="341">
        <f>1+2+1+1+1+1</f>
        <v>7</v>
      </c>
      <c r="AJ11" s="343">
        <f>1+1</f>
        <v>2</v>
      </c>
      <c r="AK11" s="343">
        <f>1</f>
        <v>1</v>
      </c>
      <c r="AL11" s="343">
        <v>0</v>
      </c>
      <c r="AM11" s="60">
        <f t="shared" si="7"/>
        <v>10</v>
      </c>
    </row>
    <row r="12" spans="1:39" ht="14.25" customHeight="1" thickBot="1">
      <c r="A12" s="499"/>
      <c r="B12" s="96" t="s">
        <v>12</v>
      </c>
      <c r="C12" s="95" t="s">
        <v>52</v>
      </c>
      <c r="D12" s="108">
        <v>428.91</v>
      </c>
      <c r="E12" s="108">
        <v>200</v>
      </c>
      <c r="F12" s="108">
        <v>320.77999999999997</v>
      </c>
      <c r="G12" s="94">
        <v>0.5</v>
      </c>
      <c r="H12" s="94">
        <f t="shared" si="2"/>
        <v>160.38999999999999</v>
      </c>
      <c r="I12" s="94">
        <f t="shared" si="3"/>
        <v>39.610000000000014</v>
      </c>
      <c r="J12" s="93">
        <f t="shared" si="4"/>
        <v>80.194999999999993</v>
      </c>
      <c r="K12" s="302" t="s">
        <v>421</v>
      </c>
      <c r="L12" s="106">
        <v>440.09</v>
      </c>
      <c r="M12" s="106">
        <v>200</v>
      </c>
      <c r="N12" s="105">
        <f t="shared" si="0"/>
        <v>320.77999999999997</v>
      </c>
      <c r="O12" s="251">
        <f t="shared" si="5"/>
        <v>39.610000000000014</v>
      </c>
      <c r="P12" s="181" t="str">
        <f>IF(O12&gt;=0,"No","Yes")</f>
        <v>No</v>
      </c>
      <c r="Q12" s="11"/>
      <c r="R12" s="11"/>
      <c r="S12" s="253"/>
      <c r="T12" s="60" t="s">
        <v>92</v>
      </c>
      <c r="U12" s="343">
        <v>0</v>
      </c>
      <c r="V12" s="343">
        <v>0</v>
      </c>
      <c r="W12" s="343">
        <v>0</v>
      </c>
      <c r="X12" s="343">
        <v>0</v>
      </c>
      <c r="Y12" s="343">
        <v>0</v>
      </c>
      <c r="Z12" s="60">
        <f t="shared" si="6"/>
        <v>0</v>
      </c>
      <c r="AA12" s="330"/>
      <c r="AB12" s="330"/>
      <c r="AC12" s="330"/>
      <c r="AG12" s="60" t="s">
        <v>92</v>
      </c>
      <c r="AH12" s="343">
        <v>0</v>
      </c>
      <c r="AI12" s="341">
        <f>1+1</f>
        <v>2</v>
      </c>
      <c r="AJ12" s="343">
        <f>4+1</f>
        <v>5</v>
      </c>
      <c r="AK12" s="343">
        <v>0</v>
      </c>
      <c r="AL12" s="343">
        <v>0</v>
      </c>
      <c r="AM12" s="60">
        <f t="shared" si="7"/>
        <v>7</v>
      </c>
    </row>
    <row r="13" spans="1:39" ht="14.25" customHeight="1" thickBot="1">
      <c r="A13" s="499"/>
      <c r="B13" s="96" t="s">
        <v>397</v>
      </c>
      <c r="C13" s="95" t="s">
        <v>63</v>
      </c>
      <c r="D13" s="94">
        <v>530.30999999999995</v>
      </c>
      <c r="E13" s="94">
        <v>200</v>
      </c>
      <c r="F13" s="94">
        <v>22.35</v>
      </c>
      <c r="G13" s="73">
        <v>0.5</v>
      </c>
      <c r="H13" s="73">
        <f t="shared" si="2"/>
        <v>11.175000000000001</v>
      </c>
      <c r="I13" s="94">
        <f t="shared" si="3"/>
        <v>188.82499999999999</v>
      </c>
      <c r="J13" s="93">
        <f t="shared" si="4"/>
        <v>5.5875000000000004</v>
      </c>
      <c r="K13" s="301" t="s">
        <v>419</v>
      </c>
      <c r="L13" s="92">
        <v>541.49</v>
      </c>
      <c r="M13" s="92">
        <v>150</v>
      </c>
      <c r="N13" s="91">
        <f t="shared" si="0"/>
        <v>22.35</v>
      </c>
      <c r="O13" s="251">
        <f t="shared" si="5"/>
        <v>138.82499999999999</v>
      </c>
      <c r="P13" s="181" t="str">
        <f>IF(O13&gt;=0,"No","Yes")</f>
        <v>No</v>
      </c>
      <c r="Q13" s="11"/>
      <c r="R13" s="11"/>
      <c r="S13" s="253"/>
      <c r="T13" s="60" t="s">
        <v>93</v>
      </c>
      <c r="U13" s="343">
        <v>0</v>
      </c>
      <c r="V13" s="341">
        <v>0</v>
      </c>
      <c r="W13" s="343">
        <v>0</v>
      </c>
      <c r="X13" s="343">
        <v>0</v>
      </c>
      <c r="Y13" s="343">
        <v>0</v>
      </c>
      <c r="Z13" s="60">
        <f t="shared" si="6"/>
        <v>0</v>
      </c>
      <c r="AA13" s="330"/>
      <c r="AB13" s="330"/>
      <c r="AC13" s="330"/>
      <c r="AG13" s="60" t="s">
        <v>93</v>
      </c>
      <c r="AH13" s="343">
        <v>0</v>
      </c>
      <c r="AI13" s="341">
        <v>0</v>
      </c>
      <c r="AJ13" s="343">
        <f>1+1</f>
        <v>2</v>
      </c>
      <c r="AK13" s="343">
        <f>2</f>
        <v>2</v>
      </c>
      <c r="AL13" s="343">
        <v>0</v>
      </c>
      <c r="AM13" s="60">
        <f t="shared" si="7"/>
        <v>4</v>
      </c>
    </row>
    <row r="14" spans="1:39" ht="13.5" thickBot="1">
      <c r="A14" s="112" t="s">
        <v>427</v>
      </c>
      <c r="B14" s="87" t="s">
        <v>351</v>
      </c>
      <c r="C14" s="163"/>
      <c r="D14" s="85"/>
      <c r="E14" s="85"/>
      <c r="F14" s="85"/>
      <c r="G14" s="184">
        <v>0.5</v>
      </c>
      <c r="H14" s="184">
        <f t="shared" si="2"/>
        <v>0</v>
      </c>
      <c r="I14" s="184"/>
      <c r="J14" s="183"/>
      <c r="K14" s="100"/>
      <c r="L14" s="83"/>
      <c r="M14" s="83"/>
      <c r="N14" s="82"/>
      <c r="O14" s="100"/>
      <c r="P14" s="82"/>
      <c r="Q14" s="11"/>
      <c r="R14" s="11"/>
      <c r="S14" s="253"/>
      <c r="T14" s="60" t="s">
        <v>94</v>
      </c>
      <c r="U14" s="343">
        <v>0</v>
      </c>
      <c r="V14" s="341">
        <v>0</v>
      </c>
      <c r="W14" s="343">
        <v>0</v>
      </c>
      <c r="X14" s="343">
        <v>0</v>
      </c>
      <c r="Y14" s="343">
        <v>0</v>
      </c>
      <c r="Z14" s="60">
        <f t="shared" si="6"/>
        <v>0</v>
      </c>
      <c r="AA14" s="18"/>
      <c r="AB14" s="18"/>
      <c r="AC14" s="330"/>
      <c r="AG14" s="60" t="s">
        <v>94</v>
      </c>
      <c r="AH14" s="343">
        <v>0</v>
      </c>
      <c r="AI14" s="420">
        <f>1</f>
        <v>1</v>
      </c>
      <c r="AJ14" s="343">
        <f>1+1</f>
        <v>2</v>
      </c>
      <c r="AK14" s="343">
        <f>3</f>
        <v>3</v>
      </c>
      <c r="AL14" s="343">
        <v>0</v>
      </c>
      <c r="AM14" s="60">
        <f t="shared" si="7"/>
        <v>6</v>
      </c>
    </row>
    <row r="15" spans="1:39" ht="13.5" thickBot="1">
      <c r="A15" s="497" t="s">
        <v>49</v>
      </c>
      <c r="B15" s="87" t="s">
        <v>426</v>
      </c>
      <c r="C15" s="86" t="s">
        <v>47</v>
      </c>
      <c r="D15" s="85">
        <v>341.36500000000001</v>
      </c>
      <c r="E15" s="85">
        <v>400</v>
      </c>
      <c r="F15" s="85">
        <v>414.50749999999999</v>
      </c>
      <c r="G15" s="85">
        <v>0.5</v>
      </c>
      <c r="H15" s="85">
        <f t="shared" si="2"/>
        <v>207.25375</v>
      </c>
      <c r="I15" s="85">
        <f>E15-H15</f>
        <v>192.74625</v>
      </c>
      <c r="J15" s="84">
        <f>H15/E15*100</f>
        <v>51.813437500000006</v>
      </c>
      <c r="K15" s="100" t="s">
        <v>425</v>
      </c>
      <c r="L15" s="83">
        <v>527.53499999999997</v>
      </c>
      <c r="M15" s="83">
        <v>600</v>
      </c>
      <c r="N15" s="82">
        <f t="shared" ref="N15:N24" si="8">F15</f>
        <v>414.50749999999999</v>
      </c>
      <c r="O15" s="205">
        <f>M15-H15</f>
        <v>392.74625000000003</v>
      </c>
      <c r="P15" s="82" t="str">
        <f t="shared" ref="P15:P24" si="9">IF(O15&gt;=0,"No","Yes")</f>
        <v>No</v>
      </c>
      <c r="Q15" s="11"/>
      <c r="R15" s="11"/>
      <c r="S15" s="253"/>
      <c r="T15" s="326" t="s">
        <v>469</v>
      </c>
      <c r="U15" s="348">
        <v>0</v>
      </c>
      <c r="V15" s="348">
        <v>0</v>
      </c>
      <c r="W15" s="348">
        <v>0</v>
      </c>
      <c r="X15" s="348">
        <v>0</v>
      </c>
      <c r="Y15" s="348">
        <v>0</v>
      </c>
      <c r="Z15" s="326">
        <f t="shared" si="6"/>
        <v>0</v>
      </c>
      <c r="AA15" s="330"/>
      <c r="AB15" s="330"/>
      <c r="AC15" s="330"/>
      <c r="AG15" s="326" t="s">
        <v>469</v>
      </c>
      <c r="AH15" s="348">
        <v>0</v>
      </c>
      <c r="AI15" s="348">
        <f>1</f>
        <v>1</v>
      </c>
      <c r="AJ15" s="348">
        <f>1</f>
        <v>1</v>
      </c>
      <c r="AK15" s="348">
        <v>0</v>
      </c>
      <c r="AL15" s="348">
        <v>0</v>
      </c>
      <c r="AM15" s="326">
        <f t="shared" si="7"/>
        <v>2</v>
      </c>
    </row>
    <row r="16" spans="1:39" ht="14.25" customHeight="1" thickBot="1">
      <c r="A16" s="499"/>
      <c r="B16" s="96" t="s">
        <v>9</v>
      </c>
      <c r="C16" s="95" t="s">
        <v>424</v>
      </c>
      <c r="D16" s="108">
        <v>72.555000000000007</v>
      </c>
      <c r="E16" s="108">
        <v>300</v>
      </c>
      <c r="F16" s="108">
        <v>249.06020000000001</v>
      </c>
      <c r="G16" s="94">
        <v>0.5</v>
      </c>
      <c r="H16" s="94">
        <f t="shared" si="2"/>
        <v>124.5301</v>
      </c>
      <c r="I16" s="94">
        <f t="shared" ref="I16:I24" si="10">E16-H16</f>
        <v>175.4699</v>
      </c>
      <c r="J16" s="93">
        <f t="shared" ref="J16:J24" si="11">H16/E16*100</f>
        <v>41.510033333333332</v>
      </c>
      <c r="K16" s="302" t="s">
        <v>423</v>
      </c>
      <c r="L16" s="106">
        <v>258.625</v>
      </c>
      <c r="M16" s="106">
        <v>250</v>
      </c>
      <c r="N16" s="105">
        <f t="shared" si="8"/>
        <v>249.06020000000001</v>
      </c>
      <c r="O16" s="205">
        <f t="shared" ref="O16:O24" si="12">M16-H16</f>
        <v>125.4699</v>
      </c>
      <c r="P16" s="82" t="str">
        <f t="shared" si="9"/>
        <v>No</v>
      </c>
      <c r="Q16" s="11"/>
      <c r="R16" s="11"/>
      <c r="S16" s="253"/>
      <c r="T16" s="340" t="s">
        <v>479</v>
      </c>
      <c r="U16" s="349">
        <f t="shared" ref="U16:Z16" si="13">SUM(U4:U15)</f>
        <v>0</v>
      </c>
      <c r="V16" s="349">
        <f t="shared" si="13"/>
        <v>0</v>
      </c>
      <c r="W16" s="349">
        <f t="shared" si="13"/>
        <v>0</v>
      </c>
      <c r="X16" s="349">
        <f t="shared" si="13"/>
        <v>0</v>
      </c>
      <c r="Y16" s="349">
        <f t="shared" si="13"/>
        <v>0</v>
      </c>
      <c r="Z16" s="350">
        <f t="shared" si="13"/>
        <v>0</v>
      </c>
      <c r="AA16" s="330"/>
      <c r="AB16" s="330"/>
      <c r="AC16" s="330"/>
      <c r="AG16" s="340" t="s">
        <v>479</v>
      </c>
      <c r="AH16" s="349">
        <f>SUM(AH4:AH15)</f>
        <v>0</v>
      </c>
      <c r="AI16" s="349">
        <f>SUM(AI4:AI15)</f>
        <v>30</v>
      </c>
      <c r="AJ16" s="349">
        <f>SUM(AJ4:AJ15)</f>
        <v>38</v>
      </c>
      <c r="AK16" s="349">
        <f>SUM(AK4:AK15)</f>
        <v>16</v>
      </c>
      <c r="AL16" s="349">
        <f>SUM(AL4:AL15)</f>
        <v>4</v>
      </c>
      <c r="AM16" s="350">
        <f t="shared" ref="AM16" si="14">SUM(AM4:AM15)</f>
        <v>88</v>
      </c>
    </row>
    <row r="17" spans="1:39" ht="14.25" customHeight="1" thickBot="1">
      <c r="A17" s="499"/>
      <c r="B17" s="96" t="s">
        <v>10</v>
      </c>
      <c r="C17" s="95" t="s">
        <v>386</v>
      </c>
      <c r="D17" s="108">
        <v>894.93</v>
      </c>
      <c r="E17" s="108">
        <v>150</v>
      </c>
      <c r="F17" s="108">
        <v>185.4342</v>
      </c>
      <c r="G17" s="94">
        <v>0.5</v>
      </c>
      <c r="H17" s="94">
        <f t="shared" si="2"/>
        <v>92.717100000000002</v>
      </c>
      <c r="I17" s="94">
        <f t="shared" si="10"/>
        <v>57.282899999999998</v>
      </c>
      <c r="J17" s="93">
        <f t="shared" si="11"/>
        <v>61.811400000000006</v>
      </c>
      <c r="K17" s="302" t="s">
        <v>385</v>
      </c>
      <c r="L17" s="106">
        <v>975.03499999999997</v>
      </c>
      <c r="M17" s="106">
        <v>150</v>
      </c>
      <c r="N17" s="105">
        <f t="shared" si="8"/>
        <v>185.4342</v>
      </c>
      <c r="O17" s="205">
        <f t="shared" si="12"/>
        <v>57.282899999999998</v>
      </c>
      <c r="P17" s="82" t="str">
        <f t="shared" si="9"/>
        <v>No</v>
      </c>
      <c r="Q17" s="11"/>
      <c r="R17" s="11"/>
      <c r="S17" s="253"/>
      <c r="T17" s="340" t="s">
        <v>478</v>
      </c>
      <c r="U17" s="351">
        <f>PRODUCT(U16*AD7)</f>
        <v>0</v>
      </c>
      <c r="V17" s="351">
        <f>PRODUCT(V16*AD8)</f>
        <v>0</v>
      </c>
      <c r="W17" s="351">
        <f>PRODUCT(W16*AD9)</f>
        <v>0</v>
      </c>
      <c r="X17" s="351">
        <f>PRODUCT(X16*AD10)</f>
        <v>0</v>
      </c>
      <c r="Y17" s="351">
        <f>PRODUCT(Y16*AD11)</f>
        <v>0</v>
      </c>
      <c r="Z17" s="340">
        <f>SUM(U17:Y17)</f>
        <v>0</v>
      </c>
      <c r="AA17" s="330"/>
      <c r="AB17" s="330"/>
      <c r="AC17" s="330"/>
      <c r="AG17" s="340" t="s">
        <v>478</v>
      </c>
      <c r="AH17" s="416">
        <f>PRODUCT(AH16*AD7)</f>
        <v>0</v>
      </c>
      <c r="AI17" s="416">
        <f>PRODUCT(AI16*AD8)</f>
        <v>491.06700000000001</v>
      </c>
      <c r="AJ17" s="416">
        <f>PRODUCT(AJ16*AD9)</f>
        <v>636.37459999999999</v>
      </c>
      <c r="AK17" s="416">
        <f>PRODUCT(AK16*AD10)</f>
        <v>270.18560000000002</v>
      </c>
      <c r="AL17" s="416">
        <f>PRODUCT(AL16*AD11)</f>
        <v>68</v>
      </c>
      <c r="AM17" s="421">
        <f>SUM(AH17:AL17)</f>
        <v>1465.6272000000001</v>
      </c>
    </row>
    <row r="18" spans="1:39" ht="14.25" customHeight="1" thickBot="1">
      <c r="A18" s="499"/>
      <c r="B18" s="96" t="s">
        <v>11</v>
      </c>
      <c r="C18" s="95" t="s">
        <v>378</v>
      </c>
      <c r="D18" s="108">
        <v>839.23</v>
      </c>
      <c r="E18" s="108">
        <v>150</v>
      </c>
      <c r="F18" s="108">
        <v>213.84829999999999</v>
      </c>
      <c r="G18" s="94">
        <v>0.5</v>
      </c>
      <c r="H18" s="94">
        <f t="shared" si="2"/>
        <v>106.92415</v>
      </c>
      <c r="I18" s="94">
        <f t="shared" si="10"/>
        <v>43.075850000000003</v>
      </c>
      <c r="J18" s="93">
        <f t="shared" si="11"/>
        <v>71.28276666666666</v>
      </c>
      <c r="K18" s="302" t="s">
        <v>422</v>
      </c>
      <c r="L18" s="106">
        <v>1025.3</v>
      </c>
      <c r="M18" s="106">
        <v>150</v>
      </c>
      <c r="N18" s="105">
        <f t="shared" si="8"/>
        <v>213.84829999999999</v>
      </c>
      <c r="O18" s="205">
        <f t="shared" si="12"/>
        <v>43.075850000000003</v>
      </c>
      <c r="P18" s="82" t="str">
        <f t="shared" si="9"/>
        <v>No</v>
      </c>
      <c r="Q18" s="11"/>
      <c r="R18" s="11"/>
      <c r="S18" s="253"/>
      <c r="T18" s="340" t="s">
        <v>477</v>
      </c>
      <c r="U18" s="351">
        <f>U16*AC7</f>
        <v>0</v>
      </c>
      <c r="V18" s="351">
        <f>V16*AC8</f>
        <v>0</v>
      </c>
      <c r="W18" s="351">
        <f>W16*AC9</f>
        <v>0</v>
      </c>
      <c r="X18" s="351">
        <f>X16*AC10</f>
        <v>0</v>
      </c>
      <c r="Y18" s="351">
        <f>Y16*AC11</f>
        <v>0</v>
      </c>
      <c r="Z18" s="340">
        <f>SUM(U18:Y18)</f>
        <v>0</v>
      </c>
      <c r="AA18" s="330"/>
      <c r="AC18" s="330"/>
      <c r="AG18" s="340" t="s">
        <v>528</v>
      </c>
      <c r="AH18" s="351">
        <f>AH16*AC7</f>
        <v>0</v>
      </c>
      <c r="AI18" s="351">
        <f>AI16*AC8</f>
        <v>4500</v>
      </c>
      <c r="AJ18" s="351">
        <f>AJ16*AC9</f>
        <v>7600</v>
      </c>
      <c r="AK18" s="351">
        <f>AK16*AC10</f>
        <v>4000</v>
      </c>
      <c r="AL18" s="351">
        <f>AL16*AC11</f>
        <v>1200</v>
      </c>
      <c r="AM18" s="340">
        <f>SUM(AH18:AL18)</f>
        <v>17300</v>
      </c>
    </row>
    <row r="19" spans="1:39" ht="14.25" customHeight="1" thickBot="1">
      <c r="A19" s="499"/>
      <c r="B19" s="96" t="s">
        <v>12</v>
      </c>
      <c r="C19" s="95" t="s">
        <v>52</v>
      </c>
      <c r="D19" s="108">
        <v>428.91</v>
      </c>
      <c r="E19" s="108">
        <v>200</v>
      </c>
      <c r="F19" s="108">
        <v>320.7817</v>
      </c>
      <c r="G19" s="94">
        <v>0.5</v>
      </c>
      <c r="H19" s="94">
        <f t="shared" si="2"/>
        <v>160.39085</v>
      </c>
      <c r="I19" s="94">
        <f t="shared" si="10"/>
        <v>39.60915</v>
      </c>
      <c r="J19" s="93">
        <f t="shared" si="11"/>
        <v>80.195425</v>
      </c>
      <c r="K19" s="302" t="s">
        <v>421</v>
      </c>
      <c r="L19" s="106">
        <v>440.09</v>
      </c>
      <c r="M19" s="106">
        <v>200</v>
      </c>
      <c r="N19" s="105">
        <f t="shared" si="8"/>
        <v>320.7817</v>
      </c>
      <c r="O19" s="205">
        <f t="shared" si="12"/>
        <v>39.60915</v>
      </c>
      <c r="P19" s="82" t="str">
        <f t="shared" si="9"/>
        <v>No</v>
      </c>
      <c r="Q19" s="11"/>
      <c r="R19" s="11"/>
      <c r="S19" s="253"/>
    </row>
    <row r="20" spans="1:39" ht="14.25" customHeight="1" thickBot="1">
      <c r="A20" s="499"/>
      <c r="B20" s="96" t="s">
        <v>420</v>
      </c>
      <c r="C20" s="95" t="s">
        <v>412</v>
      </c>
      <c r="D20" s="94">
        <v>530.30999999999995</v>
      </c>
      <c r="E20" s="94">
        <v>200</v>
      </c>
      <c r="F20" s="94">
        <v>22.35</v>
      </c>
      <c r="G20" s="73">
        <v>0.5</v>
      </c>
      <c r="H20" s="73">
        <f t="shared" si="2"/>
        <v>11.175000000000001</v>
      </c>
      <c r="I20" s="73">
        <f t="shared" si="10"/>
        <v>188.82499999999999</v>
      </c>
      <c r="J20" s="299">
        <f t="shared" si="11"/>
        <v>5.5875000000000004</v>
      </c>
      <c r="K20" s="301" t="s">
        <v>419</v>
      </c>
      <c r="L20" s="92">
        <v>541.49</v>
      </c>
      <c r="M20" s="92">
        <v>150</v>
      </c>
      <c r="N20" s="91">
        <f t="shared" si="8"/>
        <v>22.35</v>
      </c>
      <c r="O20" s="205">
        <f t="shared" si="12"/>
        <v>138.82499999999999</v>
      </c>
      <c r="P20" s="82" t="str">
        <f t="shared" si="9"/>
        <v>No</v>
      </c>
      <c r="Q20" s="11"/>
      <c r="R20" s="11"/>
      <c r="S20" s="253"/>
    </row>
    <row r="21" spans="1:39" ht="13.5" thickBot="1">
      <c r="A21" s="497" t="s">
        <v>414</v>
      </c>
      <c r="B21" s="87" t="s">
        <v>7</v>
      </c>
      <c r="C21" s="86" t="s">
        <v>48</v>
      </c>
      <c r="D21" s="85">
        <v>457.755</v>
      </c>
      <c r="E21" s="85">
        <v>200</v>
      </c>
      <c r="F21" s="85">
        <v>200.1122</v>
      </c>
      <c r="G21" s="85">
        <v>0.5</v>
      </c>
      <c r="H21" s="85">
        <f t="shared" si="2"/>
        <v>100.0561</v>
      </c>
      <c r="I21" s="94">
        <f t="shared" si="10"/>
        <v>99.943899999999999</v>
      </c>
      <c r="J21" s="93">
        <f t="shared" si="11"/>
        <v>50.02805</v>
      </c>
      <c r="K21" s="100" t="s">
        <v>417</v>
      </c>
      <c r="L21" s="83">
        <v>733.18499999999995</v>
      </c>
      <c r="M21" s="83">
        <v>200</v>
      </c>
      <c r="N21" s="82">
        <f t="shared" si="8"/>
        <v>200.1122</v>
      </c>
      <c r="O21" s="205">
        <f t="shared" si="12"/>
        <v>99.943899999999999</v>
      </c>
      <c r="P21" s="203" t="str">
        <f t="shared" si="9"/>
        <v>No</v>
      </c>
      <c r="Q21" s="11"/>
      <c r="R21" s="11"/>
      <c r="S21" s="253"/>
    </row>
    <row r="22" spans="1:39" ht="14.25" customHeight="1" thickBot="1">
      <c r="A22" s="499"/>
      <c r="B22" s="96" t="s">
        <v>416</v>
      </c>
      <c r="C22" s="95" t="s">
        <v>74</v>
      </c>
      <c r="D22" s="108">
        <v>632.29</v>
      </c>
      <c r="E22" s="108">
        <v>300</v>
      </c>
      <c r="F22" s="108">
        <v>416.14780000000002</v>
      </c>
      <c r="G22" s="94">
        <v>0.5</v>
      </c>
      <c r="H22" s="94">
        <f t="shared" si="2"/>
        <v>208.07390000000001</v>
      </c>
      <c r="I22" s="94">
        <f t="shared" si="10"/>
        <v>91.926099999999991</v>
      </c>
      <c r="J22" s="93">
        <f t="shared" si="11"/>
        <v>69.35796666666667</v>
      </c>
      <c r="K22" s="302" t="s">
        <v>361</v>
      </c>
      <c r="L22" s="106">
        <v>692.19500000000005</v>
      </c>
      <c r="M22" s="106">
        <v>300</v>
      </c>
      <c r="N22" s="105">
        <f t="shared" si="8"/>
        <v>416.14780000000002</v>
      </c>
      <c r="O22" s="205">
        <f t="shared" si="12"/>
        <v>91.926099999999991</v>
      </c>
      <c r="P22" s="82" t="str">
        <f t="shared" si="9"/>
        <v>No</v>
      </c>
      <c r="Q22" s="11"/>
      <c r="R22" s="11"/>
      <c r="S22" s="253"/>
      <c r="AB22" s="494" t="s">
        <v>546</v>
      </c>
      <c r="AC22" s="495"/>
      <c r="AD22" s="495"/>
      <c r="AE22" s="495"/>
      <c r="AF22" s="495"/>
      <c r="AG22" s="496"/>
      <c r="AH22" s="166"/>
    </row>
    <row r="23" spans="1:39" ht="14.25" customHeight="1" thickBot="1">
      <c r="A23" s="499"/>
      <c r="B23" s="96" t="s">
        <v>415</v>
      </c>
      <c r="C23" s="95" t="s">
        <v>414</v>
      </c>
      <c r="D23" s="108">
        <v>370.31</v>
      </c>
      <c r="E23" s="108">
        <v>200</v>
      </c>
      <c r="F23" s="108">
        <v>24.103000000000002</v>
      </c>
      <c r="G23" s="94">
        <v>0.5</v>
      </c>
      <c r="H23" s="94">
        <f t="shared" si="2"/>
        <v>12.051500000000001</v>
      </c>
      <c r="I23" s="94">
        <f t="shared" si="10"/>
        <v>187.9485</v>
      </c>
      <c r="J23" s="93">
        <f t="shared" si="11"/>
        <v>6.0257500000000004</v>
      </c>
      <c r="K23" s="302" t="s">
        <v>413</v>
      </c>
      <c r="L23" s="106">
        <v>820.63</v>
      </c>
      <c r="M23" s="106">
        <v>150</v>
      </c>
      <c r="N23" s="105">
        <f t="shared" si="8"/>
        <v>24.103000000000002</v>
      </c>
      <c r="O23" s="205">
        <f t="shared" si="12"/>
        <v>137.9485</v>
      </c>
      <c r="P23" s="82" t="str">
        <f t="shared" si="9"/>
        <v>No</v>
      </c>
      <c r="Q23" s="11"/>
      <c r="R23" s="11"/>
      <c r="S23" s="253"/>
      <c r="T23" s="241"/>
      <c r="U23" s="58"/>
      <c r="AB23" s="336" t="s">
        <v>470</v>
      </c>
      <c r="AC23" s="337" t="s">
        <v>471</v>
      </c>
      <c r="AD23" s="337" t="s">
        <v>472</v>
      </c>
      <c r="AE23" s="337" t="s">
        <v>473</v>
      </c>
      <c r="AF23" s="338" t="s">
        <v>474</v>
      </c>
      <c r="AG23" s="339" t="s">
        <v>527</v>
      </c>
      <c r="AH23" s="340" t="s">
        <v>418</v>
      </c>
    </row>
    <row r="24" spans="1:39" ht="14.25" customHeight="1" thickBot="1">
      <c r="A24" s="499"/>
      <c r="B24" s="96" t="s">
        <v>397</v>
      </c>
      <c r="C24" s="95" t="s">
        <v>412</v>
      </c>
      <c r="D24" s="94">
        <v>530.30999999999995</v>
      </c>
      <c r="E24" s="94">
        <v>200</v>
      </c>
      <c r="F24" s="94">
        <v>22.35</v>
      </c>
      <c r="G24" s="73">
        <v>0.5</v>
      </c>
      <c r="H24" s="73">
        <f t="shared" si="2"/>
        <v>11.175000000000001</v>
      </c>
      <c r="I24" s="94">
        <f t="shared" si="10"/>
        <v>188.82499999999999</v>
      </c>
      <c r="J24" s="93">
        <f t="shared" si="11"/>
        <v>5.5875000000000004</v>
      </c>
      <c r="K24" s="301" t="s">
        <v>411</v>
      </c>
      <c r="L24" s="92">
        <v>660.63</v>
      </c>
      <c r="M24" s="92">
        <v>150</v>
      </c>
      <c r="N24" s="91">
        <f t="shared" si="8"/>
        <v>22.35</v>
      </c>
      <c r="O24" s="205">
        <f t="shared" si="12"/>
        <v>138.82499999999999</v>
      </c>
      <c r="P24" s="82" t="str">
        <f t="shared" si="9"/>
        <v>No</v>
      </c>
      <c r="Q24" s="11"/>
      <c r="R24" s="11"/>
      <c r="T24" s="553" t="s">
        <v>454</v>
      </c>
      <c r="U24" s="554"/>
      <c r="V24" s="240"/>
      <c r="AB24" s="60" t="s">
        <v>84</v>
      </c>
      <c r="AC24" s="343">
        <f>U4+AH4</f>
        <v>0</v>
      </c>
      <c r="AD24" s="343">
        <f t="shared" ref="AD24:AG24" si="15">V4+AI4</f>
        <v>3</v>
      </c>
      <c r="AE24" s="343">
        <f t="shared" si="15"/>
        <v>2</v>
      </c>
      <c r="AF24" s="343">
        <f t="shared" si="15"/>
        <v>1</v>
      </c>
      <c r="AG24" s="343">
        <f t="shared" si="15"/>
        <v>0</v>
      </c>
      <c r="AH24" s="344">
        <f>SUM(AC24:AG24)</f>
        <v>6</v>
      </c>
    </row>
    <row r="25" spans="1:39" ht="13.5" thickBot="1">
      <c r="A25" s="164" t="s">
        <v>410</v>
      </c>
      <c r="B25" s="87" t="s">
        <v>409</v>
      </c>
      <c r="C25" s="163"/>
      <c r="D25" s="85"/>
      <c r="E25" s="85"/>
      <c r="F25" s="85"/>
      <c r="G25" s="184">
        <v>0.5</v>
      </c>
      <c r="H25" s="184">
        <f t="shared" si="2"/>
        <v>0</v>
      </c>
      <c r="I25" s="184"/>
      <c r="J25" s="183"/>
      <c r="K25" s="100"/>
      <c r="L25" s="83"/>
      <c r="M25" s="83"/>
      <c r="N25" s="82"/>
      <c r="O25" s="100"/>
      <c r="P25" s="82"/>
      <c r="Q25" s="255"/>
      <c r="R25" s="255"/>
      <c r="T25" s="90"/>
      <c r="U25" s="20"/>
      <c r="V25" s="99"/>
      <c r="AB25" s="60" t="s">
        <v>85</v>
      </c>
      <c r="AC25" s="343">
        <f t="shared" ref="AC25:AC35" si="16">U5+AH5</f>
        <v>0</v>
      </c>
      <c r="AD25" s="343">
        <f t="shared" ref="AD25:AD35" si="17">V5+AI5</f>
        <v>4</v>
      </c>
      <c r="AE25" s="343">
        <f t="shared" ref="AE25:AE35" si="18">W5+AJ5</f>
        <v>3</v>
      </c>
      <c r="AF25" s="343">
        <f t="shared" ref="AF25:AF35" si="19">X5+AK5</f>
        <v>0</v>
      </c>
      <c r="AG25" s="343">
        <f t="shared" ref="AG25:AG35" si="20">Y5+AL5</f>
        <v>2</v>
      </c>
      <c r="AH25" s="60">
        <f t="shared" ref="AH25:AH35" si="21">SUM(AC25:AG25)</f>
        <v>9</v>
      </c>
    </row>
    <row r="26" spans="1:39" ht="15" customHeight="1" thickBot="1">
      <c r="A26" s="519" t="s">
        <v>408</v>
      </c>
      <c r="B26" s="160" t="s">
        <v>14</v>
      </c>
      <c r="C26" s="86" t="s">
        <v>407</v>
      </c>
      <c r="D26" s="85">
        <v>391.72</v>
      </c>
      <c r="E26" s="84">
        <v>400</v>
      </c>
      <c r="F26" s="85">
        <v>664.51419999999996</v>
      </c>
      <c r="G26" s="85">
        <v>0.5</v>
      </c>
      <c r="H26" s="85">
        <f t="shared" si="2"/>
        <v>332.25709999999998</v>
      </c>
      <c r="I26" s="94">
        <f>E26-H26</f>
        <v>67.74290000000002</v>
      </c>
      <c r="J26" s="93">
        <f>H26/E26*100</f>
        <v>83.064274999999995</v>
      </c>
      <c r="K26" s="100" t="s">
        <v>406</v>
      </c>
      <c r="L26" s="83">
        <v>799.22</v>
      </c>
      <c r="M26" s="83">
        <v>300</v>
      </c>
      <c r="N26" s="82">
        <f t="shared" ref="N26:N56" si="22">F26</f>
        <v>664.51419999999996</v>
      </c>
      <c r="O26" s="124">
        <f>M26-H26</f>
        <v>-32.25709999999998</v>
      </c>
      <c r="P26" s="220" t="str">
        <f t="shared" ref="P26:P56" si="23">IF(O26&gt;=0,"No","Yes")</f>
        <v>Yes</v>
      </c>
      <c r="Q26" s="557" t="s">
        <v>351</v>
      </c>
      <c r="R26" s="555" t="s">
        <v>351</v>
      </c>
      <c r="T26" s="138" t="s">
        <v>390</v>
      </c>
      <c r="U26" s="137" t="s">
        <v>389</v>
      </c>
      <c r="V26" s="136" t="s">
        <v>388</v>
      </c>
      <c r="AB26" s="60" t="s">
        <v>86</v>
      </c>
      <c r="AC26" s="343">
        <f t="shared" si="16"/>
        <v>0</v>
      </c>
      <c r="AD26" s="343">
        <f t="shared" si="17"/>
        <v>0</v>
      </c>
      <c r="AE26" s="343">
        <f t="shared" si="18"/>
        <v>2</v>
      </c>
      <c r="AF26" s="343">
        <f t="shared" si="19"/>
        <v>0</v>
      </c>
      <c r="AG26" s="343">
        <f t="shared" si="20"/>
        <v>1</v>
      </c>
      <c r="AH26" s="60">
        <f t="shared" si="21"/>
        <v>3</v>
      </c>
    </row>
    <row r="27" spans="1:39" ht="14.25" customHeight="1" thickBot="1">
      <c r="A27" s="520"/>
      <c r="B27" s="75" t="s">
        <v>360</v>
      </c>
      <c r="C27" s="74" t="s">
        <v>55</v>
      </c>
      <c r="D27" s="157">
        <v>566.26</v>
      </c>
      <c r="E27" s="157">
        <v>300</v>
      </c>
      <c r="F27" s="157">
        <v>424.66829999999999</v>
      </c>
      <c r="G27" s="73">
        <v>0.5</v>
      </c>
      <c r="H27" s="73">
        <f t="shared" si="2"/>
        <v>212.33414999999999</v>
      </c>
      <c r="I27" s="94">
        <f t="shared" ref="I27:I56" si="24">E27-H27</f>
        <v>87.665850000000006</v>
      </c>
      <c r="J27" s="93">
        <f t="shared" ref="J27:J56" si="25">F27/E27*100</f>
        <v>141.55610000000001</v>
      </c>
      <c r="K27" s="300" t="s">
        <v>405</v>
      </c>
      <c r="L27" s="156">
        <v>973.76</v>
      </c>
      <c r="M27" s="156">
        <v>300</v>
      </c>
      <c r="N27" s="71">
        <f t="shared" si="22"/>
        <v>424.66829999999999</v>
      </c>
      <c r="O27" s="237">
        <f>M27-H27</f>
        <v>87.665850000000006</v>
      </c>
      <c r="P27" s="203" t="str">
        <f t="shared" si="23"/>
        <v>No</v>
      </c>
      <c r="Q27" s="558"/>
      <c r="R27" s="556"/>
      <c r="T27" s="133" t="s">
        <v>351</v>
      </c>
      <c r="U27" s="132" t="s">
        <v>351</v>
      </c>
      <c r="V27" s="99"/>
      <c r="AB27" s="60" t="s">
        <v>87</v>
      </c>
      <c r="AC27" s="343">
        <f t="shared" si="16"/>
        <v>0</v>
      </c>
      <c r="AD27" s="343">
        <f t="shared" si="17"/>
        <v>7</v>
      </c>
      <c r="AE27" s="343">
        <f t="shared" si="18"/>
        <v>10</v>
      </c>
      <c r="AF27" s="343">
        <f t="shared" si="19"/>
        <v>6</v>
      </c>
      <c r="AG27" s="343">
        <f t="shared" si="20"/>
        <v>0</v>
      </c>
      <c r="AH27" s="60">
        <f t="shared" si="21"/>
        <v>23</v>
      </c>
    </row>
    <row r="28" spans="1:39" ht="15" customHeight="1" thickBot="1">
      <c r="A28" s="499" t="s">
        <v>404</v>
      </c>
      <c r="B28" s="63" t="s">
        <v>6</v>
      </c>
      <c r="C28" s="114" t="s">
        <v>47</v>
      </c>
      <c r="D28" s="94">
        <v>341.46499999999997</v>
      </c>
      <c r="E28" s="93">
        <v>400</v>
      </c>
      <c r="F28" s="94">
        <v>414.50749999999999</v>
      </c>
      <c r="G28" s="85">
        <v>0.5</v>
      </c>
      <c r="H28" s="85">
        <f t="shared" si="2"/>
        <v>207.25375</v>
      </c>
      <c r="I28" s="85">
        <f t="shared" si="24"/>
        <v>192.74625</v>
      </c>
      <c r="J28" s="84">
        <f t="shared" si="25"/>
        <v>103.62687500000001</v>
      </c>
      <c r="K28" s="301" t="s">
        <v>403</v>
      </c>
      <c r="L28" s="92">
        <v>849.47500000000002</v>
      </c>
      <c r="M28" s="92">
        <v>400</v>
      </c>
      <c r="N28" s="91">
        <f t="shared" si="22"/>
        <v>414.50749999999999</v>
      </c>
      <c r="O28" s="237">
        <f t="shared" ref="O28:O29" si="26">M28-H28</f>
        <v>192.74625</v>
      </c>
      <c r="P28" s="203" t="str">
        <f t="shared" si="23"/>
        <v>No</v>
      </c>
      <c r="Q28" s="557" t="s">
        <v>351</v>
      </c>
      <c r="R28" s="560" t="s">
        <v>351</v>
      </c>
      <c r="T28" s="133" t="s">
        <v>351</v>
      </c>
      <c r="U28" s="132" t="s">
        <v>351</v>
      </c>
      <c r="V28" s="230"/>
      <c r="AB28" s="60" t="s">
        <v>88</v>
      </c>
      <c r="AC28" s="343">
        <f t="shared" si="16"/>
        <v>0</v>
      </c>
      <c r="AD28" s="343">
        <f t="shared" si="17"/>
        <v>0</v>
      </c>
      <c r="AE28" s="343">
        <f t="shared" si="18"/>
        <v>7</v>
      </c>
      <c r="AF28" s="343">
        <f t="shared" si="19"/>
        <v>1</v>
      </c>
      <c r="AG28" s="343">
        <f t="shared" si="20"/>
        <v>0</v>
      </c>
      <c r="AH28" s="60">
        <f t="shared" si="21"/>
        <v>8</v>
      </c>
    </row>
    <row r="29" spans="1:39" ht="14.25" customHeight="1" thickBot="1">
      <c r="A29" s="499"/>
      <c r="B29" s="63" t="s">
        <v>402</v>
      </c>
      <c r="C29" s="114" t="s">
        <v>386</v>
      </c>
      <c r="D29" s="94">
        <v>894.93</v>
      </c>
      <c r="E29" s="93">
        <v>150</v>
      </c>
      <c r="F29" s="94">
        <v>185.4342</v>
      </c>
      <c r="G29" s="94">
        <v>0.5</v>
      </c>
      <c r="H29" s="94">
        <f t="shared" si="2"/>
        <v>92.717100000000002</v>
      </c>
      <c r="I29" s="94">
        <f t="shared" si="24"/>
        <v>57.282899999999998</v>
      </c>
      <c r="J29" s="93">
        <f t="shared" si="25"/>
        <v>123.62280000000001</v>
      </c>
      <c r="K29" s="301" t="s">
        <v>385</v>
      </c>
      <c r="L29" s="92">
        <v>975.03499999999997</v>
      </c>
      <c r="M29" s="92">
        <v>150</v>
      </c>
      <c r="N29" s="91">
        <f t="shared" si="22"/>
        <v>185.4342</v>
      </c>
      <c r="O29" s="237">
        <f t="shared" si="26"/>
        <v>57.282899999999998</v>
      </c>
      <c r="P29" s="203" t="str">
        <f t="shared" si="23"/>
        <v>No</v>
      </c>
      <c r="Q29" s="559"/>
      <c r="R29" s="561"/>
      <c r="T29" s="227"/>
      <c r="U29" s="226"/>
      <c r="V29" s="89"/>
      <c r="AB29" s="60" t="s">
        <v>89</v>
      </c>
      <c r="AC29" s="343">
        <f t="shared" si="16"/>
        <v>0</v>
      </c>
      <c r="AD29" s="343">
        <f t="shared" si="17"/>
        <v>5</v>
      </c>
      <c r="AE29" s="343">
        <f t="shared" si="18"/>
        <v>1</v>
      </c>
      <c r="AF29" s="343">
        <f t="shared" si="19"/>
        <v>1</v>
      </c>
      <c r="AG29" s="343">
        <f t="shared" si="20"/>
        <v>0</v>
      </c>
      <c r="AH29" s="60">
        <f t="shared" si="21"/>
        <v>7</v>
      </c>
    </row>
    <row r="30" spans="1:39" ht="14.25" customHeight="1" thickBot="1">
      <c r="A30" s="499"/>
      <c r="B30" s="96" t="s">
        <v>401</v>
      </c>
      <c r="C30" s="95" t="s">
        <v>378</v>
      </c>
      <c r="D30" s="108">
        <v>839.23</v>
      </c>
      <c r="E30" s="108">
        <v>150</v>
      </c>
      <c r="F30" s="108">
        <v>213.84829999999999</v>
      </c>
      <c r="G30" s="94">
        <v>0.5</v>
      </c>
      <c r="H30" s="94">
        <f t="shared" si="2"/>
        <v>106.92415</v>
      </c>
      <c r="I30" s="94">
        <f t="shared" si="24"/>
        <v>43.075850000000003</v>
      </c>
      <c r="J30" s="93">
        <f t="shared" si="25"/>
        <v>142.56553333333332</v>
      </c>
      <c r="K30" s="302" t="s">
        <v>400</v>
      </c>
      <c r="L30" s="106">
        <v>1347.24</v>
      </c>
      <c r="M30" s="106">
        <v>100</v>
      </c>
      <c r="N30" s="105">
        <f t="shared" si="22"/>
        <v>213.84829999999999</v>
      </c>
      <c r="O30" s="235">
        <f>M30-H30</f>
        <v>-6.9241499999999974</v>
      </c>
      <c r="P30" s="220" t="str">
        <f t="shared" si="23"/>
        <v>Yes</v>
      </c>
      <c r="Q30" s="559"/>
      <c r="R30" s="561"/>
      <c r="T30" s="165" t="s">
        <v>369</v>
      </c>
      <c r="U30" s="259">
        <v>0</v>
      </c>
      <c r="V30" s="20"/>
      <c r="AB30" s="60" t="s">
        <v>90</v>
      </c>
      <c r="AC30" s="343">
        <f t="shared" si="16"/>
        <v>0</v>
      </c>
      <c r="AD30" s="343">
        <f t="shared" si="17"/>
        <v>0</v>
      </c>
      <c r="AE30" s="343">
        <f t="shared" si="18"/>
        <v>1</v>
      </c>
      <c r="AF30" s="343">
        <f t="shared" si="19"/>
        <v>1</v>
      </c>
      <c r="AG30" s="343">
        <f t="shared" si="20"/>
        <v>1</v>
      </c>
      <c r="AH30" s="60">
        <f t="shared" si="21"/>
        <v>3</v>
      </c>
    </row>
    <row r="31" spans="1:39" ht="14.25" customHeight="1" thickBot="1">
      <c r="A31" s="499"/>
      <c r="B31" s="96" t="s">
        <v>399</v>
      </c>
      <c r="C31" s="95" t="s">
        <v>52</v>
      </c>
      <c r="D31" s="94">
        <v>428.91</v>
      </c>
      <c r="E31" s="93">
        <v>200</v>
      </c>
      <c r="F31" s="94">
        <v>320.7817</v>
      </c>
      <c r="G31" s="94">
        <v>0.5</v>
      </c>
      <c r="H31" s="94">
        <f t="shared" si="2"/>
        <v>160.39085</v>
      </c>
      <c r="I31" s="94">
        <f t="shared" si="24"/>
        <v>39.60915</v>
      </c>
      <c r="J31" s="93">
        <f t="shared" si="25"/>
        <v>160.39085</v>
      </c>
      <c r="K31" s="301" t="s">
        <v>398</v>
      </c>
      <c r="L31" s="92">
        <v>762.03</v>
      </c>
      <c r="M31" s="92">
        <v>150</v>
      </c>
      <c r="N31" s="91">
        <f t="shared" si="22"/>
        <v>320.7817</v>
      </c>
      <c r="O31" s="235">
        <f>M31-H31</f>
        <v>-10.39085</v>
      </c>
      <c r="P31" s="220" t="str">
        <f t="shared" si="23"/>
        <v>Yes</v>
      </c>
      <c r="Q31" s="559"/>
      <c r="R31" s="561"/>
      <c r="T31" s="258" t="s">
        <v>365</v>
      </c>
      <c r="U31" s="257">
        <f>U30/9100.11497</f>
        <v>0</v>
      </c>
      <c r="V31" s="20"/>
      <c r="W31" s="20"/>
      <c r="X31" s="17"/>
      <c r="AB31" s="60" t="s">
        <v>91</v>
      </c>
      <c r="AC31" s="343">
        <f t="shared" si="16"/>
        <v>0</v>
      </c>
      <c r="AD31" s="343">
        <f t="shared" si="17"/>
        <v>7</v>
      </c>
      <c r="AE31" s="343">
        <f t="shared" si="18"/>
        <v>2</v>
      </c>
      <c r="AF31" s="343">
        <f t="shared" si="19"/>
        <v>1</v>
      </c>
      <c r="AG31" s="343">
        <f t="shared" si="20"/>
        <v>0</v>
      </c>
      <c r="AH31" s="60">
        <f t="shared" si="21"/>
        <v>10</v>
      </c>
    </row>
    <row r="32" spans="1:39" ht="14.25" customHeight="1" thickBot="1">
      <c r="A32" s="499"/>
      <c r="B32" s="96" t="s">
        <v>396</v>
      </c>
      <c r="C32" s="95" t="s">
        <v>56</v>
      </c>
      <c r="D32" s="94">
        <v>268.91000000000003</v>
      </c>
      <c r="E32" s="94">
        <v>250</v>
      </c>
      <c r="F32" s="94">
        <v>277.57420000000002</v>
      </c>
      <c r="G32" s="73">
        <v>0.5</v>
      </c>
      <c r="H32" s="73">
        <f t="shared" si="2"/>
        <v>138.78710000000001</v>
      </c>
      <c r="I32" s="73">
        <f t="shared" si="24"/>
        <v>111.21289999999999</v>
      </c>
      <c r="J32" s="299">
        <f t="shared" si="25"/>
        <v>111.02968</v>
      </c>
      <c r="K32" s="301" t="s">
        <v>395</v>
      </c>
      <c r="L32" s="92">
        <v>922.03</v>
      </c>
      <c r="M32" s="92">
        <v>250</v>
      </c>
      <c r="N32" s="105">
        <f t="shared" si="22"/>
        <v>277.57420000000002</v>
      </c>
      <c r="O32" s="143">
        <f>M32-H32</f>
        <v>111.21289999999999</v>
      </c>
      <c r="P32" s="203" t="str">
        <f t="shared" si="23"/>
        <v>No</v>
      </c>
      <c r="Q32" s="558"/>
      <c r="R32" s="562"/>
      <c r="T32" s="135"/>
      <c r="U32" s="135"/>
      <c r="V32" s="135"/>
      <c r="W32" s="20"/>
      <c r="AB32" s="60" t="s">
        <v>92</v>
      </c>
      <c r="AC32" s="343">
        <f t="shared" si="16"/>
        <v>0</v>
      </c>
      <c r="AD32" s="343">
        <f t="shared" si="17"/>
        <v>2</v>
      </c>
      <c r="AE32" s="343">
        <f t="shared" si="18"/>
        <v>5</v>
      </c>
      <c r="AF32" s="343">
        <f t="shared" si="19"/>
        <v>0</v>
      </c>
      <c r="AG32" s="343">
        <f t="shared" si="20"/>
        <v>0</v>
      </c>
      <c r="AH32" s="60">
        <f t="shared" si="21"/>
        <v>7</v>
      </c>
    </row>
    <row r="33" spans="1:34" ht="13.5" thickBot="1">
      <c r="A33" s="497" t="s">
        <v>382</v>
      </c>
      <c r="B33" s="87" t="s">
        <v>393</v>
      </c>
      <c r="C33" s="86" t="s">
        <v>392</v>
      </c>
      <c r="D33" s="85">
        <v>774.56</v>
      </c>
      <c r="E33" s="85">
        <v>450</v>
      </c>
      <c r="F33" s="85">
        <v>593.39</v>
      </c>
      <c r="G33" s="85">
        <v>0.5</v>
      </c>
      <c r="H33" s="85">
        <f t="shared" si="2"/>
        <v>296.69499999999999</v>
      </c>
      <c r="I33" s="94">
        <f t="shared" si="24"/>
        <v>153.30500000000001</v>
      </c>
      <c r="J33" s="93">
        <f t="shared" si="25"/>
        <v>131.86444444444444</v>
      </c>
      <c r="K33" s="100" t="s">
        <v>391</v>
      </c>
      <c r="L33" s="83">
        <v>778.62</v>
      </c>
      <c r="M33" s="83">
        <v>450</v>
      </c>
      <c r="N33" s="82">
        <f t="shared" si="22"/>
        <v>593.39</v>
      </c>
      <c r="O33" s="205">
        <f>M33-H33</f>
        <v>153.30500000000001</v>
      </c>
      <c r="P33" s="203" t="str">
        <f t="shared" si="23"/>
        <v>No</v>
      </c>
      <c r="Q33" s="239"/>
      <c r="R33" s="239"/>
      <c r="S33" s="253"/>
      <c r="T33" s="256"/>
      <c r="U33" s="256"/>
      <c r="V33" s="135"/>
      <c r="AB33" s="60" t="s">
        <v>93</v>
      </c>
      <c r="AC33" s="343">
        <f t="shared" si="16"/>
        <v>0</v>
      </c>
      <c r="AD33" s="343">
        <f t="shared" si="17"/>
        <v>0</v>
      </c>
      <c r="AE33" s="343">
        <f t="shared" si="18"/>
        <v>2</v>
      </c>
      <c r="AF33" s="343">
        <f t="shared" si="19"/>
        <v>2</v>
      </c>
      <c r="AG33" s="343">
        <f t="shared" si="20"/>
        <v>0</v>
      </c>
      <c r="AH33" s="60">
        <f t="shared" si="21"/>
        <v>4</v>
      </c>
    </row>
    <row r="34" spans="1:34" ht="14.25" customHeight="1" thickBot="1">
      <c r="A34" s="499"/>
      <c r="B34" s="96" t="s">
        <v>387</v>
      </c>
      <c r="C34" s="95" t="s">
        <v>386</v>
      </c>
      <c r="D34" s="108">
        <v>894.93</v>
      </c>
      <c r="E34" s="107">
        <v>150</v>
      </c>
      <c r="F34" s="108">
        <v>185.4342</v>
      </c>
      <c r="G34" s="94">
        <v>0.5</v>
      </c>
      <c r="H34" s="94">
        <f t="shared" si="2"/>
        <v>92.717100000000002</v>
      </c>
      <c r="I34" s="94">
        <f t="shared" si="24"/>
        <v>57.282899999999998</v>
      </c>
      <c r="J34" s="93">
        <f t="shared" si="25"/>
        <v>123.62280000000001</v>
      </c>
      <c r="K34" s="302" t="s">
        <v>385</v>
      </c>
      <c r="L34" s="106">
        <v>975.03499999999997</v>
      </c>
      <c r="M34" s="106">
        <v>150</v>
      </c>
      <c r="N34" s="105">
        <f t="shared" si="22"/>
        <v>185.4342</v>
      </c>
      <c r="O34" s="205">
        <f t="shared" ref="O34:O56" si="27">M34-H34</f>
        <v>57.282899999999998</v>
      </c>
      <c r="P34" s="203" t="str">
        <f t="shared" si="23"/>
        <v>No</v>
      </c>
      <c r="Q34" s="11"/>
      <c r="R34" s="11"/>
      <c r="S34" s="253"/>
      <c r="T34" s="135"/>
      <c r="U34" s="135"/>
      <c r="V34" s="135"/>
      <c r="AB34" s="60" t="s">
        <v>94</v>
      </c>
      <c r="AC34" s="343">
        <f t="shared" si="16"/>
        <v>0</v>
      </c>
      <c r="AD34" s="343">
        <f t="shared" si="17"/>
        <v>1</v>
      </c>
      <c r="AE34" s="343">
        <f t="shared" si="18"/>
        <v>2</v>
      </c>
      <c r="AF34" s="343">
        <f t="shared" si="19"/>
        <v>3</v>
      </c>
      <c r="AG34" s="343">
        <f t="shared" si="20"/>
        <v>0</v>
      </c>
      <c r="AH34" s="60">
        <f t="shared" si="21"/>
        <v>6</v>
      </c>
    </row>
    <row r="35" spans="1:34" ht="14.25" customHeight="1" thickBot="1">
      <c r="A35" s="499"/>
      <c r="B35" s="96" t="s">
        <v>383</v>
      </c>
      <c r="C35" s="95" t="s">
        <v>382</v>
      </c>
      <c r="D35" s="94">
        <v>553.46500000000003</v>
      </c>
      <c r="E35" s="93">
        <v>300</v>
      </c>
      <c r="F35" s="94">
        <v>491.47570000000002</v>
      </c>
      <c r="G35" s="73">
        <v>0.5</v>
      </c>
      <c r="H35" s="73">
        <f t="shared" si="2"/>
        <v>245.73785000000001</v>
      </c>
      <c r="I35" s="94">
        <f t="shared" si="24"/>
        <v>54.262149999999991</v>
      </c>
      <c r="J35" s="93">
        <f t="shared" si="25"/>
        <v>163.82523333333333</v>
      </c>
      <c r="K35" s="301" t="s">
        <v>381</v>
      </c>
      <c r="L35" s="92">
        <v>660.12</v>
      </c>
      <c r="M35" s="92">
        <v>300</v>
      </c>
      <c r="N35" s="91">
        <f t="shared" si="22"/>
        <v>491.47570000000002</v>
      </c>
      <c r="O35" s="205">
        <f t="shared" si="27"/>
        <v>54.262149999999991</v>
      </c>
      <c r="P35" s="203" t="str">
        <f t="shared" si="23"/>
        <v>No</v>
      </c>
      <c r="Q35" s="11"/>
      <c r="R35" s="11"/>
      <c r="S35" s="253"/>
      <c r="T35" s="256"/>
      <c r="U35" s="135"/>
      <c r="V35" s="135"/>
      <c r="W35" s="20"/>
      <c r="AB35" s="326" t="s">
        <v>469</v>
      </c>
      <c r="AC35" s="343">
        <f t="shared" si="16"/>
        <v>0</v>
      </c>
      <c r="AD35" s="343">
        <f t="shared" si="17"/>
        <v>1</v>
      </c>
      <c r="AE35" s="343">
        <f t="shared" si="18"/>
        <v>1</v>
      </c>
      <c r="AF35" s="343">
        <f t="shared" si="19"/>
        <v>0</v>
      </c>
      <c r="AG35" s="343">
        <f t="shared" si="20"/>
        <v>0</v>
      </c>
      <c r="AH35" s="326">
        <f t="shared" si="21"/>
        <v>2</v>
      </c>
    </row>
    <row r="36" spans="1:34" ht="13.5" thickBot="1">
      <c r="A36" s="497" t="s">
        <v>375</v>
      </c>
      <c r="B36" s="87" t="s">
        <v>379</v>
      </c>
      <c r="C36" s="86" t="s">
        <v>378</v>
      </c>
      <c r="D36" s="85">
        <v>839.23</v>
      </c>
      <c r="E36" s="84">
        <v>150</v>
      </c>
      <c r="F36" s="85">
        <v>213.84829999999999</v>
      </c>
      <c r="G36" s="85">
        <v>0.5</v>
      </c>
      <c r="H36" s="85">
        <f t="shared" si="2"/>
        <v>106.92415</v>
      </c>
      <c r="I36" s="85">
        <f t="shared" si="24"/>
        <v>43.075850000000003</v>
      </c>
      <c r="J36" s="84">
        <f t="shared" si="25"/>
        <v>142.56553333333332</v>
      </c>
      <c r="K36" s="100" t="s">
        <v>377</v>
      </c>
      <c r="L36" s="83">
        <v>844.89</v>
      </c>
      <c r="M36" s="83">
        <v>150</v>
      </c>
      <c r="N36" s="82">
        <f t="shared" si="22"/>
        <v>213.84829999999999</v>
      </c>
      <c r="O36" s="205">
        <f t="shared" si="27"/>
        <v>43.075850000000003</v>
      </c>
      <c r="P36" s="203" t="str">
        <f t="shared" si="23"/>
        <v>No</v>
      </c>
      <c r="Q36" s="11"/>
      <c r="R36" s="11"/>
      <c r="S36" s="253"/>
      <c r="AB36" s="340" t="s">
        <v>479</v>
      </c>
      <c r="AC36" s="349">
        <f>SUM(AC24:AC35)</f>
        <v>0</v>
      </c>
      <c r="AD36" s="349">
        <f>SUM(AD24:AD35)</f>
        <v>30</v>
      </c>
      <c r="AE36" s="349">
        <f>SUM(AE24:AE35)</f>
        <v>38</v>
      </c>
      <c r="AF36" s="349">
        <f>SUM(AF24:AF35)</f>
        <v>16</v>
      </c>
      <c r="AG36" s="349">
        <f>SUM(AG24:AG35)</f>
        <v>4</v>
      </c>
      <c r="AH36" s="350">
        <f t="shared" ref="AH36" si="28">SUM(AH24:AH35)</f>
        <v>88</v>
      </c>
    </row>
    <row r="37" spans="1:34" ht="14.25" customHeight="1" thickBot="1">
      <c r="A37" s="499"/>
      <c r="B37" s="96" t="s">
        <v>376</v>
      </c>
      <c r="C37" s="95" t="s">
        <v>375</v>
      </c>
      <c r="D37" s="94">
        <v>497.76499999999999</v>
      </c>
      <c r="E37" s="94">
        <v>800</v>
      </c>
      <c r="F37" s="94">
        <v>1151.328</v>
      </c>
      <c r="G37" s="73">
        <v>0.5</v>
      </c>
      <c r="H37" s="73">
        <f t="shared" si="2"/>
        <v>575.66399999999999</v>
      </c>
      <c r="I37" s="73">
        <f t="shared" si="24"/>
        <v>224.33600000000001</v>
      </c>
      <c r="J37" s="299">
        <f t="shared" si="25"/>
        <v>143.916</v>
      </c>
      <c r="K37" s="301" t="s">
        <v>374</v>
      </c>
      <c r="L37" s="92">
        <v>503.42500000000001</v>
      </c>
      <c r="M37" s="92">
        <v>800</v>
      </c>
      <c r="N37" s="91">
        <f t="shared" si="22"/>
        <v>1151.328</v>
      </c>
      <c r="O37" s="205">
        <f t="shared" si="27"/>
        <v>224.33600000000001</v>
      </c>
      <c r="P37" s="203" t="str">
        <f t="shared" si="23"/>
        <v>No</v>
      </c>
      <c r="Q37" s="255"/>
      <c r="R37" s="255"/>
      <c r="S37" s="253"/>
      <c r="AB37" s="340" t="s">
        <v>478</v>
      </c>
      <c r="AC37" s="351">
        <f>PRODUCT(AC36*AD7)</f>
        <v>0</v>
      </c>
      <c r="AD37" s="416">
        <f>PRODUCT(AD36*AD8)</f>
        <v>491.06700000000001</v>
      </c>
      <c r="AE37" s="416">
        <f>PRODUCT(AE36*AD9)</f>
        <v>636.37459999999999</v>
      </c>
      <c r="AF37" s="416">
        <f>PRODUCT(AF36*AD10)</f>
        <v>270.18560000000002</v>
      </c>
      <c r="AG37" s="416">
        <f>PRODUCT(AG36*AD11)</f>
        <v>68</v>
      </c>
      <c r="AH37" s="421">
        <f>SUM(AC37:AG37)</f>
        <v>1465.6272000000001</v>
      </c>
    </row>
    <row r="38" spans="1:34" ht="13.5" thickBot="1">
      <c r="A38" s="112" t="s">
        <v>372</v>
      </c>
      <c r="B38" s="87" t="s">
        <v>373</v>
      </c>
      <c r="C38" s="86" t="s">
        <v>372</v>
      </c>
      <c r="D38" s="85">
        <v>285.27999999999997</v>
      </c>
      <c r="E38" s="85">
        <v>500</v>
      </c>
      <c r="F38" s="85">
        <v>779.52329999999995</v>
      </c>
      <c r="G38" s="184">
        <v>0.5</v>
      </c>
      <c r="H38" s="184">
        <f t="shared" si="2"/>
        <v>389.76164999999997</v>
      </c>
      <c r="I38" s="94">
        <f t="shared" si="24"/>
        <v>110.23835000000003</v>
      </c>
      <c r="J38" s="93">
        <f t="shared" si="25"/>
        <v>155.90465999999998</v>
      </c>
      <c r="K38" s="100" t="s">
        <v>371</v>
      </c>
      <c r="L38" s="83">
        <v>539.80499999999995</v>
      </c>
      <c r="M38" s="83">
        <v>300</v>
      </c>
      <c r="N38" s="82">
        <f t="shared" si="22"/>
        <v>779.52329999999995</v>
      </c>
      <c r="O38" s="281">
        <f t="shared" si="27"/>
        <v>-89.761649999999975</v>
      </c>
      <c r="P38" s="220" t="str">
        <f t="shared" si="23"/>
        <v>Yes</v>
      </c>
      <c r="Q38" s="222" t="s">
        <v>351</v>
      </c>
      <c r="R38" s="221" t="s">
        <v>351</v>
      </c>
      <c r="AB38" s="340" t="s">
        <v>528</v>
      </c>
      <c r="AC38" s="351">
        <f>AC36*AC7</f>
        <v>0</v>
      </c>
      <c r="AD38" s="351">
        <f>AD36*AC8</f>
        <v>4500</v>
      </c>
      <c r="AE38" s="351">
        <f>AE36*AC9</f>
        <v>7600</v>
      </c>
      <c r="AF38" s="351">
        <f>AF36*AC10</f>
        <v>4000</v>
      </c>
      <c r="AG38" s="351">
        <f>AG36*AC11</f>
        <v>1200</v>
      </c>
      <c r="AH38" s="340">
        <f>SUM(AC38:AG38)</f>
        <v>17300</v>
      </c>
    </row>
    <row r="39" spans="1:34" ht="13.5" thickBot="1">
      <c r="A39" s="497" t="s">
        <v>60</v>
      </c>
      <c r="B39" s="87" t="s">
        <v>368</v>
      </c>
      <c r="C39" s="86" t="s">
        <v>367</v>
      </c>
      <c r="D39" s="85">
        <v>239.47</v>
      </c>
      <c r="E39" s="84">
        <v>750</v>
      </c>
      <c r="F39" s="85">
        <v>886.15449999999998</v>
      </c>
      <c r="G39" s="85">
        <v>0.5</v>
      </c>
      <c r="H39" s="85">
        <f t="shared" si="2"/>
        <v>443.07724999999999</v>
      </c>
      <c r="I39" s="85">
        <f t="shared" si="24"/>
        <v>306.92275000000001</v>
      </c>
      <c r="J39" s="84">
        <f t="shared" si="25"/>
        <v>118.15393333333333</v>
      </c>
      <c r="K39" s="100" t="s">
        <v>366</v>
      </c>
      <c r="L39" s="83">
        <v>585.61500000000001</v>
      </c>
      <c r="M39" s="83">
        <v>450</v>
      </c>
      <c r="N39" s="82">
        <f t="shared" si="22"/>
        <v>886.15449999999998</v>
      </c>
      <c r="O39" s="205">
        <f t="shared" si="27"/>
        <v>6.9227500000000077</v>
      </c>
      <c r="P39" s="203" t="str">
        <f t="shared" si="23"/>
        <v>No</v>
      </c>
      <c r="Q39" s="219" t="s">
        <v>351</v>
      </c>
      <c r="R39" s="218" t="s">
        <v>351</v>
      </c>
    </row>
    <row r="40" spans="1:34" ht="14.25" customHeight="1" thickBot="1">
      <c r="A40" s="498"/>
      <c r="B40" s="75" t="s">
        <v>364</v>
      </c>
      <c r="C40" s="74" t="s">
        <v>61</v>
      </c>
      <c r="D40" s="73">
        <v>381.34</v>
      </c>
      <c r="E40" s="73">
        <v>200</v>
      </c>
      <c r="F40" s="73">
        <v>233.80699999999999</v>
      </c>
      <c r="G40" s="73">
        <v>0.5</v>
      </c>
      <c r="H40" s="73">
        <f t="shared" si="2"/>
        <v>116.90349999999999</v>
      </c>
      <c r="I40" s="73">
        <f t="shared" si="24"/>
        <v>83.096500000000006</v>
      </c>
      <c r="J40" s="299">
        <f t="shared" si="25"/>
        <v>116.90350000000001</v>
      </c>
      <c r="K40" s="303" t="s">
        <v>328</v>
      </c>
      <c r="L40" s="72">
        <v>673.16499999999996</v>
      </c>
      <c r="M40" s="72">
        <v>150</v>
      </c>
      <c r="N40" s="119">
        <f t="shared" si="22"/>
        <v>233.80699999999999</v>
      </c>
      <c r="O40" s="205">
        <f t="shared" si="27"/>
        <v>33.096500000000006</v>
      </c>
      <c r="P40" s="203" t="str">
        <f t="shared" si="23"/>
        <v>No</v>
      </c>
      <c r="Q40" s="217"/>
      <c r="R40" s="216"/>
    </row>
    <row r="41" spans="1:34" ht="13.5" thickBot="1">
      <c r="A41" s="499" t="s">
        <v>363</v>
      </c>
      <c r="B41" s="63" t="s">
        <v>362</v>
      </c>
      <c r="C41" s="114" t="s">
        <v>74</v>
      </c>
      <c r="D41" s="94">
        <v>632.29499999999996</v>
      </c>
      <c r="E41" s="94">
        <v>300</v>
      </c>
      <c r="F41" s="94">
        <v>416.14780000000002</v>
      </c>
      <c r="G41" s="85">
        <v>0.5</v>
      </c>
      <c r="H41" s="85">
        <f t="shared" si="2"/>
        <v>208.07390000000001</v>
      </c>
      <c r="I41" s="94">
        <f t="shared" si="24"/>
        <v>91.926099999999991</v>
      </c>
      <c r="J41" s="93">
        <f t="shared" si="25"/>
        <v>138.71593333333334</v>
      </c>
      <c r="K41" s="301" t="s">
        <v>361</v>
      </c>
      <c r="L41" s="92">
        <v>692.19500000000005</v>
      </c>
      <c r="M41" s="92">
        <v>300</v>
      </c>
      <c r="N41" s="91">
        <f t="shared" si="22"/>
        <v>416.14780000000002</v>
      </c>
      <c r="O41" s="205">
        <f t="shared" si="27"/>
        <v>91.926099999999991</v>
      </c>
      <c r="P41" s="203" t="str">
        <f t="shared" si="23"/>
        <v>No</v>
      </c>
      <c r="Q41" s="239"/>
      <c r="R41" s="239"/>
    </row>
    <row r="42" spans="1:34" ht="14.25" customHeight="1" thickBot="1">
      <c r="A42" s="499"/>
      <c r="B42" s="96" t="s">
        <v>360</v>
      </c>
      <c r="C42" s="95" t="s">
        <v>55</v>
      </c>
      <c r="D42" s="108">
        <v>566.26</v>
      </c>
      <c r="E42" s="108">
        <v>300</v>
      </c>
      <c r="F42" s="108">
        <v>424.66829999999999</v>
      </c>
      <c r="G42" s="94">
        <v>0.5</v>
      </c>
      <c r="H42" s="94">
        <f t="shared" si="2"/>
        <v>212.33414999999999</v>
      </c>
      <c r="I42" s="94">
        <f t="shared" si="24"/>
        <v>87.665850000000006</v>
      </c>
      <c r="J42" s="93">
        <f t="shared" si="25"/>
        <v>141.55610000000001</v>
      </c>
      <c r="K42" s="302" t="s">
        <v>359</v>
      </c>
      <c r="L42" s="106">
        <v>1033.6600000000001</v>
      </c>
      <c r="M42" s="106">
        <v>300</v>
      </c>
      <c r="N42" s="105">
        <f t="shared" si="22"/>
        <v>424.66829999999999</v>
      </c>
      <c r="O42" s="205">
        <f t="shared" si="27"/>
        <v>87.665850000000006</v>
      </c>
      <c r="P42" s="203" t="str">
        <f t="shared" si="23"/>
        <v>No</v>
      </c>
      <c r="Q42" s="11"/>
      <c r="R42" s="11"/>
      <c r="S42" s="253"/>
    </row>
    <row r="43" spans="1:34" ht="14.25" customHeight="1" thickBot="1">
      <c r="A43" s="499"/>
      <c r="B43" s="96" t="s">
        <v>358</v>
      </c>
      <c r="C43" s="95" t="s">
        <v>62</v>
      </c>
      <c r="D43" s="94">
        <v>174.54</v>
      </c>
      <c r="E43" s="94">
        <v>250</v>
      </c>
      <c r="F43" s="94">
        <v>80.336669999999998</v>
      </c>
      <c r="G43" s="73">
        <v>0.5</v>
      </c>
      <c r="H43" s="73">
        <f t="shared" si="2"/>
        <v>40.168334999999999</v>
      </c>
      <c r="I43" s="94">
        <f t="shared" si="24"/>
        <v>209.83166499999999</v>
      </c>
      <c r="J43" s="93">
        <f t="shared" si="25"/>
        <v>32.134667999999998</v>
      </c>
      <c r="K43" s="301" t="s">
        <v>357</v>
      </c>
      <c r="L43" s="92">
        <v>811.21</v>
      </c>
      <c r="M43" s="92">
        <v>150</v>
      </c>
      <c r="N43" s="105">
        <f t="shared" si="22"/>
        <v>80.336669999999998</v>
      </c>
      <c r="O43" s="205">
        <f t="shared" si="27"/>
        <v>109.831665</v>
      </c>
      <c r="P43" s="203" t="str">
        <f t="shared" si="23"/>
        <v>No</v>
      </c>
      <c r="Q43" s="11"/>
      <c r="R43" s="11"/>
      <c r="S43" s="253"/>
    </row>
    <row r="44" spans="1:34" ht="13.5" thickBot="1">
      <c r="A44" s="112" t="s">
        <v>355</v>
      </c>
      <c r="B44" s="87" t="s">
        <v>356</v>
      </c>
      <c r="C44" s="86" t="s">
        <v>355</v>
      </c>
      <c r="D44" s="85">
        <v>517.28</v>
      </c>
      <c r="E44" s="85">
        <v>200</v>
      </c>
      <c r="F44" s="85">
        <v>67.241829999999993</v>
      </c>
      <c r="G44" s="184">
        <v>0.5</v>
      </c>
      <c r="H44" s="184">
        <f t="shared" si="2"/>
        <v>33.620914999999997</v>
      </c>
      <c r="I44" s="184">
        <f t="shared" si="24"/>
        <v>166.379085</v>
      </c>
      <c r="J44" s="183">
        <f t="shared" si="25"/>
        <v>33.620914999999997</v>
      </c>
      <c r="K44" s="100" t="s">
        <v>354</v>
      </c>
      <c r="L44" s="83">
        <v>607.995</v>
      </c>
      <c r="M44" s="83">
        <v>150</v>
      </c>
      <c r="N44" s="82">
        <f t="shared" si="22"/>
        <v>67.241829999999993</v>
      </c>
      <c r="O44" s="205">
        <f t="shared" si="27"/>
        <v>116.379085</v>
      </c>
      <c r="P44" s="203" t="str">
        <f t="shared" si="23"/>
        <v>No</v>
      </c>
      <c r="Q44" s="11"/>
      <c r="R44" s="11"/>
      <c r="S44" s="253"/>
    </row>
    <row r="45" spans="1:34" ht="13.5" thickBot="1">
      <c r="A45" s="497" t="s">
        <v>349</v>
      </c>
      <c r="B45" s="87" t="s">
        <v>353</v>
      </c>
      <c r="C45" s="86" t="s">
        <v>342</v>
      </c>
      <c r="D45" s="85">
        <v>592.98500000000001</v>
      </c>
      <c r="E45" s="85">
        <v>150</v>
      </c>
      <c r="F45" s="85">
        <v>175.91919999999999</v>
      </c>
      <c r="G45" s="85">
        <v>0.5</v>
      </c>
      <c r="H45" s="85">
        <f t="shared" si="2"/>
        <v>87.959599999999995</v>
      </c>
      <c r="I45" s="94">
        <f t="shared" si="24"/>
        <v>62.040400000000005</v>
      </c>
      <c r="J45" s="93">
        <f t="shared" si="25"/>
        <v>117.27946666666666</v>
      </c>
      <c r="K45" s="100" t="s">
        <v>352</v>
      </c>
      <c r="L45" s="83">
        <v>1051.23</v>
      </c>
      <c r="M45" s="83">
        <v>150</v>
      </c>
      <c r="N45" s="82">
        <f t="shared" si="22"/>
        <v>175.91919999999999</v>
      </c>
      <c r="O45" s="205">
        <f t="shared" si="27"/>
        <v>62.040400000000005</v>
      </c>
      <c r="P45" s="203" t="str">
        <f t="shared" si="23"/>
        <v>No</v>
      </c>
      <c r="Q45" s="11"/>
      <c r="R45" s="11"/>
      <c r="S45" s="253"/>
    </row>
    <row r="46" spans="1:34" ht="14.25" customHeight="1" thickBot="1">
      <c r="A46" s="499"/>
      <c r="B46" s="96" t="s">
        <v>350</v>
      </c>
      <c r="C46" s="95" t="s">
        <v>349</v>
      </c>
      <c r="D46" s="108">
        <v>374.84</v>
      </c>
      <c r="E46" s="108">
        <v>200</v>
      </c>
      <c r="F46" s="108">
        <v>115.1143</v>
      </c>
      <c r="G46" s="94">
        <v>0.5</v>
      </c>
      <c r="H46" s="94">
        <f t="shared" si="2"/>
        <v>57.55715</v>
      </c>
      <c r="I46" s="94">
        <f t="shared" si="24"/>
        <v>142.44284999999999</v>
      </c>
      <c r="J46" s="93">
        <f t="shared" si="25"/>
        <v>57.55715</v>
      </c>
      <c r="K46" s="302" t="s">
        <v>348</v>
      </c>
      <c r="L46" s="106">
        <v>838.745</v>
      </c>
      <c r="M46" s="106">
        <v>150</v>
      </c>
      <c r="N46" s="105">
        <f t="shared" si="22"/>
        <v>115.1143</v>
      </c>
      <c r="O46" s="205">
        <f t="shared" si="27"/>
        <v>92.442849999999993</v>
      </c>
      <c r="P46" s="203" t="str">
        <f t="shared" si="23"/>
        <v>No</v>
      </c>
      <c r="Q46" s="11"/>
      <c r="R46" s="11"/>
      <c r="S46" s="253"/>
    </row>
    <row r="47" spans="1:34" ht="14.25" customHeight="1" thickBot="1">
      <c r="A47" s="499"/>
      <c r="B47" s="96" t="s">
        <v>347</v>
      </c>
      <c r="C47" s="95" t="s">
        <v>335</v>
      </c>
      <c r="D47" s="108">
        <v>675.17499999999995</v>
      </c>
      <c r="E47" s="108">
        <v>150</v>
      </c>
      <c r="F47" s="108">
        <v>87.5685</v>
      </c>
      <c r="G47" s="94">
        <v>0.5</v>
      </c>
      <c r="H47" s="94">
        <f t="shared" si="2"/>
        <v>43.78425</v>
      </c>
      <c r="I47" s="94">
        <f t="shared" si="24"/>
        <v>106.21575</v>
      </c>
      <c r="J47" s="93">
        <f t="shared" si="25"/>
        <v>58.379000000000005</v>
      </c>
      <c r="K47" s="302" t="s">
        <v>346</v>
      </c>
      <c r="L47" s="106">
        <v>792.93499999999995</v>
      </c>
      <c r="M47" s="106">
        <v>150</v>
      </c>
      <c r="N47" s="105">
        <f t="shared" si="22"/>
        <v>87.5685</v>
      </c>
      <c r="O47" s="205">
        <f t="shared" si="27"/>
        <v>106.21575</v>
      </c>
      <c r="P47" s="203" t="str">
        <f t="shared" si="23"/>
        <v>No</v>
      </c>
      <c r="Q47" s="11"/>
      <c r="R47" s="11"/>
      <c r="S47" s="253"/>
    </row>
    <row r="48" spans="1:34" ht="14.25" customHeight="1" thickBot="1">
      <c r="A48" s="499"/>
      <c r="B48" s="96" t="s">
        <v>339</v>
      </c>
      <c r="C48" s="95" t="s">
        <v>338</v>
      </c>
      <c r="D48" s="94">
        <v>768.38499999999999</v>
      </c>
      <c r="E48" s="94">
        <v>150</v>
      </c>
      <c r="F48" s="94">
        <v>46.164000000000001</v>
      </c>
      <c r="G48" s="73">
        <v>0.5</v>
      </c>
      <c r="H48" s="73">
        <f t="shared" si="2"/>
        <v>23.082000000000001</v>
      </c>
      <c r="I48" s="94">
        <f t="shared" si="24"/>
        <v>126.91800000000001</v>
      </c>
      <c r="J48" s="93">
        <f t="shared" si="25"/>
        <v>30.776000000000003</v>
      </c>
      <c r="K48" s="301" t="s">
        <v>345</v>
      </c>
      <c r="L48" s="92">
        <v>934.80499999999995</v>
      </c>
      <c r="M48" s="92">
        <v>150</v>
      </c>
      <c r="N48" s="91">
        <f t="shared" si="22"/>
        <v>46.164000000000001</v>
      </c>
      <c r="O48" s="205">
        <f t="shared" si="27"/>
        <v>126.91800000000001</v>
      </c>
      <c r="P48" s="203" t="str">
        <f t="shared" si="23"/>
        <v>No</v>
      </c>
      <c r="Q48" s="11"/>
      <c r="R48" s="11"/>
      <c r="S48" s="253"/>
    </row>
    <row r="49" spans="1:19" ht="13.5" thickBot="1">
      <c r="A49" s="497" t="s">
        <v>344</v>
      </c>
      <c r="B49" s="87" t="s">
        <v>343</v>
      </c>
      <c r="C49" s="86" t="s">
        <v>342</v>
      </c>
      <c r="D49" s="85">
        <v>592.98500000000001</v>
      </c>
      <c r="E49" s="85">
        <v>150</v>
      </c>
      <c r="F49" s="85">
        <v>175.91919999999999</v>
      </c>
      <c r="G49" s="85">
        <v>0.5</v>
      </c>
      <c r="H49" s="85">
        <f t="shared" si="2"/>
        <v>87.959599999999995</v>
      </c>
      <c r="I49" s="85">
        <f t="shared" si="24"/>
        <v>62.040400000000005</v>
      </c>
      <c r="J49" s="84">
        <f t="shared" si="25"/>
        <v>117.27946666666666</v>
      </c>
      <c r="K49" s="100" t="s">
        <v>341</v>
      </c>
      <c r="L49" s="83">
        <v>992.44500000000005</v>
      </c>
      <c r="M49" s="83">
        <v>150</v>
      </c>
      <c r="N49" s="82">
        <f t="shared" si="22"/>
        <v>175.91919999999999</v>
      </c>
      <c r="O49" s="205">
        <f t="shared" si="27"/>
        <v>62.040400000000005</v>
      </c>
      <c r="P49" s="203" t="str">
        <f t="shared" si="23"/>
        <v>No</v>
      </c>
      <c r="Q49" s="11"/>
      <c r="R49" s="11"/>
      <c r="S49" s="253"/>
    </row>
    <row r="50" spans="1:19" ht="14.25" customHeight="1" thickBot="1">
      <c r="A50" s="499"/>
      <c r="B50" s="96" t="s">
        <v>339</v>
      </c>
      <c r="C50" s="95" t="s">
        <v>338</v>
      </c>
      <c r="D50" s="94">
        <v>768.38499999999999</v>
      </c>
      <c r="E50" s="94">
        <v>150</v>
      </c>
      <c r="F50" s="94">
        <v>46.164000000000001</v>
      </c>
      <c r="G50" s="73">
        <v>0.5</v>
      </c>
      <c r="H50" s="73">
        <f t="shared" si="2"/>
        <v>23.082000000000001</v>
      </c>
      <c r="I50" s="73">
        <f t="shared" si="24"/>
        <v>126.91800000000001</v>
      </c>
      <c r="J50" s="299">
        <f t="shared" si="25"/>
        <v>30.776000000000003</v>
      </c>
      <c r="K50" s="301" t="s">
        <v>337</v>
      </c>
      <c r="L50" s="92">
        <v>817.04499999999996</v>
      </c>
      <c r="M50" s="92">
        <v>150</v>
      </c>
      <c r="N50" s="91">
        <f t="shared" si="22"/>
        <v>46.164000000000001</v>
      </c>
      <c r="O50" s="205">
        <f t="shared" si="27"/>
        <v>126.91800000000001</v>
      </c>
      <c r="P50" s="203" t="str">
        <f t="shared" si="23"/>
        <v>No</v>
      </c>
      <c r="Q50" s="11"/>
      <c r="R50" s="11"/>
      <c r="S50" s="253"/>
    </row>
    <row r="51" spans="1:19" ht="13.5" thickBot="1">
      <c r="A51" s="497" t="s">
        <v>340</v>
      </c>
      <c r="B51" s="87" t="s">
        <v>339</v>
      </c>
      <c r="C51" s="86" t="s">
        <v>338</v>
      </c>
      <c r="D51" s="85">
        <v>768.38499999999999</v>
      </c>
      <c r="E51" s="85">
        <v>150</v>
      </c>
      <c r="F51" s="85">
        <v>46.164000000000001</v>
      </c>
      <c r="G51" s="85">
        <v>0.5</v>
      </c>
      <c r="H51" s="85">
        <f t="shared" si="2"/>
        <v>23.082000000000001</v>
      </c>
      <c r="I51" s="94">
        <f t="shared" si="24"/>
        <v>126.91800000000001</v>
      </c>
      <c r="J51" s="93">
        <f t="shared" si="25"/>
        <v>30.776000000000003</v>
      </c>
      <c r="K51" s="100" t="s">
        <v>337</v>
      </c>
      <c r="L51" s="83">
        <v>817.04499999999996</v>
      </c>
      <c r="M51" s="83">
        <v>150</v>
      </c>
      <c r="N51" s="82">
        <f t="shared" si="22"/>
        <v>46.164000000000001</v>
      </c>
      <c r="O51" s="205">
        <f t="shared" si="27"/>
        <v>126.91800000000001</v>
      </c>
      <c r="P51" s="203" t="str">
        <f t="shared" si="23"/>
        <v>No</v>
      </c>
      <c r="Q51" s="11"/>
      <c r="R51" s="11"/>
      <c r="S51" s="253"/>
    </row>
    <row r="52" spans="1:19" ht="14.25" customHeight="1" thickBot="1">
      <c r="A52" s="499"/>
      <c r="B52" s="96" t="s">
        <v>30</v>
      </c>
      <c r="C52" s="95" t="s">
        <v>326</v>
      </c>
      <c r="D52" s="94">
        <v>317.27</v>
      </c>
      <c r="E52" s="94">
        <v>200</v>
      </c>
      <c r="F52" s="94">
        <v>136.87530000000001</v>
      </c>
      <c r="G52" s="73">
        <v>0.5</v>
      </c>
      <c r="H52" s="73">
        <f t="shared" si="2"/>
        <v>68.437650000000005</v>
      </c>
      <c r="I52" s="94">
        <f t="shared" si="24"/>
        <v>131.56234999999998</v>
      </c>
      <c r="J52" s="93">
        <f t="shared" si="25"/>
        <v>68.437650000000005</v>
      </c>
      <c r="K52" s="301" t="s">
        <v>325</v>
      </c>
      <c r="L52" s="92">
        <v>518.48</v>
      </c>
      <c r="M52" s="92">
        <v>200</v>
      </c>
      <c r="N52" s="91">
        <f t="shared" si="22"/>
        <v>136.87530000000001</v>
      </c>
      <c r="O52" s="205">
        <f t="shared" si="27"/>
        <v>131.56234999999998</v>
      </c>
      <c r="P52" s="203" t="str">
        <f t="shared" si="23"/>
        <v>No</v>
      </c>
      <c r="Q52" s="11"/>
      <c r="R52" s="11"/>
      <c r="S52" s="253"/>
    </row>
    <row r="53" spans="1:19" ht="13.5" thickBot="1">
      <c r="A53" s="497" t="s">
        <v>336</v>
      </c>
      <c r="B53" s="87" t="s">
        <v>28</v>
      </c>
      <c r="C53" s="86" t="s">
        <v>335</v>
      </c>
      <c r="D53" s="85">
        <v>675.17499999999995</v>
      </c>
      <c r="E53" s="85">
        <v>150</v>
      </c>
      <c r="F53" s="85">
        <v>87.5685</v>
      </c>
      <c r="G53" s="85">
        <v>0.5</v>
      </c>
      <c r="H53" s="85">
        <f t="shared" si="2"/>
        <v>43.78425</v>
      </c>
      <c r="I53" s="85">
        <f t="shared" si="24"/>
        <v>106.21575</v>
      </c>
      <c r="J53" s="84">
        <f t="shared" si="25"/>
        <v>58.379000000000005</v>
      </c>
      <c r="K53" s="100" t="s">
        <v>334</v>
      </c>
      <c r="L53" s="83">
        <v>792.93499999999995</v>
      </c>
      <c r="M53" s="83">
        <v>150</v>
      </c>
      <c r="N53" s="82">
        <f t="shared" si="22"/>
        <v>87.5685</v>
      </c>
      <c r="O53" s="205">
        <f t="shared" si="27"/>
        <v>106.21575</v>
      </c>
      <c r="P53" s="203" t="str">
        <f t="shared" si="23"/>
        <v>No</v>
      </c>
      <c r="Q53" s="11"/>
      <c r="R53" s="11"/>
      <c r="S53" s="253"/>
    </row>
    <row r="54" spans="1:19" ht="13.5" thickBot="1">
      <c r="A54" s="499"/>
      <c r="B54" s="96" t="s">
        <v>333</v>
      </c>
      <c r="C54" s="95" t="s">
        <v>332</v>
      </c>
      <c r="D54" s="94">
        <v>300.33499999999998</v>
      </c>
      <c r="E54" s="94">
        <v>200</v>
      </c>
      <c r="F54" s="94">
        <v>33.29833</v>
      </c>
      <c r="G54" s="73">
        <v>0.5</v>
      </c>
      <c r="H54" s="73">
        <f t="shared" si="2"/>
        <v>16.649165</v>
      </c>
      <c r="I54" s="73">
        <f t="shared" si="24"/>
        <v>183.35083499999999</v>
      </c>
      <c r="J54" s="299">
        <f t="shared" si="25"/>
        <v>16.649165</v>
      </c>
      <c r="K54" s="301" t="s">
        <v>331</v>
      </c>
      <c r="L54" s="92">
        <v>524.75</v>
      </c>
      <c r="M54" s="92">
        <v>200</v>
      </c>
      <c r="N54" s="91">
        <f t="shared" si="22"/>
        <v>33.29833</v>
      </c>
      <c r="O54" s="205">
        <f t="shared" si="27"/>
        <v>183.35083499999999</v>
      </c>
      <c r="P54" s="203" t="str">
        <f t="shared" si="23"/>
        <v>No</v>
      </c>
      <c r="Q54" s="11"/>
      <c r="R54" s="11"/>
      <c r="S54" s="253"/>
    </row>
    <row r="55" spans="1:19" ht="13.5" thickBot="1">
      <c r="A55" s="497" t="s">
        <v>330</v>
      </c>
      <c r="B55" s="87" t="s">
        <v>329</v>
      </c>
      <c r="C55" s="86" t="s">
        <v>61</v>
      </c>
      <c r="D55" s="85">
        <v>381.34</v>
      </c>
      <c r="E55" s="85">
        <v>200</v>
      </c>
      <c r="F55" s="85">
        <v>233.80699999999999</v>
      </c>
      <c r="G55" s="85">
        <v>0.5</v>
      </c>
      <c r="H55" s="85">
        <f t="shared" si="2"/>
        <v>116.90349999999999</v>
      </c>
      <c r="I55" s="85">
        <f t="shared" si="24"/>
        <v>83.096500000000006</v>
      </c>
      <c r="J55" s="84">
        <f t="shared" si="25"/>
        <v>116.90350000000001</v>
      </c>
      <c r="K55" s="100" t="s">
        <v>328</v>
      </c>
      <c r="L55" s="83">
        <v>673.16499999999996</v>
      </c>
      <c r="M55" s="83">
        <v>200</v>
      </c>
      <c r="N55" s="82">
        <f t="shared" si="22"/>
        <v>233.80699999999999</v>
      </c>
      <c r="O55" s="205">
        <f t="shared" si="27"/>
        <v>83.096500000000006</v>
      </c>
      <c r="P55" s="203" t="str">
        <f t="shared" si="23"/>
        <v>No</v>
      </c>
      <c r="Q55" s="11"/>
      <c r="R55" s="11"/>
      <c r="S55" s="253"/>
    </row>
    <row r="56" spans="1:19" ht="14.25" customHeight="1" thickBot="1">
      <c r="A56" s="498"/>
      <c r="B56" s="75" t="s">
        <v>30</v>
      </c>
      <c r="C56" s="74" t="s">
        <v>326</v>
      </c>
      <c r="D56" s="73">
        <v>317.27</v>
      </c>
      <c r="E56" s="73">
        <v>200</v>
      </c>
      <c r="F56" s="73">
        <v>136.87530000000001</v>
      </c>
      <c r="G56" s="73">
        <v>0.5</v>
      </c>
      <c r="H56" s="73">
        <f t="shared" si="2"/>
        <v>68.437650000000005</v>
      </c>
      <c r="I56" s="73">
        <f t="shared" si="24"/>
        <v>131.56234999999998</v>
      </c>
      <c r="J56" s="299">
        <f t="shared" si="25"/>
        <v>68.437650000000005</v>
      </c>
      <c r="K56" s="303" t="s">
        <v>325</v>
      </c>
      <c r="L56" s="72">
        <v>518.48</v>
      </c>
      <c r="M56" s="72">
        <v>200</v>
      </c>
      <c r="N56" s="71">
        <f t="shared" si="22"/>
        <v>136.87530000000001</v>
      </c>
      <c r="O56" s="205">
        <f t="shared" si="27"/>
        <v>131.56234999999998</v>
      </c>
      <c r="P56" s="254" t="str">
        <f t="shared" si="23"/>
        <v>No</v>
      </c>
      <c r="Q56" s="11"/>
      <c r="R56" s="11"/>
      <c r="S56" s="253"/>
    </row>
    <row r="57" spans="1:19">
      <c r="A57" s="20"/>
      <c r="B57" s="64"/>
      <c r="C57" s="20"/>
      <c r="D57" s="20"/>
      <c r="E57" s="20"/>
      <c r="F57" s="64"/>
      <c r="H57" s="64"/>
      <c r="K57" s="20"/>
      <c r="L57" s="20"/>
      <c r="M57" s="20"/>
      <c r="N57" s="20"/>
      <c r="O57" s="20"/>
      <c r="P57" s="20"/>
      <c r="Q57" s="11"/>
      <c r="R57" s="11"/>
    </row>
    <row r="58" spans="1:19">
      <c r="A58" s="20"/>
      <c r="B58" s="64"/>
      <c r="C58" s="20"/>
      <c r="D58" s="20"/>
      <c r="E58" s="20"/>
      <c r="F58" s="64"/>
      <c r="H58" s="64"/>
      <c r="K58" s="20"/>
      <c r="L58" s="20"/>
      <c r="M58" s="20"/>
      <c r="N58" s="20"/>
      <c r="O58" s="20"/>
      <c r="P58" s="20"/>
      <c r="Q58" s="11"/>
      <c r="R58" s="11"/>
    </row>
    <row r="59" spans="1:19">
      <c r="A59" s="20"/>
      <c r="B59" s="64"/>
      <c r="C59" s="20"/>
      <c r="D59" s="20"/>
      <c r="E59" s="20"/>
      <c r="F59" s="64"/>
      <c r="H59" s="64"/>
      <c r="K59" s="20"/>
      <c r="L59" s="20"/>
      <c r="M59" s="20"/>
      <c r="N59" s="20"/>
      <c r="O59" s="20"/>
      <c r="P59" s="20"/>
      <c r="Q59" s="11"/>
      <c r="R59" s="20"/>
    </row>
    <row r="60" spans="1:19">
      <c r="A60" s="20"/>
      <c r="B60" s="64"/>
      <c r="C60" s="20"/>
      <c r="D60" s="20"/>
      <c r="E60" s="20"/>
      <c r="F60" s="64"/>
      <c r="H60" s="64"/>
      <c r="K60" s="20"/>
      <c r="L60" s="20"/>
      <c r="M60" s="20"/>
      <c r="N60" s="20"/>
      <c r="O60" s="20"/>
      <c r="P60" s="20"/>
      <c r="Q60" s="11"/>
      <c r="R60" s="20"/>
    </row>
    <row r="61" spans="1:19">
      <c r="A61" s="20"/>
      <c r="B61" s="64"/>
      <c r="C61" s="20"/>
      <c r="D61" s="20"/>
      <c r="E61" s="20"/>
      <c r="F61" s="64"/>
      <c r="H61" s="64"/>
      <c r="K61" s="20"/>
      <c r="L61" s="20"/>
      <c r="M61" s="20"/>
      <c r="N61" s="20"/>
      <c r="O61" s="20"/>
      <c r="P61" s="20"/>
      <c r="Q61" s="11"/>
      <c r="R61" s="20"/>
    </row>
    <row r="62" spans="1:19">
      <c r="A62" s="20"/>
      <c r="B62" s="65"/>
      <c r="C62" s="20"/>
      <c r="D62" s="20"/>
      <c r="E62" s="20"/>
      <c r="F62" s="64"/>
      <c r="H62" s="64"/>
      <c r="K62" s="20"/>
      <c r="L62" s="20"/>
      <c r="M62" s="20"/>
      <c r="N62" s="20"/>
      <c r="O62" s="20"/>
      <c r="P62" s="20"/>
      <c r="Q62" s="11"/>
      <c r="R62" s="20"/>
    </row>
    <row r="63" spans="1:19">
      <c r="A63" s="20"/>
      <c r="B63" s="65"/>
      <c r="C63" s="20"/>
      <c r="D63" s="20"/>
      <c r="E63" s="20"/>
      <c r="F63" s="64"/>
      <c r="H63" s="64"/>
      <c r="K63" s="20"/>
      <c r="L63" s="20"/>
      <c r="M63" s="20"/>
      <c r="N63" s="20"/>
      <c r="O63" s="20"/>
      <c r="P63" s="20"/>
      <c r="Q63" s="11"/>
      <c r="R63" s="20"/>
    </row>
    <row r="64" spans="1:19">
      <c r="A64" s="20"/>
      <c r="B64" s="65"/>
      <c r="C64" s="20"/>
      <c r="D64" s="20"/>
      <c r="E64" s="20"/>
      <c r="F64" s="64"/>
      <c r="H64" s="64"/>
      <c r="K64" s="20"/>
      <c r="L64" s="20"/>
      <c r="M64" s="20"/>
      <c r="N64" s="20"/>
      <c r="O64" s="20"/>
      <c r="P64" s="20"/>
      <c r="Q64" s="11"/>
      <c r="R64" s="20"/>
    </row>
    <row r="65" spans="1:21">
      <c r="A65" s="20"/>
      <c r="B65" s="64"/>
      <c r="C65" s="20"/>
      <c r="D65" s="20"/>
      <c r="M65" s="20"/>
      <c r="N65" s="20"/>
      <c r="P65" s="20"/>
      <c r="Q65" s="11"/>
      <c r="R65" s="20"/>
    </row>
    <row r="66" spans="1:21">
      <c r="A66" s="20"/>
      <c r="B66" s="64"/>
      <c r="C66" s="20"/>
      <c r="D66" s="20"/>
      <c r="M66" s="20"/>
      <c r="N66" s="20"/>
      <c r="P66" s="20"/>
      <c r="Q66" s="11"/>
      <c r="R66" s="20"/>
    </row>
    <row r="67" spans="1:21">
      <c r="A67" s="20"/>
      <c r="B67" s="64"/>
      <c r="C67" s="20"/>
      <c r="D67" s="20"/>
      <c r="M67" s="20"/>
      <c r="N67" s="20"/>
      <c r="P67" s="20"/>
      <c r="Q67" s="11"/>
      <c r="R67" s="20"/>
    </row>
    <row r="68" spans="1:21">
      <c r="A68" s="20"/>
      <c r="B68" s="64"/>
      <c r="C68" s="20"/>
      <c r="D68" s="20"/>
      <c r="E68" s="20"/>
      <c r="F68" s="64"/>
      <c r="H68" s="64"/>
      <c r="K68" s="20"/>
      <c r="L68" s="20"/>
      <c r="M68" s="20"/>
      <c r="N68" s="20"/>
      <c r="O68" s="20"/>
      <c r="P68" s="20"/>
      <c r="Q68" s="11"/>
      <c r="R68" s="20"/>
    </row>
    <row r="69" spans="1:21">
      <c r="B69" s="64"/>
      <c r="C69" s="20"/>
      <c r="D69" s="20"/>
      <c r="E69" s="20"/>
      <c r="F69" s="64"/>
      <c r="H69" s="64"/>
      <c r="K69" s="20"/>
      <c r="L69" s="20"/>
      <c r="M69" s="20"/>
      <c r="N69" s="20"/>
      <c r="O69" s="20"/>
      <c r="P69" s="20"/>
      <c r="Q69" s="11"/>
      <c r="R69" s="20"/>
      <c r="T69" s="58"/>
      <c r="U69" s="58"/>
    </row>
    <row r="70" spans="1:21">
      <c r="B70" s="64"/>
      <c r="C70" s="20"/>
      <c r="D70" s="20"/>
      <c r="E70" s="20"/>
      <c r="F70" s="64"/>
      <c r="H70" s="64"/>
      <c r="K70" s="20"/>
      <c r="L70" s="20"/>
      <c r="M70" s="20"/>
      <c r="N70" s="20"/>
      <c r="O70" s="20"/>
      <c r="P70" s="20"/>
      <c r="Q70" s="11"/>
      <c r="R70" s="20"/>
      <c r="T70" s="58"/>
      <c r="U70" s="58"/>
    </row>
    <row r="71" spans="1:21">
      <c r="B71" s="64"/>
      <c r="C71" s="20"/>
      <c r="D71" s="20"/>
      <c r="E71" s="20"/>
      <c r="F71" s="64"/>
      <c r="H71" s="64"/>
      <c r="K71" s="20"/>
      <c r="L71" s="20"/>
      <c r="M71" s="20"/>
      <c r="N71" s="20"/>
      <c r="O71" s="20"/>
      <c r="P71" s="20"/>
      <c r="Q71" s="11"/>
      <c r="R71" s="20"/>
      <c r="T71" s="58"/>
      <c r="U71" s="58"/>
    </row>
    <row r="72" spans="1:21">
      <c r="B72" s="64"/>
      <c r="C72" s="20"/>
      <c r="D72" s="20"/>
      <c r="E72" s="20"/>
      <c r="F72" s="64"/>
      <c r="H72" s="64"/>
      <c r="K72" s="20"/>
      <c r="L72" s="20"/>
      <c r="M72" s="20"/>
      <c r="N72" s="20"/>
      <c r="O72" s="20"/>
      <c r="P72" s="20"/>
      <c r="Q72" s="11"/>
      <c r="R72" s="20"/>
      <c r="T72" s="58"/>
      <c r="U72" s="58"/>
    </row>
    <row r="73" spans="1:21">
      <c r="B73" s="64"/>
      <c r="C73" s="20"/>
      <c r="D73" s="20"/>
      <c r="E73" s="20"/>
      <c r="F73" s="64"/>
      <c r="H73" s="64"/>
      <c r="K73" s="20"/>
      <c r="L73" s="20"/>
      <c r="M73" s="20"/>
      <c r="N73" s="20"/>
      <c r="O73" s="20"/>
      <c r="P73" s="20"/>
      <c r="Q73" s="11"/>
      <c r="R73" s="20"/>
      <c r="T73" s="58"/>
    </row>
    <row r="74" spans="1:21">
      <c r="B74" s="64"/>
      <c r="C74" s="20"/>
      <c r="D74" s="20"/>
      <c r="E74" s="20"/>
      <c r="F74" s="64"/>
      <c r="H74" s="64"/>
      <c r="K74" s="20"/>
      <c r="L74" s="20"/>
      <c r="M74" s="20"/>
      <c r="N74" s="20"/>
      <c r="O74" s="20"/>
      <c r="P74" s="20"/>
      <c r="Q74" s="11"/>
      <c r="R74" s="20"/>
      <c r="T74" s="58"/>
    </row>
    <row r="75" spans="1:21">
      <c r="B75" s="64"/>
      <c r="C75" s="20"/>
      <c r="D75" s="20"/>
      <c r="E75" s="20"/>
      <c r="F75" s="64"/>
      <c r="H75" s="64"/>
      <c r="K75" s="20"/>
      <c r="L75" s="20"/>
      <c r="M75" s="20"/>
      <c r="N75" s="20"/>
      <c r="O75" s="20"/>
      <c r="P75" s="20"/>
      <c r="Q75" s="11"/>
      <c r="R75" s="20"/>
    </row>
    <row r="76" spans="1:21">
      <c r="B76" s="64"/>
      <c r="C76" s="20"/>
      <c r="D76" s="20"/>
      <c r="E76" s="20"/>
      <c r="F76" s="64"/>
      <c r="H76" s="64"/>
      <c r="K76" s="20"/>
      <c r="L76" s="20"/>
      <c r="M76" s="20"/>
      <c r="N76" s="20"/>
      <c r="O76" s="20"/>
      <c r="P76" s="20"/>
      <c r="Q76" s="11"/>
      <c r="R76" s="20"/>
    </row>
    <row r="77" spans="1:21">
      <c r="B77" s="64"/>
      <c r="C77" s="20"/>
      <c r="D77" s="20"/>
      <c r="E77" s="20"/>
      <c r="F77" s="64"/>
      <c r="H77" s="64"/>
      <c r="K77" s="20"/>
      <c r="L77" s="20"/>
      <c r="M77" s="20"/>
      <c r="N77" s="20"/>
      <c r="O77" s="20"/>
      <c r="P77" s="20"/>
      <c r="Q77" s="11"/>
      <c r="R77" s="20"/>
    </row>
    <row r="78" spans="1:21">
      <c r="B78" s="64"/>
      <c r="C78" s="20"/>
      <c r="D78" s="20"/>
      <c r="E78" s="20"/>
      <c r="F78" s="64"/>
      <c r="H78" s="64"/>
      <c r="K78" s="20"/>
      <c r="L78" s="20"/>
      <c r="M78" s="20"/>
      <c r="N78" s="20"/>
      <c r="O78" s="20"/>
      <c r="P78" s="20"/>
      <c r="Q78" s="11"/>
      <c r="R78" s="20"/>
    </row>
    <row r="79" spans="1:21">
      <c r="B79" s="64"/>
      <c r="C79" s="20"/>
      <c r="D79" s="20"/>
      <c r="E79" s="20"/>
      <c r="F79" s="64"/>
      <c r="H79" s="64"/>
      <c r="K79" s="20"/>
      <c r="L79" s="20"/>
      <c r="M79" s="20"/>
      <c r="N79" s="20"/>
      <c r="O79" s="20"/>
      <c r="P79" s="20"/>
      <c r="Q79" s="11"/>
      <c r="R79" s="20"/>
    </row>
    <row r="80" spans="1:21">
      <c r="B80" s="64"/>
      <c r="C80" s="20"/>
      <c r="D80" s="20"/>
      <c r="E80" s="20"/>
      <c r="F80" s="64"/>
      <c r="H80" s="64"/>
      <c r="K80" s="20"/>
      <c r="L80" s="20"/>
      <c r="M80" s="20"/>
      <c r="N80" s="20"/>
      <c r="O80" s="20"/>
      <c r="P80" s="20"/>
      <c r="Q80" s="11"/>
      <c r="R80" s="20"/>
    </row>
    <row r="81" spans="2:18">
      <c r="B81" s="64"/>
      <c r="C81" s="20"/>
      <c r="D81" s="20"/>
      <c r="E81" s="20"/>
      <c r="F81" s="64"/>
      <c r="H81" s="64"/>
      <c r="K81" s="20"/>
      <c r="L81" s="20"/>
      <c r="M81" s="20"/>
      <c r="N81" s="20"/>
      <c r="O81" s="20"/>
      <c r="P81" s="20"/>
      <c r="Q81" s="11"/>
      <c r="R81" s="20"/>
    </row>
    <row r="82" spans="2:18">
      <c r="B82" s="64"/>
      <c r="C82" s="20"/>
      <c r="D82" s="20"/>
      <c r="E82" s="20"/>
      <c r="F82" s="64"/>
      <c r="H82" s="64"/>
      <c r="K82" s="20"/>
      <c r="L82" s="20"/>
      <c r="M82" s="20"/>
      <c r="N82" s="20"/>
      <c r="O82" s="20"/>
      <c r="P82" s="20"/>
      <c r="Q82" s="11"/>
      <c r="R82" s="20"/>
    </row>
    <row r="83" spans="2:18">
      <c r="B83" s="64"/>
      <c r="C83" s="20"/>
      <c r="D83" s="20"/>
      <c r="E83" s="20"/>
      <c r="F83" s="64"/>
      <c r="H83" s="64"/>
      <c r="K83" s="20"/>
      <c r="L83" s="20"/>
      <c r="M83" s="20"/>
      <c r="N83" s="20"/>
      <c r="O83" s="20"/>
      <c r="P83" s="20"/>
      <c r="Q83" s="11"/>
      <c r="R83" s="20"/>
    </row>
    <row r="84" spans="2:18">
      <c r="B84" s="64"/>
      <c r="C84" s="20"/>
      <c r="D84" s="20"/>
      <c r="E84" s="20"/>
      <c r="F84" s="64"/>
      <c r="H84" s="64"/>
      <c r="K84" s="20"/>
      <c r="L84" s="20"/>
      <c r="M84" s="20"/>
      <c r="N84" s="20"/>
      <c r="O84" s="20"/>
      <c r="P84" s="20"/>
      <c r="Q84" s="11"/>
      <c r="R84" s="20"/>
    </row>
    <row r="85" spans="2:18">
      <c r="B85" s="64"/>
      <c r="C85" s="20"/>
      <c r="D85" s="20"/>
      <c r="E85" s="20"/>
      <c r="F85" s="64"/>
      <c r="H85" s="64"/>
      <c r="K85" s="20"/>
      <c r="L85" s="20"/>
      <c r="M85" s="20"/>
      <c r="N85" s="20"/>
      <c r="O85" s="20"/>
      <c r="P85" s="20"/>
      <c r="Q85" s="11"/>
      <c r="R85" s="20"/>
    </row>
    <row r="86" spans="2:18">
      <c r="B86" s="64"/>
      <c r="C86" s="20"/>
      <c r="D86" s="20"/>
      <c r="E86" s="20"/>
      <c r="F86" s="64"/>
      <c r="H86" s="64"/>
      <c r="K86" s="20"/>
      <c r="L86" s="20"/>
      <c r="M86" s="20"/>
      <c r="N86" s="20"/>
      <c r="O86" s="20"/>
      <c r="P86" s="20"/>
      <c r="Q86" s="11"/>
      <c r="R86" s="20"/>
    </row>
    <row r="87" spans="2:18">
      <c r="B87" s="64"/>
      <c r="C87" s="20"/>
      <c r="D87" s="20"/>
      <c r="E87" s="20"/>
      <c r="F87" s="64"/>
      <c r="H87" s="64"/>
      <c r="K87" s="20"/>
      <c r="L87" s="20"/>
      <c r="M87" s="20"/>
      <c r="N87" s="20"/>
      <c r="O87" s="20"/>
      <c r="P87" s="20"/>
      <c r="Q87" s="11"/>
      <c r="R87" s="20"/>
    </row>
    <row r="88" spans="2:18">
      <c r="B88" s="64"/>
      <c r="C88" s="20"/>
      <c r="D88" s="20"/>
      <c r="E88" s="20"/>
      <c r="F88" s="64"/>
      <c r="H88" s="64"/>
      <c r="K88" s="20"/>
      <c r="L88" s="20"/>
      <c r="M88" s="20"/>
      <c r="N88" s="20"/>
      <c r="O88" s="20"/>
      <c r="P88" s="20"/>
      <c r="Q88" s="11"/>
      <c r="R88" s="20"/>
    </row>
    <row r="89" spans="2:18">
      <c r="B89" s="64"/>
      <c r="C89" s="20"/>
      <c r="D89" s="20"/>
      <c r="E89" s="20"/>
      <c r="F89" s="64"/>
      <c r="H89" s="64"/>
      <c r="K89" s="20"/>
      <c r="L89" s="20"/>
      <c r="M89" s="20"/>
      <c r="N89" s="20"/>
      <c r="O89" s="20"/>
      <c r="P89" s="20"/>
      <c r="Q89" s="11"/>
      <c r="R89" s="20"/>
    </row>
    <row r="90" spans="2:18">
      <c r="B90" s="64"/>
      <c r="C90" s="20"/>
      <c r="D90" s="20"/>
      <c r="E90" s="20"/>
      <c r="F90" s="64"/>
      <c r="H90" s="64"/>
      <c r="K90" s="20"/>
      <c r="L90" s="20"/>
      <c r="M90" s="20"/>
      <c r="N90" s="20"/>
      <c r="O90" s="20"/>
      <c r="P90" s="20"/>
      <c r="Q90" s="11"/>
      <c r="R90" s="20"/>
    </row>
    <row r="91" spans="2:18">
      <c r="B91" s="64"/>
      <c r="C91" s="20"/>
      <c r="D91" s="20"/>
      <c r="E91" s="20"/>
      <c r="F91" s="64"/>
      <c r="H91" s="64"/>
      <c r="K91" s="20"/>
      <c r="L91" s="20"/>
      <c r="M91" s="20"/>
      <c r="N91" s="20"/>
      <c r="O91" s="20"/>
      <c r="P91" s="20"/>
      <c r="Q91" s="11"/>
      <c r="R91" s="20"/>
    </row>
    <row r="92" spans="2:18">
      <c r="B92" s="64"/>
      <c r="C92" s="20"/>
      <c r="D92" s="20"/>
      <c r="E92" s="20"/>
      <c r="F92" s="64"/>
      <c r="H92" s="64"/>
      <c r="K92" s="20"/>
      <c r="L92" s="20"/>
      <c r="M92" s="20"/>
      <c r="N92" s="20"/>
      <c r="O92" s="20"/>
      <c r="P92" s="20"/>
      <c r="Q92" s="11"/>
      <c r="R92" s="20"/>
    </row>
    <row r="93" spans="2:18">
      <c r="B93" s="64"/>
      <c r="C93" s="20"/>
      <c r="D93" s="20"/>
      <c r="E93" s="20"/>
      <c r="F93" s="64"/>
      <c r="H93" s="64"/>
      <c r="K93" s="20"/>
      <c r="L93" s="20"/>
      <c r="M93" s="20"/>
      <c r="N93" s="20"/>
      <c r="O93" s="20"/>
      <c r="P93" s="20"/>
      <c r="Q93" s="11"/>
      <c r="R93" s="20"/>
    </row>
    <row r="94" spans="2:18">
      <c r="B94" s="64"/>
      <c r="C94" s="20"/>
      <c r="D94" s="20"/>
      <c r="E94" s="20"/>
      <c r="F94" s="64"/>
      <c r="H94" s="64"/>
      <c r="K94" s="20"/>
      <c r="L94" s="20"/>
      <c r="M94" s="20"/>
      <c r="N94" s="20"/>
      <c r="O94" s="20"/>
      <c r="P94" s="20"/>
      <c r="Q94" s="11"/>
      <c r="R94" s="20"/>
    </row>
    <row r="95" spans="2:18">
      <c r="B95" s="64"/>
      <c r="C95" s="20"/>
      <c r="D95" s="20"/>
      <c r="E95" s="20"/>
      <c r="F95" s="64"/>
      <c r="H95" s="64"/>
      <c r="K95" s="20"/>
      <c r="L95" s="20"/>
      <c r="M95" s="20"/>
      <c r="N95" s="20"/>
      <c r="O95" s="20"/>
      <c r="P95" s="20"/>
      <c r="Q95" s="11"/>
      <c r="R95" s="20"/>
    </row>
    <row r="96" spans="2:18">
      <c r="B96" s="64"/>
      <c r="C96" s="20"/>
      <c r="D96" s="20"/>
      <c r="E96" s="20"/>
      <c r="F96" s="64"/>
      <c r="H96" s="64"/>
      <c r="K96" s="20"/>
      <c r="L96" s="20"/>
      <c r="M96" s="20"/>
      <c r="N96" s="20"/>
      <c r="O96" s="20"/>
      <c r="P96" s="20"/>
      <c r="Q96" s="11"/>
      <c r="R96" s="20"/>
    </row>
    <row r="97" spans="2:18">
      <c r="B97" s="64"/>
      <c r="C97" s="20"/>
      <c r="D97" s="20"/>
      <c r="E97" s="20"/>
      <c r="F97" s="64"/>
      <c r="H97" s="64"/>
      <c r="K97" s="20"/>
      <c r="L97" s="20"/>
      <c r="M97" s="20"/>
      <c r="N97" s="20"/>
      <c r="O97" s="20"/>
      <c r="P97" s="20"/>
      <c r="Q97" s="11"/>
      <c r="R97" s="20"/>
    </row>
    <row r="98" spans="2:18">
      <c r="B98" s="64"/>
      <c r="C98" s="20"/>
      <c r="D98" s="20"/>
      <c r="E98" s="20"/>
      <c r="F98" s="64"/>
      <c r="H98" s="64"/>
      <c r="K98" s="20"/>
      <c r="L98" s="20"/>
      <c r="M98" s="20"/>
      <c r="N98" s="20"/>
      <c r="O98" s="20"/>
      <c r="P98" s="20"/>
      <c r="Q98" s="11"/>
      <c r="R98" s="20"/>
    </row>
    <row r="99" spans="2:18">
      <c r="B99" s="64"/>
      <c r="C99" s="20"/>
      <c r="D99" s="20"/>
      <c r="E99" s="20"/>
      <c r="F99" s="64"/>
      <c r="H99" s="64"/>
      <c r="K99" s="20"/>
      <c r="L99" s="20"/>
      <c r="M99" s="20"/>
      <c r="N99" s="20"/>
      <c r="O99" s="20"/>
      <c r="P99" s="20"/>
      <c r="Q99" s="11"/>
      <c r="R99" s="20"/>
    </row>
    <row r="100" spans="2:18">
      <c r="B100" s="64"/>
      <c r="C100" s="20"/>
      <c r="D100" s="20"/>
      <c r="E100" s="20"/>
      <c r="F100" s="64"/>
      <c r="H100" s="64"/>
      <c r="K100" s="20"/>
      <c r="L100" s="20"/>
      <c r="M100" s="20"/>
      <c r="N100" s="20"/>
      <c r="O100" s="20"/>
      <c r="P100" s="20"/>
      <c r="Q100" s="11"/>
      <c r="R100" s="20"/>
    </row>
    <row r="101" spans="2:18">
      <c r="B101" s="64"/>
      <c r="C101" s="20"/>
      <c r="D101" s="20"/>
      <c r="E101" s="20"/>
      <c r="F101" s="64"/>
      <c r="H101" s="64"/>
      <c r="K101" s="20"/>
      <c r="L101" s="20"/>
      <c r="M101" s="20"/>
      <c r="N101" s="20"/>
      <c r="O101" s="20"/>
      <c r="P101" s="20"/>
      <c r="Q101" s="11"/>
      <c r="R101" s="20"/>
    </row>
    <row r="102" spans="2:18">
      <c r="B102" s="64"/>
      <c r="C102" s="20"/>
      <c r="D102" s="20"/>
      <c r="E102" s="20"/>
      <c r="F102" s="64"/>
      <c r="H102" s="64"/>
      <c r="K102" s="20"/>
      <c r="L102" s="20"/>
      <c r="M102" s="20"/>
      <c r="N102" s="20"/>
      <c r="O102" s="20"/>
      <c r="P102" s="20"/>
      <c r="Q102" s="11"/>
      <c r="R102" s="20"/>
    </row>
    <row r="103" spans="2:18">
      <c r="B103" s="64"/>
      <c r="C103" s="20"/>
      <c r="D103" s="20"/>
      <c r="E103" s="20"/>
      <c r="F103" s="64"/>
      <c r="H103" s="64"/>
      <c r="K103" s="20"/>
      <c r="L103" s="20"/>
      <c r="M103" s="20"/>
      <c r="N103" s="20"/>
      <c r="O103" s="20"/>
      <c r="P103" s="20"/>
      <c r="Q103" s="11"/>
      <c r="R103" s="20"/>
    </row>
    <row r="104" spans="2:18">
      <c r="B104" s="64"/>
      <c r="C104" s="20"/>
      <c r="D104" s="20"/>
      <c r="E104" s="20"/>
      <c r="F104" s="64"/>
      <c r="H104" s="64"/>
      <c r="K104" s="20"/>
      <c r="L104" s="20"/>
      <c r="M104" s="20"/>
      <c r="N104" s="20"/>
      <c r="O104" s="20"/>
      <c r="P104" s="20"/>
      <c r="Q104" s="11"/>
      <c r="R104" s="20"/>
    </row>
    <row r="105" spans="2:18">
      <c r="B105" s="64"/>
      <c r="C105" s="20"/>
      <c r="D105" s="20"/>
      <c r="E105" s="20"/>
      <c r="F105" s="64"/>
      <c r="H105" s="64"/>
      <c r="K105" s="20"/>
      <c r="L105" s="20"/>
      <c r="M105" s="20"/>
      <c r="N105" s="20"/>
      <c r="O105" s="20"/>
      <c r="P105" s="20"/>
      <c r="Q105" s="11"/>
      <c r="R105" s="20"/>
    </row>
    <row r="106" spans="2:18">
      <c r="B106" s="64"/>
      <c r="C106" s="20"/>
      <c r="D106" s="20"/>
      <c r="E106" s="20"/>
      <c r="F106" s="64"/>
      <c r="H106" s="64"/>
      <c r="K106" s="20"/>
      <c r="L106" s="20"/>
      <c r="M106" s="20"/>
      <c r="N106" s="20"/>
      <c r="O106" s="20"/>
      <c r="P106" s="20"/>
      <c r="Q106" s="11"/>
      <c r="R106" s="20"/>
    </row>
    <row r="107" spans="2:18">
      <c r="B107" s="64"/>
      <c r="C107" s="20"/>
      <c r="D107" s="20"/>
      <c r="E107" s="20"/>
      <c r="F107" s="64"/>
      <c r="H107" s="64"/>
      <c r="K107" s="20"/>
      <c r="L107" s="20"/>
      <c r="M107" s="20"/>
      <c r="N107" s="20"/>
      <c r="O107" s="20"/>
      <c r="P107" s="20"/>
      <c r="Q107" s="11"/>
      <c r="R107" s="20"/>
    </row>
    <row r="108" spans="2:18">
      <c r="B108" s="64"/>
      <c r="C108" s="20"/>
      <c r="D108" s="20"/>
      <c r="E108" s="20"/>
      <c r="F108" s="64"/>
      <c r="H108" s="64"/>
      <c r="K108" s="20"/>
      <c r="L108" s="20"/>
      <c r="M108" s="20"/>
      <c r="N108" s="20"/>
      <c r="O108" s="20"/>
      <c r="P108" s="20"/>
      <c r="Q108" s="11"/>
      <c r="R108" s="20"/>
    </row>
    <row r="109" spans="2:18">
      <c r="B109" s="64"/>
      <c r="C109" s="20"/>
      <c r="D109" s="20"/>
      <c r="E109" s="20"/>
      <c r="F109" s="64"/>
      <c r="H109" s="64"/>
      <c r="K109" s="20"/>
      <c r="L109" s="20"/>
      <c r="M109" s="20"/>
      <c r="N109" s="20"/>
      <c r="O109" s="20"/>
      <c r="P109" s="20"/>
      <c r="Q109" s="11"/>
      <c r="R109" s="20"/>
    </row>
    <row r="110" spans="2:18">
      <c r="B110" s="64"/>
      <c r="C110" s="20"/>
      <c r="D110" s="20"/>
      <c r="E110" s="20"/>
      <c r="F110" s="64"/>
      <c r="H110" s="64"/>
      <c r="K110" s="20"/>
      <c r="L110" s="20"/>
      <c r="M110" s="20"/>
      <c r="N110" s="20"/>
      <c r="O110" s="20"/>
      <c r="P110" s="20"/>
      <c r="Q110" s="11"/>
      <c r="R110" s="20"/>
    </row>
    <row r="111" spans="2:18">
      <c r="B111" s="64"/>
      <c r="C111" s="20"/>
      <c r="D111" s="20"/>
      <c r="E111" s="20"/>
      <c r="F111" s="64"/>
      <c r="H111" s="64"/>
      <c r="K111" s="20"/>
      <c r="L111" s="20"/>
      <c r="M111" s="20"/>
      <c r="N111" s="20"/>
      <c r="O111" s="20"/>
      <c r="P111" s="20"/>
      <c r="Q111" s="11"/>
      <c r="R111" s="20"/>
    </row>
    <row r="112" spans="2:18">
      <c r="B112" s="64"/>
      <c r="C112" s="20"/>
      <c r="D112" s="20"/>
      <c r="E112" s="20"/>
      <c r="F112" s="64"/>
      <c r="H112" s="64"/>
      <c r="K112" s="20"/>
      <c r="L112" s="20"/>
      <c r="M112" s="20"/>
      <c r="N112" s="20"/>
      <c r="O112" s="20"/>
      <c r="P112" s="20"/>
      <c r="Q112" s="11"/>
      <c r="R112" s="20"/>
    </row>
    <row r="113" spans="1:18">
      <c r="B113" s="64"/>
      <c r="C113" s="20"/>
      <c r="D113" s="20"/>
      <c r="E113" s="20"/>
      <c r="F113" s="64"/>
      <c r="H113" s="64"/>
      <c r="K113" s="20"/>
      <c r="L113" s="20"/>
      <c r="M113" s="20"/>
      <c r="N113" s="20"/>
      <c r="O113" s="20"/>
      <c r="P113" s="20"/>
      <c r="Q113" s="11"/>
      <c r="R113" s="20"/>
    </row>
    <row r="114" spans="1:18">
      <c r="B114" s="64"/>
      <c r="C114" s="20"/>
      <c r="D114" s="20"/>
      <c r="E114" s="20"/>
      <c r="F114" s="64"/>
      <c r="H114" s="64"/>
      <c r="K114" s="20"/>
      <c r="L114" s="20"/>
      <c r="M114" s="20"/>
      <c r="N114" s="20"/>
      <c r="O114" s="20"/>
      <c r="P114" s="20"/>
      <c r="Q114" s="11"/>
      <c r="R114" s="20"/>
    </row>
    <row r="115" spans="1:18">
      <c r="B115" s="64"/>
      <c r="C115" s="20"/>
      <c r="D115" s="20"/>
      <c r="E115" s="20"/>
      <c r="F115" s="64"/>
      <c r="H115" s="64"/>
      <c r="K115" s="20"/>
      <c r="L115" s="20"/>
      <c r="M115" s="20"/>
      <c r="N115" s="20"/>
      <c r="O115" s="20"/>
      <c r="P115" s="20"/>
      <c r="Q115" s="11"/>
      <c r="R115" s="20"/>
    </row>
    <row r="116" spans="1:18">
      <c r="B116" s="64"/>
      <c r="C116" s="20"/>
      <c r="D116" s="20"/>
      <c r="E116" s="20"/>
      <c r="F116" s="64"/>
      <c r="H116" s="64"/>
      <c r="K116" s="20"/>
      <c r="L116" s="20"/>
      <c r="M116" s="20"/>
      <c r="N116" s="20"/>
      <c r="O116" s="20"/>
      <c r="P116" s="20"/>
      <c r="Q116" s="11"/>
      <c r="R116" s="20"/>
    </row>
    <row r="117" spans="1:18">
      <c r="B117" s="64"/>
      <c r="C117" s="20"/>
      <c r="D117" s="20"/>
      <c r="E117" s="20"/>
      <c r="F117" s="64"/>
      <c r="H117" s="64"/>
      <c r="K117" s="20"/>
      <c r="L117" s="20"/>
      <c r="M117" s="20"/>
      <c r="N117" s="20"/>
      <c r="O117" s="20"/>
      <c r="P117" s="20"/>
      <c r="Q117" s="11"/>
      <c r="R117" s="20"/>
    </row>
    <row r="118" spans="1:18">
      <c r="B118" s="64"/>
      <c r="C118" s="20"/>
      <c r="D118" s="20"/>
      <c r="E118" s="20"/>
      <c r="F118" s="64"/>
      <c r="H118" s="64"/>
      <c r="K118" s="20"/>
      <c r="L118" s="20"/>
      <c r="M118" s="20"/>
      <c r="N118" s="20"/>
      <c r="O118" s="20"/>
      <c r="P118" s="20"/>
      <c r="Q118" s="11"/>
      <c r="R118" s="20"/>
    </row>
    <row r="119" spans="1:18">
      <c r="B119" s="64"/>
      <c r="C119" s="20"/>
      <c r="D119" s="20"/>
      <c r="E119" s="20"/>
      <c r="F119" s="64"/>
      <c r="H119" s="64"/>
      <c r="K119" s="20"/>
      <c r="L119" s="20"/>
      <c r="M119" s="20"/>
      <c r="N119" s="20"/>
      <c r="O119" s="20"/>
      <c r="P119" s="20"/>
      <c r="Q119" s="11"/>
      <c r="R119" s="20"/>
    </row>
    <row r="120" spans="1:18">
      <c r="B120" s="64"/>
      <c r="C120" s="20"/>
      <c r="D120" s="20"/>
      <c r="E120" s="20"/>
      <c r="F120" s="64"/>
      <c r="H120" s="64"/>
      <c r="K120" s="20"/>
      <c r="L120" s="20"/>
      <c r="M120" s="20"/>
      <c r="N120" s="20"/>
      <c r="O120" s="20"/>
      <c r="P120" s="20"/>
      <c r="Q120" s="11"/>
      <c r="R120" s="20"/>
    </row>
    <row r="121" spans="1:18">
      <c r="B121" s="64"/>
      <c r="C121" s="20"/>
      <c r="D121" s="20"/>
      <c r="E121" s="20"/>
      <c r="F121" s="64"/>
      <c r="H121" s="64"/>
      <c r="K121" s="20"/>
      <c r="L121" s="20"/>
      <c r="M121" s="20"/>
      <c r="N121" s="20"/>
      <c r="O121" s="20"/>
      <c r="P121" s="20"/>
      <c r="Q121" s="11"/>
      <c r="R121" s="20"/>
    </row>
    <row r="122" spans="1:18">
      <c r="B122" s="64"/>
      <c r="C122" s="20"/>
      <c r="D122" s="20"/>
      <c r="E122" s="20"/>
      <c r="F122" s="64"/>
      <c r="H122" s="64"/>
      <c r="K122" s="20"/>
      <c r="L122" s="20"/>
      <c r="M122" s="20"/>
      <c r="N122" s="20"/>
      <c r="O122" s="20"/>
      <c r="P122" s="20"/>
      <c r="Q122" s="11"/>
      <c r="R122" s="20"/>
    </row>
    <row r="123" spans="1:18">
      <c r="B123" s="64"/>
      <c r="C123" s="20"/>
      <c r="D123" s="20"/>
      <c r="E123" s="20"/>
      <c r="F123" s="64"/>
      <c r="H123" s="64"/>
      <c r="K123" s="20"/>
      <c r="L123" s="20"/>
      <c r="M123" s="20"/>
      <c r="N123" s="20"/>
      <c r="O123" s="20"/>
      <c r="P123" s="20"/>
      <c r="Q123" s="11"/>
      <c r="R123" s="20"/>
    </row>
    <row r="124" spans="1:18">
      <c r="A124" s="20"/>
      <c r="B124" s="64"/>
      <c r="C124" s="20"/>
      <c r="D124" s="20"/>
      <c r="E124" s="20"/>
      <c r="F124" s="64"/>
      <c r="H124" s="64"/>
      <c r="K124" s="20"/>
      <c r="L124" s="20"/>
      <c r="M124" s="20"/>
      <c r="N124" s="20"/>
      <c r="O124" s="20"/>
      <c r="P124" s="20"/>
      <c r="Q124" s="11"/>
      <c r="R124" s="20"/>
    </row>
    <row r="125" spans="1:18">
      <c r="A125" s="20"/>
      <c r="B125" s="64"/>
      <c r="C125" s="20"/>
      <c r="D125" s="20"/>
      <c r="E125" s="20"/>
      <c r="F125" s="64"/>
      <c r="H125" s="64"/>
      <c r="K125" s="20"/>
      <c r="L125" s="20"/>
      <c r="M125" s="20"/>
      <c r="N125" s="20"/>
      <c r="O125" s="20"/>
      <c r="P125" s="20"/>
      <c r="Q125" s="11"/>
      <c r="R125" s="20"/>
    </row>
    <row r="126" spans="1:18">
      <c r="A126" s="20"/>
      <c r="B126" s="64"/>
      <c r="C126" s="20"/>
      <c r="D126" s="20"/>
      <c r="E126" s="20"/>
      <c r="F126" s="64"/>
      <c r="H126" s="64"/>
      <c r="K126" s="20"/>
      <c r="L126" s="20"/>
      <c r="M126" s="20"/>
      <c r="N126" s="20"/>
      <c r="O126" s="20"/>
      <c r="P126" s="20"/>
      <c r="Q126" s="11"/>
      <c r="R126" s="20"/>
    </row>
    <row r="127" spans="1:18">
      <c r="A127" s="20"/>
      <c r="B127" s="64"/>
      <c r="C127" s="20"/>
      <c r="D127" s="20"/>
      <c r="E127" s="20"/>
      <c r="F127" s="64"/>
      <c r="H127" s="64"/>
      <c r="K127" s="20"/>
      <c r="L127" s="20"/>
      <c r="M127" s="20"/>
      <c r="N127" s="20"/>
      <c r="O127" s="20"/>
      <c r="P127" s="20"/>
      <c r="Q127" s="11"/>
      <c r="R127" s="20"/>
    </row>
    <row r="128" spans="1:18">
      <c r="A128" s="20"/>
      <c r="B128" s="64"/>
      <c r="C128" s="20"/>
      <c r="D128" s="20"/>
      <c r="E128" s="20"/>
      <c r="F128" s="64"/>
      <c r="H128" s="64"/>
      <c r="K128" s="20"/>
      <c r="L128" s="20"/>
      <c r="M128" s="20"/>
      <c r="N128" s="20"/>
      <c r="O128" s="20"/>
      <c r="P128" s="20"/>
      <c r="Q128" s="11"/>
      <c r="R128" s="20"/>
    </row>
    <row r="129" spans="1:18">
      <c r="A129" s="20"/>
      <c r="B129" s="64"/>
      <c r="C129" s="20"/>
      <c r="D129" s="20"/>
      <c r="E129" s="20"/>
      <c r="F129" s="64"/>
      <c r="H129" s="64"/>
      <c r="K129" s="20"/>
      <c r="L129" s="20"/>
      <c r="M129" s="20"/>
      <c r="N129" s="20"/>
      <c r="O129" s="20"/>
      <c r="P129" s="20"/>
      <c r="Q129" s="11"/>
      <c r="R129" s="20"/>
    </row>
    <row r="130" spans="1:18">
      <c r="A130" s="20"/>
      <c r="B130" s="64"/>
      <c r="C130" s="20"/>
      <c r="D130" s="20"/>
      <c r="E130" s="20"/>
      <c r="F130" s="64"/>
      <c r="H130" s="64"/>
      <c r="K130" s="20"/>
      <c r="L130" s="20"/>
      <c r="M130" s="20"/>
      <c r="N130" s="20"/>
      <c r="O130" s="20"/>
      <c r="P130" s="20"/>
      <c r="Q130" s="11"/>
      <c r="R130" s="20"/>
    </row>
    <row r="131" spans="1:18">
      <c r="A131" s="20"/>
      <c r="B131" s="64"/>
      <c r="C131" s="20"/>
      <c r="D131" s="20"/>
      <c r="E131" s="20"/>
      <c r="F131" s="64"/>
      <c r="H131" s="64"/>
      <c r="K131" s="20"/>
      <c r="L131" s="20"/>
      <c r="M131" s="20"/>
      <c r="N131" s="20"/>
      <c r="O131" s="20"/>
      <c r="P131" s="20"/>
      <c r="Q131" s="11"/>
      <c r="R131" s="20"/>
    </row>
    <row r="132" spans="1:18">
      <c r="A132" s="20"/>
      <c r="B132" s="64"/>
      <c r="C132" s="20"/>
      <c r="D132" s="20"/>
      <c r="E132" s="20"/>
      <c r="F132" s="64"/>
      <c r="H132" s="64"/>
      <c r="K132" s="20"/>
      <c r="L132" s="20"/>
      <c r="M132" s="20"/>
      <c r="N132" s="20"/>
      <c r="O132" s="20"/>
      <c r="P132" s="20"/>
      <c r="Q132" s="11"/>
      <c r="R132" s="20"/>
    </row>
    <row r="133" spans="1:18">
      <c r="A133" s="20"/>
      <c r="B133" s="64"/>
      <c r="C133" s="20"/>
      <c r="D133" s="20"/>
      <c r="E133" s="20"/>
      <c r="F133" s="64"/>
      <c r="H133" s="64"/>
      <c r="K133" s="20"/>
      <c r="L133" s="20"/>
      <c r="M133" s="20"/>
      <c r="N133" s="20"/>
      <c r="O133" s="20"/>
      <c r="P133" s="20"/>
      <c r="Q133" s="11"/>
      <c r="R133" s="20"/>
    </row>
    <row r="134" spans="1:18">
      <c r="A134" s="20"/>
      <c r="B134" s="64"/>
      <c r="C134" s="20"/>
      <c r="D134" s="20"/>
      <c r="E134" s="20"/>
      <c r="F134" s="64"/>
      <c r="H134" s="64"/>
      <c r="K134" s="20"/>
      <c r="L134" s="20"/>
      <c r="M134" s="20"/>
      <c r="N134" s="20"/>
      <c r="O134" s="20"/>
      <c r="P134" s="20"/>
      <c r="Q134" s="11"/>
      <c r="R134" s="20"/>
    </row>
    <row r="135" spans="1:18">
      <c r="A135" s="20"/>
      <c r="B135" s="64"/>
      <c r="C135" s="20"/>
      <c r="D135" s="20"/>
      <c r="E135" s="20"/>
      <c r="F135" s="64"/>
      <c r="H135" s="64"/>
      <c r="K135" s="20"/>
      <c r="L135" s="20"/>
      <c r="M135" s="20"/>
      <c r="N135" s="20"/>
      <c r="O135" s="20"/>
      <c r="P135" s="20"/>
      <c r="Q135" s="11"/>
      <c r="R135" s="20"/>
    </row>
    <row r="136" spans="1:18">
      <c r="A136" s="20"/>
      <c r="B136" s="64"/>
      <c r="C136" s="20"/>
      <c r="D136" s="20"/>
      <c r="E136" s="20"/>
      <c r="F136" s="64"/>
      <c r="H136" s="64"/>
      <c r="K136" s="20"/>
      <c r="L136" s="20"/>
      <c r="M136" s="20"/>
      <c r="N136" s="20"/>
      <c r="O136" s="20"/>
      <c r="P136" s="20"/>
      <c r="Q136" s="11"/>
      <c r="R136" s="20"/>
    </row>
    <row r="137" spans="1:18">
      <c r="A137" s="20"/>
      <c r="B137" s="64"/>
      <c r="C137" s="20"/>
      <c r="D137" s="20"/>
      <c r="E137" s="20"/>
      <c r="F137" s="64"/>
      <c r="H137" s="64"/>
      <c r="K137" s="20"/>
      <c r="L137" s="20"/>
      <c r="M137" s="20"/>
      <c r="N137" s="20"/>
      <c r="O137" s="20"/>
      <c r="P137" s="20"/>
      <c r="Q137" s="11"/>
      <c r="R137" s="20"/>
    </row>
    <row r="138" spans="1:18">
      <c r="A138" s="20"/>
      <c r="B138" s="64"/>
      <c r="C138" s="20"/>
      <c r="D138" s="20"/>
      <c r="E138" s="20"/>
      <c r="F138" s="64"/>
      <c r="H138" s="64"/>
      <c r="K138" s="20"/>
      <c r="L138" s="20"/>
      <c r="M138" s="20"/>
      <c r="N138" s="20"/>
      <c r="O138" s="20"/>
      <c r="P138" s="20"/>
      <c r="Q138" s="11"/>
      <c r="R138" s="20"/>
    </row>
    <row r="139" spans="1:18">
      <c r="A139" s="20"/>
      <c r="B139" s="64"/>
      <c r="C139" s="20"/>
      <c r="D139" s="20"/>
      <c r="E139" s="20"/>
      <c r="F139" s="64"/>
      <c r="H139" s="64"/>
      <c r="K139" s="20"/>
      <c r="L139" s="20"/>
      <c r="M139" s="20"/>
      <c r="N139" s="20"/>
      <c r="O139" s="20"/>
      <c r="P139" s="20"/>
      <c r="Q139" s="11"/>
      <c r="R139" s="20"/>
    </row>
    <row r="140" spans="1:18">
      <c r="A140" s="20"/>
      <c r="B140" s="64"/>
      <c r="C140" s="20"/>
      <c r="D140" s="20"/>
      <c r="E140" s="20"/>
      <c r="F140" s="64"/>
      <c r="H140" s="64"/>
      <c r="K140" s="20"/>
      <c r="L140" s="20"/>
      <c r="M140" s="20"/>
      <c r="N140" s="20"/>
      <c r="O140" s="20"/>
      <c r="P140" s="20"/>
      <c r="Q140" s="11"/>
      <c r="R140" s="20"/>
    </row>
    <row r="141" spans="1:18">
      <c r="A141" s="20"/>
      <c r="B141" s="64"/>
      <c r="C141" s="20"/>
      <c r="D141" s="20"/>
      <c r="E141" s="20"/>
      <c r="F141" s="64"/>
      <c r="H141" s="64"/>
      <c r="K141" s="20"/>
      <c r="L141" s="20"/>
      <c r="M141" s="20"/>
      <c r="N141" s="20"/>
      <c r="O141" s="20"/>
      <c r="P141" s="20"/>
      <c r="Q141" s="11"/>
      <c r="R141" s="20"/>
    </row>
    <row r="142" spans="1:18">
      <c r="A142" s="20"/>
      <c r="B142" s="64"/>
      <c r="C142" s="20"/>
      <c r="D142" s="20"/>
      <c r="E142" s="20"/>
      <c r="F142" s="64"/>
      <c r="H142" s="64"/>
      <c r="K142" s="20"/>
      <c r="L142" s="20"/>
      <c r="M142" s="20"/>
      <c r="N142" s="20"/>
      <c r="O142" s="20"/>
      <c r="P142" s="20"/>
      <c r="Q142" s="11"/>
      <c r="R142" s="20"/>
    </row>
    <row r="143" spans="1:18">
      <c r="A143" s="20"/>
      <c r="B143" s="64"/>
      <c r="C143" s="20"/>
      <c r="D143" s="20"/>
      <c r="E143" s="20"/>
      <c r="F143" s="64"/>
      <c r="H143" s="64"/>
      <c r="K143" s="20"/>
      <c r="L143" s="20"/>
      <c r="M143" s="20"/>
      <c r="N143" s="20"/>
      <c r="O143" s="20"/>
      <c r="P143" s="20"/>
      <c r="Q143" s="11"/>
      <c r="R143" s="20"/>
    </row>
    <row r="144" spans="1:18">
      <c r="A144" s="20"/>
      <c r="B144" s="64"/>
      <c r="C144" s="20"/>
      <c r="D144" s="20"/>
      <c r="E144" s="20"/>
      <c r="F144" s="64"/>
      <c r="H144" s="64"/>
      <c r="K144" s="20"/>
      <c r="L144" s="20"/>
      <c r="M144" s="20"/>
      <c r="N144" s="20"/>
      <c r="O144" s="20"/>
      <c r="P144" s="20"/>
      <c r="Q144" s="11"/>
      <c r="R144" s="20"/>
    </row>
    <row r="145" spans="1:18">
      <c r="A145" s="20"/>
      <c r="B145" s="64"/>
      <c r="C145" s="20"/>
      <c r="D145" s="20"/>
      <c r="E145" s="20"/>
      <c r="F145" s="64"/>
      <c r="H145" s="64"/>
      <c r="K145" s="20"/>
      <c r="L145" s="20"/>
      <c r="M145" s="20"/>
      <c r="N145" s="20"/>
      <c r="O145" s="20"/>
      <c r="P145" s="20"/>
      <c r="Q145" s="11"/>
      <c r="R145" s="20"/>
    </row>
    <row r="146" spans="1:18">
      <c r="A146" s="20"/>
      <c r="B146" s="64"/>
      <c r="C146" s="20"/>
      <c r="D146" s="20"/>
      <c r="E146" s="20"/>
      <c r="F146" s="64"/>
      <c r="H146" s="64"/>
      <c r="K146" s="20"/>
      <c r="L146" s="20"/>
      <c r="M146" s="20"/>
      <c r="N146" s="20"/>
      <c r="O146" s="20"/>
      <c r="P146" s="20"/>
      <c r="Q146" s="11"/>
      <c r="R146" s="20"/>
    </row>
    <row r="147" spans="1:18">
      <c r="A147" s="20"/>
      <c r="B147" s="64"/>
      <c r="C147" s="20"/>
      <c r="D147" s="20"/>
      <c r="E147" s="20"/>
      <c r="F147" s="64"/>
      <c r="H147" s="64"/>
      <c r="K147" s="20"/>
      <c r="L147" s="20"/>
      <c r="M147" s="20"/>
      <c r="N147" s="20"/>
      <c r="O147" s="20"/>
      <c r="P147" s="20"/>
      <c r="Q147" s="11"/>
      <c r="R147" s="20"/>
    </row>
    <row r="148" spans="1:18">
      <c r="A148" s="20"/>
      <c r="B148" s="64"/>
      <c r="C148" s="20"/>
      <c r="D148" s="20"/>
      <c r="E148" s="20"/>
      <c r="F148" s="64"/>
      <c r="H148" s="64"/>
      <c r="K148" s="20"/>
      <c r="L148" s="20"/>
      <c r="M148" s="20"/>
      <c r="N148" s="20"/>
      <c r="O148" s="20"/>
      <c r="P148" s="20"/>
      <c r="Q148" s="11"/>
      <c r="R148" s="20"/>
    </row>
    <row r="149" spans="1:18">
      <c r="A149" s="20"/>
      <c r="B149" s="64"/>
      <c r="C149" s="20"/>
      <c r="D149" s="20"/>
      <c r="E149" s="20"/>
      <c r="F149" s="64"/>
      <c r="H149" s="64"/>
      <c r="K149" s="20"/>
      <c r="L149" s="20"/>
      <c r="M149" s="20"/>
      <c r="N149" s="20"/>
      <c r="O149" s="20"/>
      <c r="P149" s="20"/>
      <c r="Q149" s="11"/>
      <c r="R149" s="20"/>
    </row>
    <row r="150" spans="1:18">
      <c r="A150" s="20"/>
      <c r="B150" s="64"/>
      <c r="C150" s="20"/>
      <c r="D150" s="20"/>
      <c r="E150" s="20"/>
      <c r="F150" s="64"/>
      <c r="H150" s="64"/>
      <c r="K150" s="20"/>
      <c r="L150" s="20"/>
      <c r="M150" s="20"/>
      <c r="N150" s="20"/>
      <c r="O150" s="20"/>
      <c r="P150" s="20"/>
      <c r="Q150" s="11"/>
      <c r="R150" s="20"/>
    </row>
    <row r="151" spans="1:18">
      <c r="A151" s="20"/>
      <c r="B151" s="64"/>
      <c r="C151" s="20"/>
      <c r="D151" s="20"/>
      <c r="E151" s="20"/>
      <c r="F151" s="64"/>
      <c r="H151" s="64"/>
      <c r="K151" s="20"/>
      <c r="L151" s="20"/>
      <c r="M151" s="20"/>
      <c r="N151" s="20"/>
      <c r="O151" s="20"/>
      <c r="P151" s="20"/>
      <c r="Q151" s="11"/>
      <c r="R151" s="20"/>
    </row>
    <row r="152" spans="1:18">
      <c r="A152" s="20"/>
      <c r="B152" s="64"/>
      <c r="C152" s="20"/>
      <c r="D152" s="20"/>
      <c r="E152" s="20"/>
      <c r="F152" s="64"/>
      <c r="H152" s="64"/>
      <c r="K152" s="20"/>
      <c r="L152" s="20"/>
      <c r="M152" s="20"/>
      <c r="N152" s="20"/>
      <c r="O152" s="20"/>
      <c r="P152" s="20"/>
      <c r="Q152" s="11"/>
      <c r="R152" s="20"/>
    </row>
    <row r="153" spans="1:18">
      <c r="A153" s="20"/>
      <c r="B153" s="64"/>
      <c r="C153" s="20"/>
      <c r="D153" s="20"/>
      <c r="E153" s="20"/>
      <c r="F153" s="64"/>
      <c r="H153" s="64"/>
      <c r="K153" s="20"/>
      <c r="L153" s="20"/>
      <c r="M153" s="20"/>
      <c r="N153" s="20"/>
      <c r="O153" s="20"/>
      <c r="P153" s="20"/>
      <c r="Q153" s="11"/>
      <c r="R153" s="20"/>
    </row>
    <row r="154" spans="1:18">
      <c r="A154" s="20"/>
      <c r="B154" s="64"/>
      <c r="C154" s="20"/>
      <c r="D154" s="20"/>
      <c r="E154" s="20"/>
      <c r="F154" s="64"/>
      <c r="H154" s="64"/>
      <c r="K154" s="20"/>
      <c r="L154" s="20"/>
      <c r="M154" s="20"/>
      <c r="N154" s="20"/>
      <c r="O154" s="20"/>
      <c r="P154" s="20"/>
      <c r="Q154" s="11"/>
      <c r="R154" s="20"/>
    </row>
    <row r="155" spans="1:18">
      <c r="A155" s="20"/>
      <c r="B155" s="64"/>
      <c r="C155" s="20"/>
      <c r="D155" s="20"/>
      <c r="E155" s="20"/>
      <c r="F155" s="64"/>
      <c r="H155" s="64"/>
      <c r="K155" s="20"/>
      <c r="L155" s="20"/>
      <c r="M155" s="20"/>
      <c r="N155" s="20"/>
      <c r="O155" s="20"/>
      <c r="P155" s="20"/>
      <c r="Q155" s="11"/>
      <c r="R155" s="20"/>
    </row>
    <row r="156" spans="1:18">
      <c r="A156" s="20"/>
      <c r="B156" s="64"/>
      <c r="C156" s="20"/>
      <c r="D156" s="20"/>
      <c r="E156" s="20"/>
      <c r="F156" s="64"/>
      <c r="H156" s="64"/>
      <c r="K156" s="20"/>
      <c r="L156" s="20"/>
      <c r="M156" s="20"/>
      <c r="N156" s="20"/>
      <c r="O156" s="20"/>
      <c r="P156" s="20"/>
      <c r="Q156" s="11"/>
      <c r="R156" s="20"/>
    </row>
    <row r="157" spans="1:18">
      <c r="A157" s="20"/>
      <c r="B157" s="64"/>
      <c r="C157" s="20"/>
      <c r="D157" s="20"/>
      <c r="E157" s="20"/>
      <c r="F157" s="64"/>
      <c r="H157" s="64"/>
      <c r="K157" s="20"/>
      <c r="L157" s="20"/>
      <c r="M157" s="20"/>
      <c r="N157" s="20"/>
      <c r="O157" s="20"/>
      <c r="P157" s="20"/>
      <c r="Q157" s="11"/>
      <c r="R157" s="20"/>
    </row>
    <row r="158" spans="1:18">
      <c r="A158" s="20"/>
      <c r="B158" s="64"/>
      <c r="C158" s="20"/>
      <c r="D158" s="20"/>
      <c r="E158" s="20"/>
      <c r="F158" s="64"/>
      <c r="H158" s="64"/>
      <c r="K158" s="20"/>
      <c r="L158" s="20"/>
      <c r="M158" s="20"/>
      <c r="N158" s="20"/>
      <c r="O158" s="20"/>
      <c r="P158" s="20"/>
      <c r="Q158" s="11"/>
      <c r="R158" s="20"/>
    </row>
    <row r="159" spans="1:18">
      <c r="A159" s="20"/>
      <c r="B159" s="64"/>
      <c r="C159" s="20"/>
      <c r="D159" s="20"/>
      <c r="E159" s="20"/>
      <c r="F159" s="64"/>
      <c r="H159" s="64"/>
      <c r="K159" s="20"/>
      <c r="L159" s="20"/>
      <c r="M159" s="20"/>
      <c r="N159" s="20"/>
      <c r="O159" s="20"/>
      <c r="P159" s="20"/>
      <c r="Q159" s="11"/>
      <c r="R159" s="20"/>
    </row>
    <row r="160" spans="1:18">
      <c r="A160" s="20"/>
      <c r="B160" s="64"/>
      <c r="C160" s="20"/>
      <c r="D160" s="20"/>
      <c r="E160" s="20"/>
      <c r="F160" s="64"/>
      <c r="H160" s="64"/>
      <c r="K160" s="20"/>
      <c r="L160" s="20"/>
      <c r="M160" s="20"/>
      <c r="N160" s="20"/>
      <c r="O160" s="20"/>
      <c r="P160" s="20"/>
      <c r="Q160" s="11"/>
      <c r="R160" s="20"/>
    </row>
    <row r="161" spans="1:18">
      <c r="A161" s="20"/>
      <c r="B161" s="64"/>
      <c r="C161" s="20"/>
      <c r="D161" s="20"/>
      <c r="E161" s="20"/>
      <c r="F161" s="64"/>
      <c r="H161" s="64"/>
      <c r="K161" s="20"/>
      <c r="L161" s="20"/>
      <c r="M161" s="20"/>
      <c r="N161" s="20"/>
      <c r="O161" s="20"/>
      <c r="P161" s="20"/>
      <c r="Q161" s="11"/>
      <c r="R161" s="20"/>
    </row>
    <row r="162" spans="1:18">
      <c r="A162" s="20"/>
      <c r="B162" s="64"/>
      <c r="C162" s="20"/>
      <c r="D162" s="20"/>
      <c r="E162" s="20"/>
      <c r="F162" s="64"/>
      <c r="H162" s="64"/>
      <c r="K162" s="20"/>
      <c r="L162" s="20"/>
      <c r="M162" s="20"/>
      <c r="N162" s="20"/>
      <c r="O162" s="20"/>
      <c r="P162" s="20"/>
      <c r="Q162" s="11"/>
      <c r="R162" s="20"/>
    </row>
    <row r="163" spans="1:18">
      <c r="A163" s="20"/>
      <c r="B163" s="64"/>
      <c r="C163" s="20"/>
      <c r="D163" s="20"/>
      <c r="E163" s="20"/>
      <c r="F163" s="64"/>
      <c r="H163" s="64"/>
      <c r="K163" s="20"/>
      <c r="L163" s="20"/>
      <c r="M163" s="20"/>
      <c r="N163" s="20"/>
      <c r="O163" s="20"/>
      <c r="P163" s="20"/>
      <c r="Q163" s="11"/>
      <c r="R163" s="20"/>
    </row>
    <row r="164" spans="1:18">
      <c r="A164" s="20"/>
      <c r="B164" s="64"/>
      <c r="C164" s="20"/>
      <c r="D164" s="20"/>
      <c r="E164" s="20"/>
      <c r="F164" s="64"/>
      <c r="H164" s="64"/>
      <c r="K164" s="20"/>
      <c r="L164" s="20"/>
      <c r="M164" s="20"/>
      <c r="N164" s="20"/>
      <c r="O164" s="20"/>
      <c r="P164" s="20"/>
      <c r="Q164" s="11"/>
      <c r="R164" s="20"/>
    </row>
    <row r="165" spans="1:18">
      <c r="A165" s="20"/>
      <c r="B165" s="64"/>
      <c r="C165" s="20"/>
      <c r="D165" s="20"/>
      <c r="E165" s="20"/>
      <c r="F165" s="64"/>
      <c r="H165" s="64"/>
      <c r="K165" s="20"/>
      <c r="L165" s="20"/>
      <c r="M165" s="20"/>
      <c r="N165" s="20"/>
      <c r="O165" s="20"/>
      <c r="P165" s="20"/>
      <c r="Q165" s="11"/>
      <c r="R165" s="20"/>
    </row>
    <row r="166" spans="1:18">
      <c r="A166" s="20"/>
      <c r="B166" s="64"/>
      <c r="C166" s="20"/>
      <c r="D166" s="20"/>
      <c r="E166" s="20"/>
      <c r="F166" s="64"/>
      <c r="H166" s="64"/>
      <c r="K166" s="20"/>
      <c r="L166" s="20"/>
      <c r="M166" s="20"/>
      <c r="N166" s="20"/>
      <c r="O166" s="20"/>
      <c r="P166" s="20"/>
      <c r="Q166" s="11"/>
      <c r="R166" s="20"/>
    </row>
    <row r="167" spans="1:18">
      <c r="A167" s="20"/>
      <c r="B167" s="64"/>
      <c r="C167" s="20"/>
      <c r="D167" s="20"/>
      <c r="E167" s="20"/>
      <c r="F167" s="64"/>
      <c r="H167" s="64"/>
      <c r="K167" s="20"/>
      <c r="L167" s="20"/>
      <c r="M167" s="20"/>
      <c r="N167" s="20"/>
      <c r="O167" s="20"/>
      <c r="P167" s="20"/>
      <c r="Q167" s="11"/>
      <c r="R167" s="20"/>
    </row>
    <row r="168" spans="1:18">
      <c r="A168" s="20"/>
      <c r="B168" s="64"/>
      <c r="C168" s="20"/>
      <c r="D168" s="20"/>
      <c r="E168" s="20"/>
      <c r="F168" s="64"/>
      <c r="H168" s="64"/>
      <c r="K168" s="20"/>
      <c r="L168" s="20"/>
      <c r="M168" s="20"/>
      <c r="N168" s="20"/>
      <c r="O168" s="20"/>
      <c r="P168" s="20"/>
      <c r="Q168" s="11"/>
      <c r="R168" s="20"/>
    </row>
    <row r="169" spans="1:18">
      <c r="A169" s="20"/>
      <c r="B169" s="64"/>
      <c r="C169" s="20"/>
      <c r="D169" s="20"/>
      <c r="E169" s="20"/>
      <c r="F169" s="64"/>
      <c r="H169" s="64"/>
      <c r="K169" s="20"/>
      <c r="L169" s="20"/>
      <c r="M169" s="20"/>
      <c r="N169" s="20"/>
      <c r="O169" s="20"/>
      <c r="P169" s="20"/>
      <c r="Q169" s="11"/>
      <c r="R169" s="20"/>
    </row>
    <row r="170" spans="1:18">
      <c r="A170" s="20"/>
      <c r="B170" s="64"/>
      <c r="C170" s="20"/>
      <c r="D170" s="20"/>
      <c r="E170" s="20"/>
      <c r="F170" s="64"/>
      <c r="H170" s="64"/>
      <c r="K170" s="20"/>
      <c r="L170" s="20"/>
      <c r="M170" s="20"/>
      <c r="N170" s="20"/>
      <c r="O170" s="20"/>
      <c r="P170" s="20"/>
      <c r="Q170" s="11"/>
      <c r="R170" s="20"/>
    </row>
    <row r="171" spans="1:18">
      <c r="A171" s="20"/>
      <c r="B171" s="64"/>
      <c r="C171" s="20"/>
      <c r="D171" s="20"/>
      <c r="E171" s="20"/>
      <c r="F171" s="64"/>
      <c r="H171" s="64"/>
      <c r="K171" s="20"/>
      <c r="L171" s="20"/>
      <c r="M171" s="20"/>
      <c r="N171" s="20"/>
      <c r="O171" s="20"/>
      <c r="P171" s="20"/>
      <c r="Q171" s="11"/>
      <c r="R171" s="20"/>
    </row>
    <row r="172" spans="1:18">
      <c r="A172" s="20"/>
      <c r="B172" s="64"/>
      <c r="C172" s="20"/>
      <c r="D172" s="20"/>
      <c r="E172" s="20"/>
      <c r="F172" s="64"/>
      <c r="H172" s="64"/>
      <c r="K172" s="20"/>
      <c r="L172" s="20"/>
      <c r="M172" s="20"/>
      <c r="N172" s="20"/>
      <c r="O172" s="20"/>
      <c r="P172" s="20"/>
      <c r="Q172" s="11"/>
      <c r="R172" s="20"/>
    </row>
    <row r="173" spans="1:18">
      <c r="A173" s="20"/>
      <c r="B173" s="64"/>
      <c r="C173" s="20"/>
      <c r="D173" s="20"/>
      <c r="E173" s="20"/>
      <c r="F173" s="64"/>
      <c r="H173" s="64"/>
      <c r="K173" s="20"/>
      <c r="L173" s="20"/>
      <c r="M173" s="20"/>
      <c r="N173" s="20"/>
      <c r="O173" s="20"/>
      <c r="P173" s="20"/>
      <c r="Q173" s="11"/>
      <c r="R173" s="20"/>
    </row>
    <row r="174" spans="1:18">
      <c r="A174" s="20"/>
      <c r="B174" s="64"/>
      <c r="C174" s="20"/>
      <c r="D174" s="20"/>
      <c r="E174" s="20"/>
      <c r="F174" s="64"/>
      <c r="H174" s="64"/>
      <c r="K174" s="20"/>
      <c r="L174" s="20"/>
      <c r="M174" s="20"/>
      <c r="N174" s="20"/>
      <c r="O174" s="20"/>
      <c r="P174" s="20"/>
      <c r="Q174" s="11"/>
      <c r="R174" s="20"/>
    </row>
    <row r="175" spans="1:18">
      <c r="A175" s="20"/>
      <c r="B175" s="64"/>
      <c r="C175" s="20"/>
      <c r="D175" s="20"/>
      <c r="E175" s="20"/>
      <c r="F175" s="64"/>
      <c r="H175" s="64"/>
      <c r="K175" s="20"/>
      <c r="L175" s="20"/>
      <c r="M175" s="20"/>
      <c r="N175" s="20"/>
      <c r="O175" s="20"/>
      <c r="P175" s="20"/>
      <c r="Q175" s="11"/>
      <c r="R175" s="20"/>
    </row>
    <row r="176" spans="1:18">
      <c r="A176" s="20"/>
      <c r="B176" s="64"/>
      <c r="C176" s="20"/>
      <c r="D176" s="20"/>
      <c r="E176" s="20"/>
      <c r="F176" s="64"/>
      <c r="H176" s="64"/>
      <c r="K176" s="20"/>
      <c r="L176" s="20"/>
      <c r="M176" s="20"/>
      <c r="N176" s="20"/>
      <c r="O176" s="20"/>
      <c r="P176" s="20"/>
      <c r="Q176" s="11"/>
      <c r="R176" s="20"/>
    </row>
    <row r="177" spans="1:18">
      <c r="A177" s="20"/>
      <c r="B177" s="64"/>
      <c r="C177" s="20"/>
      <c r="D177" s="20"/>
      <c r="E177" s="20"/>
      <c r="F177" s="64"/>
      <c r="H177" s="64"/>
      <c r="K177" s="20"/>
      <c r="L177" s="20"/>
      <c r="M177" s="20"/>
      <c r="N177" s="20"/>
      <c r="O177" s="20"/>
      <c r="P177" s="20"/>
      <c r="Q177" s="11"/>
      <c r="R177" s="20"/>
    </row>
    <row r="178" spans="1:18">
      <c r="A178" s="20"/>
      <c r="B178" s="64"/>
      <c r="C178" s="20"/>
      <c r="D178" s="20"/>
      <c r="E178" s="20"/>
      <c r="F178" s="64"/>
      <c r="H178" s="64"/>
      <c r="K178" s="20"/>
      <c r="L178" s="20"/>
      <c r="M178" s="20"/>
      <c r="N178" s="20"/>
      <c r="O178" s="20"/>
      <c r="P178" s="20"/>
      <c r="Q178" s="11"/>
      <c r="R178" s="20"/>
    </row>
    <row r="179" spans="1:18">
      <c r="A179" s="20"/>
      <c r="B179" s="64"/>
      <c r="C179" s="20"/>
      <c r="D179" s="20"/>
      <c r="E179" s="20"/>
      <c r="F179" s="64"/>
      <c r="H179" s="64"/>
      <c r="K179" s="20"/>
      <c r="L179" s="20"/>
      <c r="M179" s="20"/>
      <c r="N179" s="20"/>
      <c r="O179" s="20"/>
      <c r="P179" s="20"/>
      <c r="Q179" s="11"/>
      <c r="R179" s="20"/>
    </row>
  </sheetData>
  <dataConsolidate/>
  <mergeCells count="26">
    <mergeCell ref="A55:A56"/>
    <mergeCell ref="A36:A37"/>
    <mergeCell ref="A39:A40"/>
    <mergeCell ref="A41:A43"/>
    <mergeCell ref="A21:A24"/>
    <mergeCell ref="A26:A27"/>
    <mergeCell ref="A51:A52"/>
    <mergeCell ref="A53:A54"/>
    <mergeCell ref="A33:A35"/>
    <mergeCell ref="A45:A48"/>
    <mergeCell ref="AG2:AL2"/>
    <mergeCell ref="AB22:AG22"/>
    <mergeCell ref="K1:P1"/>
    <mergeCell ref="A28:A32"/>
    <mergeCell ref="A49:A50"/>
    <mergeCell ref="T2:Y2"/>
    <mergeCell ref="T24:U24"/>
    <mergeCell ref="R26:R27"/>
    <mergeCell ref="Q26:Q27"/>
    <mergeCell ref="Q28:Q32"/>
    <mergeCell ref="R28:R32"/>
    <mergeCell ref="C1:I1"/>
    <mergeCell ref="A4:A5"/>
    <mergeCell ref="A6:A8"/>
    <mergeCell ref="A9:A13"/>
    <mergeCell ref="A15:A20"/>
  </mergeCells>
  <conditionalFormatting sqref="O3:O56">
    <cfRule type="cellIs" dxfId="58" priority="5" operator="lessThan">
      <formula>0</formula>
    </cfRule>
  </conditionalFormatting>
  <conditionalFormatting sqref="M3:M56">
    <cfRule type="expression" dxfId="57" priority="4">
      <formula>(M3&lt;E3)</formula>
    </cfRule>
  </conditionalFormatting>
  <conditionalFormatting sqref="U4:Z15">
    <cfRule type="cellIs" dxfId="56" priority="3" operator="greaterThan">
      <formula>0</formula>
    </cfRule>
  </conditionalFormatting>
  <conditionalFormatting sqref="AH4:AM15">
    <cfRule type="cellIs" dxfId="55" priority="2" operator="greaterThan">
      <formula>0</formula>
    </cfRule>
  </conditionalFormatting>
  <conditionalFormatting sqref="AC24:AH35">
    <cfRule type="cellIs" dxfId="54" priority="1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5"/>
  <sheetViews>
    <sheetView topLeftCell="W43" zoomScaleNormal="100" workbookViewId="0">
      <selection activeCell="AN87" sqref="AN87"/>
    </sheetView>
  </sheetViews>
  <sheetFormatPr defaultColWidth="9" defaultRowHeight="12.75"/>
  <cols>
    <col min="1" max="1" width="12.140625" style="276" customWidth="1"/>
    <col min="2" max="2" width="14.28515625" style="276" customWidth="1"/>
    <col min="3" max="3" width="25.42578125" style="276" customWidth="1"/>
    <col min="4" max="4" width="14.28515625" style="276" customWidth="1"/>
    <col min="5" max="5" width="16.5703125" style="276" customWidth="1"/>
    <col min="6" max="7" width="15" style="276" customWidth="1"/>
    <col min="8" max="8" width="19" style="276" customWidth="1"/>
    <col min="9" max="9" width="15.5703125" style="276" customWidth="1"/>
    <col min="10" max="10" width="25.42578125" style="276" customWidth="1"/>
    <col min="11" max="11" width="14.7109375" style="276" customWidth="1"/>
    <col min="12" max="12" width="16.42578125" style="276" customWidth="1"/>
    <col min="13" max="13" width="15.85546875" style="276" customWidth="1"/>
    <col min="14" max="14" width="18" style="276" customWidth="1"/>
    <col min="15" max="15" width="16.7109375" style="276" customWidth="1"/>
    <col min="16" max="16" width="29.7109375" style="276" customWidth="1"/>
    <col min="17" max="17" width="30.42578125" style="276" customWidth="1"/>
    <col min="18" max="19" width="9" style="276"/>
    <col min="20" max="20" width="15" style="276" customWidth="1"/>
    <col min="21" max="21" width="22" style="276" customWidth="1"/>
    <col min="22" max="22" width="32" style="276" customWidth="1"/>
    <col min="23" max="16384" width="9" style="276"/>
  </cols>
  <sheetData>
    <row r="1" spans="1:22">
      <c r="A1" s="199"/>
      <c r="B1" s="200"/>
      <c r="C1" s="516" t="s">
        <v>453</v>
      </c>
      <c r="D1" s="517"/>
      <c r="E1" s="517"/>
      <c r="F1" s="517"/>
      <c r="G1" s="517"/>
      <c r="H1" s="517"/>
      <c r="I1" s="518"/>
      <c r="J1" s="521" t="s">
        <v>452</v>
      </c>
      <c r="K1" s="522"/>
      <c r="L1" s="522"/>
      <c r="M1" s="522"/>
      <c r="N1" s="522"/>
      <c r="O1" s="552"/>
      <c r="P1" s="7"/>
      <c r="Q1" s="7"/>
      <c r="T1" s="533"/>
      <c r="U1" s="533"/>
      <c r="V1" s="533"/>
    </row>
    <row r="2" spans="1:22" ht="13.5" thickBot="1">
      <c r="A2" s="199" t="s">
        <v>451</v>
      </c>
      <c r="B2" s="198" t="s">
        <v>450</v>
      </c>
      <c r="C2" s="197" t="s">
        <v>449</v>
      </c>
      <c r="D2" s="196" t="s">
        <v>34</v>
      </c>
      <c r="E2" s="196" t="s">
        <v>33</v>
      </c>
      <c r="F2" s="196" t="s">
        <v>448</v>
      </c>
      <c r="G2" s="196" t="s">
        <v>460</v>
      </c>
      <c r="H2" s="196" t="s">
        <v>461</v>
      </c>
      <c r="I2" s="195" t="s">
        <v>445</v>
      </c>
      <c r="J2" s="194" t="s">
        <v>447</v>
      </c>
      <c r="K2" s="194" t="s">
        <v>34</v>
      </c>
      <c r="L2" s="194" t="s">
        <v>33</v>
      </c>
      <c r="M2" s="193" t="s">
        <v>446</v>
      </c>
      <c r="N2" s="192" t="s">
        <v>445</v>
      </c>
      <c r="O2" s="252" t="s">
        <v>457</v>
      </c>
      <c r="P2" s="11"/>
      <c r="Q2" s="20"/>
      <c r="T2" s="379"/>
      <c r="U2" s="379"/>
      <c r="V2" s="379"/>
    </row>
    <row r="3" spans="1:22" ht="13.5" thickBot="1">
      <c r="A3" s="164" t="s">
        <v>439</v>
      </c>
      <c r="B3" s="186" t="s">
        <v>438</v>
      </c>
      <c r="C3" s="185" t="s">
        <v>437</v>
      </c>
      <c r="D3" s="184">
        <v>386.9</v>
      </c>
      <c r="E3" s="184">
        <v>200</v>
      </c>
      <c r="F3" s="184">
        <v>131.95400000000001</v>
      </c>
      <c r="G3" s="184">
        <v>0.5</v>
      </c>
      <c r="H3" s="184">
        <f>G3*F3</f>
        <v>65.977000000000004</v>
      </c>
      <c r="I3" s="183">
        <f>E3-H3</f>
        <v>134.023</v>
      </c>
      <c r="J3" s="182" t="s">
        <v>436</v>
      </c>
      <c r="K3" s="182">
        <v>598.85</v>
      </c>
      <c r="L3" s="182">
        <v>150</v>
      </c>
      <c r="M3" s="181">
        <f t="shared" ref="M3:M13" si="0">F3</f>
        <v>131.95400000000001</v>
      </c>
      <c r="N3" s="251">
        <f>L3-H3</f>
        <v>84.022999999999996</v>
      </c>
      <c r="O3" s="243" t="str">
        <f t="shared" ref="O3:O9" si="1">IF(N3&gt;=0,"No","Yes")</f>
        <v>No</v>
      </c>
      <c r="P3" s="11"/>
      <c r="Q3" s="11"/>
      <c r="T3" s="379"/>
      <c r="U3" s="379"/>
      <c r="V3" s="379"/>
    </row>
    <row r="4" spans="1:22" ht="13.5" thickBot="1">
      <c r="A4" s="497" t="s">
        <v>44</v>
      </c>
      <c r="B4" s="179" t="s">
        <v>3</v>
      </c>
      <c r="C4" s="178" t="s">
        <v>44</v>
      </c>
      <c r="D4" s="177">
        <v>424.31</v>
      </c>
      <c r="E4" s="177">
        <v>200</v>
      </c>
      <c r="F4" s="177">
        <v>79.758499999999998</v>
      </c>
      <c r="G4" s="184">
        <v>0.5</v>
      </c>
      <c r="H4" s="184">
        <f t="shared" ref="H4:H56" si="2">G4*F4</f>
        <v>39.879249999999999</v>
      </c>
      <c r="I4" s="183">
        <f t="shared" ref="I4:I13" si="3">E4-H4</f>
        <v>160.12074999999999</v>
      </c>
      <c r="J4" s="176" t="s">
        <v>435</v>
      </c>
      <c r="K4" s="176">
        <v>561.44000000000005</v>
      </c>
      <c r="L4" s="176">
        <v>150</v>
      </c>
      <c r="M4" s="175">
        <f t="shared" si="0"/>
        <v>79.758499999999998</v>
      </c>
      <c r="N4" s="251">
        <f t="shared" ref="N4:N13" si="4">L4-H4</f>
        <v>110.12075</v>
      </c>
      <c r="O4" s="243" t="str">
        <f t="shared" si="1"/>
        <v>No</v>
      </c>
      <c r="P4" s="11"/>
      <c r="Q4" s="11"/>
      <c r="T4" s="379"/>
      <c r="U4" s="379"/>
      <c r="V4" s="379"/>
    </row>
    <row r="5" spans="1:22" ht="13.5" thickBot="1">
      <c r="A5" s="498"/>
      <c r="B5" s="174" t="s">
        <v>25</v>
      </c>
      <c r="C5" s="114" t="s">
        <v>65</v>
      </c>
      <c r="D5" s="94">
        <v>645.40499999999997</v>
      </c>
      <c r="E5" s="94">
        <v>150</v>
      </c>
      <c r="F5" s="93">
        <v>101.52370000000001</v>
      </c>
      <c r="G5" s="184">
        <v>0.5</v>
      </c>
      <c r="H5" s="184">
        <f t="shared" si="2"/>
        <v>50.761850000000003</v>
      </c>
      <c r="I5" s="183">
        <f t="shared" si="3"/>
        <v>99.23814999999999</v>
      </c>
      <c r="J5" s="92" t="s">
        <v>430</v>
      </c>
      <c r="K5" s="92">
        <v>691.82</v>
      </c>
      <c r="L5" s="92">
        <v>150</v>
      </c>
      <c r="M5" s="91">
        <f t="shared" si="0"/>
        <v>101.52370000000001</v>
      </c>
      <c r="N5" s="251">
        <f t="shared" si="4"/>
        <v>99.23814999999999</v>
      </c>
      <c r="O5" s="243" t="str">
        <f t="shared" si="1"/>
        <v>No</v>
      </c>
      <c r="P5" s="250" t="s">
        <v>441</v>
      </c>
      <c r="Q5" s="272" t="s">
        <v>440</v>
      </c>
      <c r="T5" s="379"/>
      <c r="U5" s="379"/>
      <c r="V5" s="379"/>
    </row>
    <row r="6" spans="1:22" ht="13.5" thickBot="1">
      <c r="A6" s="497" t="s">
        <v>434</v>
      </c>
      <c r="B6" s="87" t="s">
        <v>433</v>
      </c>
      <c r="C6" s="86" t="s">
        <v>392</v>
      </c>
      <c r="D6" s="85">
        <v>774.56</v>
      </c>
      <c r="E6" s="85">
        <v>450</v>
      </c>
      <c r="F6" s="85">
        <v>593.39</v>
      </c>
      <c r="G6" s="184">
        <v>0.5</v>
      </c>
      <c r="H6" s="184">
        <f t="shared" si="2"/>
        <v>296.69499999999999</v>
      </c>
      <c r="I6" s="183">
        <f t="shared" si="3"/>
        <v>153.30500000000001</v>
      </c>
      <c r="J6" s="83" t="s">
        <v>432</v>
      </c>
      <c r="K6" s="83">
        <v>778.62</v>
      </c>
      <c r="L6" s="83">
        <v>450</v>
      </c>
      <c r="M6" s="82">
        <f t="shared" si="0"/>
        <v>593.39</v>
      </c>
      <c r="N6" s="251">
        <f t="shared" si="4"/>
        <v>153.30500000000001</v>
      </c>
      <c r="O6" s="243" t="str">
        <f t="shared" si="1"/>
        <v>No</v>
      </c>
      <c r="P6" s="249"/>
      <c r="Q6" s="218"/>
      <c r="T6" s="379"/>
      <c r="U6" s="379"/>
      <c r="V6" s="379"/>
    </row>
    <row r="7" spans="1:22" ht="13.5" thickBot="1">
      <c r="A7" s="499"/>
      <c r="B7" s="96" t="s">
        <v>4</v>
      </c>
      <c r="C7" s="95" t="s">
        <v>45</v>
      </c>
      <c r="D7" s="108">
        <v>221.095</v>
      </c>
      <c r="E7" s="108">
        <v>250</v>
      </c>
      <c r="F7" s="108">
        <v>165.54</v>
      </c>
      <c r="G7" s="184">
        <v>0.5</v>
      </c>
      <c r="H7" s="184">
        <f t="shared" si="2"/>
        <v>82.77</v>
      </c>
      <c r="I7" s="183">
        <f t="shared" si="3"/>
        <v>167.23000000000002</v>
      </c>
      <c r="J7" s="106" t="s">
        <v>431</v>
      </c>
      <c r="K7" s="106">
        <v>904.18</v>
      </c>
      <c r="L7" s="106">
        <v>150</v>
      </c>
      <c r="M7" s="105">
        <f t="shared" si="0"/>
        <v>165.54</v>
      </c>
      <c r="N7" s="251">
        <f t="shared" si="4"/>
        <v>67.23</v>
      </c>
      <c r="O7" s="248" t="str">
        <f t="shared" si="1"/>
        <v>No</v>
      </c>
      <c r="P7" s="247" t="s">
        <v>351</v>
      </c>
      <c r="Q7" s="245" t="s">
        <v>351</v>
      </c>
      <c r="T7" s="379"/>
      <c r="U7" s="379"/>
      <c r="V7" s="379"/>
    </row>
    <row r="8" spans="1:22" ht="13.5" thickBot="1">
      <c r="A8" s="499"/>
      <c r="B8" s="96" t="s">
        <v>25</v>
      </c>
      <c r="C8" s="95" t="s">
        <v>65</v>
      </c>
      <c r="D8" s="94">
        <v>645.40499999999997</v>
      </c>
      <c r="E8" s="94">
        <v>150</v>
      </c>
      <c r="F8" s="94">
        <v>101.52370000000001</v>
      </c>
      <c r="G8" s="184">
        <v>0.5</v>
      </c>
      <c r="H8" s="184">
        <f t="shared" si="2"/>
        <v>50.761850000000003</v>
      </c>
      <c r="I8" s="183">
        <f t="shared" si="3"/>
        <v>99.23814999999999</v>
      </c>
      <c r="J8" s="92" t="s">
        <v>430</v>
      </c>
      <c r="K8" s="92">
        <v>691.82</v>
      </c>
      <c r="L8" s="92">
        <v>150</v>
      </c>
      <c r="M8" s="91">
        <f t="shared" si="0"/>
        <v>101.52370000000001</v>
      </c>
      <c r="N8" s="251">
        <f t="shared" si="4"/>
        <v>99.23814999999999</v>
      </c>
      <c r="O8" s="243" t="str">
        <f t="shared" si="1"/>
        <v>No</v>
      </c>
      <c r="P8" s="246"/>
      <c r="Q8" s="245"/>
      <c r="T8" s="379"/>
      <c r="U8" s="379"/>
      <c r="V8" s="379"/>
    </row>
    <row r="9" spans="1:22" ht="13.5" thickBot="1">
      <c r="A9" s="497" t="s">
        <v>46</v>
      </c>
      <c r="B9" s="87" t="s">
        <v>5</v>
      </c>
      <c r="C9" s="86" t="s">
        <v>46</v>
      </c>
      <c r="D9" s="85">
        <v>87.444999999999993</v>
      </c>
      <c r="E9" s="85">
        <v>300</v>
      </c>
      <c r="F9" s="85">
        <v>330.03719999999998</v>
      </c>
      <c r="G9" s="184">
        <v>0.5</v>
      </c>
      <c r="H9" s="184">
        <f t="shared" si="2"/>
        <v>165.01859999999999</v>
      </c>
      <c r="I9" s="183">
        <f t="shared" si="3"/>
        <v>134.98140000000001</v>
      </c>
      <c r="J9" s="83" t="s">
        <v>429</v>
      </c>
      <c r="K9" s="83">
        <v>243.73500000000001</v>
      </c>
      <c r="L9" s="83">
        <v>300</v>
      </c>
      <c r="M9" s="82">
        <f t="shared" si="0"/>
        <v>330.03719999999998</v>
      </c>
      <c r="N9" s="251">
        <f t="shared" si="4"/>
        <v>134.98140000000001</v>
      </c>
      <c r="O9" s="243" t="str">
        <f t="shared" si="1"/>
        <v>No</v>
      </c>
      <c r="P9" s="213"/>
      <c r="Q9" s="104"/>
      <c r="T9" s="379"/>
      <c r="U9" s="379"/>
      <c r="V9" s="379"/>
    </row>
    <row r="10" spans="1:22" ht="13.5" thickBot="1">
      <c r="A10" s="499"/>
      <c r="B10" s="96" t="s">
        <v>7</v>
      </c>
      <c r="C10" s="95" t="s">
        <v>48</v>
      </c>
      <c r="D10" s="108">
        <v>457.755</v>
      </c>
      <c r="E10" s="108">
        <v>200</v>
      </c>
      <c r="F10" s="108">
        <v>200.11</v>
      </c>
      <c r="G10" s="184">
        <v>0.5</v>
      </c>
      <c r="H10" s="184">
        <f t="shared" si="2"/>
        <v>100.05500000000001</v>
      </c>
      <c r="I10" s="183">
        <f t="shared" si="3"/>
        <v>99.944999999999993</v>
      </c>
      <c r="J10" s="106" t="s">
        <v>428</v>
      </c>
      <c r="K10" s="106">
        <v>614.06500000000005</v>
      </c>
      <c r="L10" s="106">
        <v>200</v>
      </c>
      <c r="M10" s="105">
        <f t="shared" si="0"/>
        <v>200.11</v>
      </c>
      <c r="N10" s="251">
        <f t="shared" si="4"/>
        <v>99.944999999999993</v>
      </c>
      <c r="O10" s="244" t="s">
        <v>455</v>
      </c>
      <c r="P10" s="212"/>
      <c r="Q10" s="209"/>
      <c r="T10" s="379"/>
      <c r="U10" s="379"/>
      <c r="V10" s="379"/>
    </row>
    <row r="11" spans="1:22" ht="13.5" thickBot="1">
      <c r="A11" s="499"/>
      <c r="B11" s="96" t="s">
        <v>8</v>
      </c>
      <c r="C11" s="95" t="s">
        <v>74</v>
      </c>
      <c r="D11" s="108">
        <v>632.29</v>
      </c>
      <c r="E11" s="108">
        <v>300</v>
      </c>
      <c r="F11" s="108">
        <v>416.14780000000002</v>
      </c>
      <c r="G11" s="184">
        <v>0.5</v>
      </c>
      <c r="H11" s="184">
        <f t="shared" si="2"/>
        <v>208.07390000000001</v>
      </c>
      <c r="I11" s="183">
        <f t="shared" si="3"/>
        <v>91.926099999999991</v>
      </c>
      <c r="J11" s="106" t="s">
        <v>427</v>
      </c>
      <c r="K11" s="106">
        <v>692.19500000000005</v>
      </c>
      <c r="L11" s="106">
        <v>300</v>
      </c>
      <c r="M11" s="105">
        <f t="shared" si="0"/>
        <v>416.14780000000002</v>
      </c>
      <c r="N11" s="251">
        <f t="shared" si="4"/>
        <v>91.926099999999991</v>
      </c>
      <c r="O11" s="243" t="str">
        <f>IF(N11&gt;=0,"No","Yes")</f>
        <v>No</v>
      </c>
      <c r="P11" s="212"/>
      <c r="Q11" s="209"/>
      <c r="T11" s="379"/>
      <c r="U11" s="379"/>
      <c r="V11" s="379"/>
    </row>
    <row r="12" spans="1:22" ht="13.5" thickBot="1">
      <c r="A12" s="499"/>
      <c r="B12" s="96" t="s">
        <v>12</v>
      </c>
      <c r="C12" s="95" t="s">
        <v>52</v>
      </c>
      <c r="D12" s="108">
        <v>428.91</v>
      </c>
      <c r="E12" s="108">
        <v>200</v>
      </c>
      <c r="F12" s="108">
        <v>320.77999999999997</v>
      </c>
      <c r="G12" s="184">
        <v>0.5</v>
      </c>
      <c r="H12" s="184">
        <f t="shared" si="2"/>
        <v>160.38999999999999</v>
      </c>
      <c r="I12" s="183">
        <f t="shared" si="3"/>
        <v>39.610000000000014</v>
      </c>
      <c r="J12" s="106" t="s">
        <v>421</v>
      </c>
      <c r="K12" s="106">
        <v>440.09</v>
      </c>
      <c r="L12" s="106">
        <v>200</v>
      </c>
      <c r="M12" s="105">
        <f t="shared" si="0"/>
        <v>320.77999999999997</v>
      </c>
      <c r="N12" s="251">
        <f t="shared" si="4"/>
        <v>39.610000000000014</v>
      </c>
      <c r="O12" s="243" t="str">
        <f>IF(N12&gt;=0,"No","Yes")</f>
        <v>No</v>
      </c>
      <c r="P12" s="212"/>
      <c r="Q12" s="209"/>
      <c r="T12" s="379"/>
      <c r="U12" s="379"/>
      <c r="V12" s="379"/>
    </row>
    <row r="13" spans="1:22" ht="13.5" thickBot="1">
      <c r="A13" s="499"/>
      <c r="B13" s="96" t="s">
        <v>397</v>
      </c>
      <c r="C13" s="95" t="s">
        <v>63</v>
      </c>
      <c r="D13" s="94">
        <v>530.30999999999995</v>
      </c>
      <c r="E13" s="94">
        <v>200</v>
      </c>
      <c r="F13" s="94">
        <v>22.35</v>
      </c>
      <c r="G13" s="184">
        <v>0.5</v>
      </c>
      <c r="H13" s="184">
        <f t="shared" si="2"/>
        <v>11.175000000000001</v>
      </c>
      <c r="I13" s="183">
        <f t="shared" si="3"/>
        <v>188.82499999999999</v>
      </c>
      <c r="J13" s="92" t="s">
        <v>419</v>
      </c>
      <c r="K13" s="92">
        <v>541.49</v>
      </c>
      <c r="L13" s="92">
        <v>150</v>
      </c>
      <c r="M13" s="91">
        <f t="shared" si="0"/>
        <v>22.35</v>
      </c>
      <c r="N13" s="251">
        <f t="shared" si="4"/>
        <v>138.82499999999999</v>
      </c>
      <c r="O13" s="243" t="str">
        <f>IF(N13&gt;=0,"No","Yes")</f>
        <v>No</v>
      </c>
      <c r="P13" s="211"/>
      <c r="Q13" s="103"/>
      <c r="T13" s="379"/>
      <c r="U13" s="379"/>
      <c r="V13" s="379"/>
    </row>
    <row r="14" spans="1:22" ht="13.5" thickBot="1">
      <c r="A14" s="269" t="s">
        <v>427</v>
      </c>
      <c r="B14" s="87" t="s">
        <v>351</v>
      </c>
      <c r="C14" s="163"/>
      <c r="D14" s="85"/>
      <c r="E14" s="85"/>
      <c r="F14" s="85"/>
      <c r="G14" s="184">
        <v>0.5</v>
      </c>
      <c r="H14" s="184">
        <f t="shared" si="2"/>
        <v>0</v>
      </c>
      <c r="I14" s="84"/>
      <c r="J14" s="83"/>
      <c r="K14" s="83"/>
      <c r="L14" s="83"/>
      <c r="M14" s="82"/>
      <c r="N14" s="100"/>
      <c r="O14" s="83"/>
      <c r="P14" s="242"/>
      <c r="Q14" s="268"/>
      <c r="T14" s="379"/>
      <c r="U14" s="379"/>
      <c r="V14" s="379"/>
    </row>
    <row r="15" spans="1:22" ht="13.5" thickBot="1">
      <c r="A15" s="497" t="s">
        <v>49</v>
      </c>
      <c r="B15" s="87" t="s">
        <v>426</v>
      </c>
      <c r="C15" s="86" t="s">
        <v>47</v>
      </c>
      <c r="D15" s="85">
        <v>341.36500000000001</v>
      </c>
      <c r="E15" s="85">
        <v>400</v>
      </c>
      <c r="F15" s="85">
        <v>414.50749999999999</v>
      </c>
      <c r="G15" s="184">
        <v>0.5</v>
      </c>
      <c r="H15" s="184">
        <f t="shared" si="2"/>
        <v>207.25375</v>
      </c>
      <c r="I15" s="84">
        <f>E15-H15</f>
        <v>192.74625</v>
      </c>
      <c r="J15" s="83" t="s">
        <v>425</v>
      </c>
      <c r="K15" s="83">
        <v>527.53499999999997</v>
      </c>
      <c r="L15" s="83">
        <v>600</v>
      </c>
      <c r="M15" s="82">
        <f t="shared" ref="M15:M24" si="5">F15</f>
        <v>414.50749999999999</v>
      </c>
      <c r="N15" s="205">
        <f>L15-H15</f>
        <v>392.74625000000003</v>
      </c>
      <c r="O15" s="82" t="str">
        <f t="shared" ref="O15:O24" si="6">IF(N15&gt;=0,"No","Yes")</f>
        <v>No</v>
      </c>
      <c r="P15" s="60"/>
      <c r="Q15" s="88"/>
      <c r="T15" s="377"/>
      <c r="U15" s="379"/>
      <c r="V15" s="379"/>
    </row>
    <row r="16" spans="1:22" ht="13.5" thickBot="1">
      <c r="A16" s="499"/>
      <c r="B16" s="96" t="s">
        <v>9</v>
      </c>
      <c r="C16" s="95" t="s">
        <v>424</v>
      </c>
      <c r="D16" s="108">
        <v>72.555000000000007</v>
      </c>
      <c r="E16" s="108">
        <v>300</v>
      </c>
      <c r="F16" s="108">
        <v>249.06020000000001</v>
      </c>
      <c r="G16" s="184">
        <v>0.5</v>
      </c>
      <c r="H16" s="184">
        <f t="shared" si="2"/>
        <v>124.5301</v>
      </c>
      <c r="I16" s="84">
        <f t="shared" ref="I16:I24" si="7">E16-H16</f>
        <v>175.4699</v>
      </c>
      <c r="J16" s="106" t="s">
        <v>423</v>
      </c>
      <c r="K16" s="106">
        <v>258.625</v>
      </c>
      <c r="L16" s="106">
        <v>250</v>
      </c>
      <c r="M16" s="105">
        <f t="shared" si="5"/>
        <v>249.06020000000001</v>
      </c>
      <c r="N16" s="205">
        <f t="shared" ref="N16:N24" si="8">L16-H16</f>
        <v>125.4699</v>
      </c>
      <c r="O16" s="82" t="str">
        <f t="shared" si="6"/>
        <v>No</v>
      </c>
      <c r="P16" s="60"/>
      <c r="Q16" s="97"/>
    </row>
    <row r="17" spans="1:22" ht="13.5" thickBot="1">
      <c r="A17" s="499"/>
      <c r="B17" s="96" t="s">
        <v>10</v>
      </c>
      <c r="C17" s="95" t="s">
        <v>386</v>
      </c>
      <c r="D17" s="108">
        <v>894.93</v>
      </c>
      <c r="E17" s="108">
        <v>150</v>
      </c>
      <c r="F17" s="108">
        <v>185.4342</v>
      </c>
      <c r="G17" s="184">
        <v>0.5</v>
      </c>
      <c r="H17" s="184">
        <f t="shared" si="2"/>
        <v>92.717100000000002</v>
      </c>
      <c r="I17" s="84">
        <f t="shared" si="7"/>
        <v>57.282899999999998</v>
      </c>
      <c r="J17" s="106" t="s">
        <v>385</v>
      </c>
      <c r="K17" s="106">
        <v>975.03499999999997</v>
      </c>
      <c r="L17" s="106">
        <v>150</v>
      </c>
      <c r="M17" s="105">
        <f t="shared" si="5"/>
        <v>185.4342</v>
      </c>
      <c r="N17" s="205">
        <f t="shared" si="8"/>
        <v>57.282899999999998</v>
      </c>
      <c r="O17" s="82" t="str">
        <f t="shared" si="6"/>
        <v>No</v>
      </c>
      <c r="P17" s="60"/>
      <c r="Q17" s="97"/>
    </row>
    <row r="18" spans="1:22" ht="13.5" thickBot="1">
      <c r="A18" s="499"/>
      <c r="B18" s="96" t="s">
        <v>11</v>
      </c>
      <c r="C18" s="95" t="s">
        <v>378</v>
      </c>
      <c r="D18" s="108">
        <v>839.23</v>
      </c>
      <c r="E18" s="108">
        <v>150</v>
      </c>
      <c r="F18" s="108">
        <v>213.84829999999999</v>
      </c>
      <c r="G18" s="184">
        <v>0.5</v>
      </c>
      <c r="H18" s="184">
        <f t="shared" si="2"/>
        <v>106.92415</v>
      </c>
      <c r="I18" s="84">
        <f t="shared" si="7"/>
        <v>43.075850000000003</v>
      </c>
      <c r="J18" s="106" t="s">
        <v>422</v>
      </c>
      <c r="K18" s="106">
        <v>1025.3</v>
      </c>
      <c r="L18" s="106">
        <v>150</v>
      </c>
      <c r="M18" s="105">
        <f t="shared" si="5"/>
        <v>213.84829999999999</v>
      </c>
      <c r="N18" s="205">
        <f t="shared" si="8"/>
        <v>43.075850000000003</v>
      </c>
      <c r="O18" s="82" t="str">
        <f t="shared" si="6"/>
        <v>No</v>
      </c>
      <c r="P18" s="60"/>
      <c r="Q18" s="88"/>
    </row>
    <row r="19" spans="1:22" ht="13.5" thickBot="1">
      <c r="A19" s="499"/>
      <c r="B19" s="96" t="s">
        <v>12</v>
      </c>
      <c r="C19" s="95" t="s">
        <v>52</v>
      </c>
      <c r="D19" s="108">
        <v>428.91</v>
      </c>
      <c r="E19" s="108">
        <v>200</v>
      </c>
      <c r="F19" s="108">
        <v>320.7817</v>
      </c>
      <c r="G19" s="184">
        <v>0.5</v>
      </c>
      <c r="H19" s="184">
        <f t="shared" si="2"/>
        <v>160.39085</v>
      </c>
      <c r="I19" s="84">
        <f t="shared" si="7"/>
        <v>39.60915</v>
      </c>
      <c r="J19" s="106" t="s">
        <v>421</v>
      </c>
      <c r="K19" s="106">
        <v>440.09</v>
      </c>
      <c r="L19" s="106">
        <v>200</v>
      </c>
      <c r="M19" s="105">
        <f t="shared" si="5"/>
        <v>320.7817</v>
      </c>
      <c r="N19" s="205">
        <f t="shared" si="8"/>
        <v>39.60915</v>
      </c>
      <c r="O19" s="82" t="str">
        <f t="shared" si="6"/>
        <v>No</v>
      </c>
      <c r="P19" s="60"/>
      <c r="Q19" s="88"/>
    </row>
    <row r="20" spans="1:22" ht="13.5" thickBot="1">
      <c r="A20" s="499"/>
      <c r="B20" s="96" t="s">
        <v>420</v>
      </c>
      <c r="C20" s="95" t="s">
        <v>412</v>
      </c>
      <c r="D20" s="94">
        <v>530.30999999999995</v>
      </c>
      <c r="E20" s="94">
        <v>200</v>
      </c>
      <c r="F20" s="94">
        <v>22.35</v>
      </c>
      <c r="G20" s="184">
        <v>0.5</v>
      </c>
      <c r="H20" s="184">
        <f t="shared" si="2"/>
        <v>11.175000000000001</v>
      </c>
      <c r="I20" s="84">
        <f t="shared" si="7"/>
        <v>188.82499999999999</v>
      </c>
      <c r="J20" s="92" t="s">
        <v>419</v>
      </c>
      <c r="K20" s="92">
        <v>541.49</v>
      </c>
      <c r="L20" s="92">
        <v>150</v>
      </c>
      <c r="M20" s="91">
        <f t="shared" si="5"/>
        <v>22.35</v>
      </c>
      <c r="N20" s="205">
        <f t="shared" si="8"/>
        <v>138.82499999999999</v>
      </c>
      <c r="O20" s="82" t="str">
        <f t="shared" si="6"/>
        <v>No</v>
      </c>
      <c r="P20" s="60"/>
      <c r="Q20" s="97"/>
    </row>
    <row r="21" spans="1:22" ht="13.5" thickBot="1">
      <c r="A21" s="497" t="s">
        <v>414</v>
      </c>
      <c r="B21" s="87" t="s">
        <v>7</v>
      </c>
      <c r="C21" s="86" t="s">
        <v>48</v>
      </c>
      <c r="D21" s="85">
        <v>457.755</v>
      </c>
      <c r="E21" s="85">
        <v>200</v>
      </c>
      <c r="F21" s="85">
        <v>200.1122</v>
      </c>
      <c r="G21" s="184">
        <v>0.5</v>
      </c>
      <c r="H21" s="184">
        <f t="shared" si="2"/>
        <v>100.0561</v>
      </c>
      <c r="I21" s="84">
        <f t="shared" si="7"/>
        <v>99.943899999999999</v>
      </c>
      <c r="J21" s="83" t="s">
        <v>417</v>
      </c>
      <c r="K21" s="83">
        <v>733.18499999999995</v>
      </c>
      <c r="L21" s="83">
        <v>200</v>
      </c>
      <c r="M21" s="82">
        <f t="shared" si="5"/>
        <v>200.1122</v>
      </c>
      <c r="N21" s="205">
        <f t="shared" si="8"/>
        <v>99.943899999999999</v>
      </c>
      <c r="O21" s="203" t="str">
        <f t="shared" si="6"/>
        <v>No</v>
      </c>
      <c r="P21" s="213"/>
      <c r="Q21" s="104"/>
    </row>
    <row r="22" spans="1:22" ht="13.5" thickBot="1">
      <c r="A22" s="499"/>
      <c r="B22" s="96" t="s">
        <v>416</v>
      </c>
      <c r="C22" s="95" t="s">
        <v>74</v>
      </c>
      <c r="D22" s="108">
        <v>632.29</v>
      </c>
      <c r="E22" s="108">
        <v>300</v>
      </c>
      <c r="F22" s="108">
        <v>416.14780000000002</v>
      </c>
      <c r="G22" s="184">
        <v>0.5</v>
      </c>
      <c r="H22" s="184">
        <f t="shared" si="2"/>
        <v>208.07390000000001</v>
      </c>
      <c r="I22" s="84">
        <f t="shared" si="7"/>
        <v>91.926099999999991</v>
      </c>
      <c r="J22" s="106" t="s">
        <v>361</v>
      </c>
      <c r="K22" s="106">
        <v>692.19500000000005</v>
      </c>
      <c r="L22" s="106">
        <v>300</v>
      </c>
      <c r="M22" s="105">
        <f t="shared" si="5"/>
        <v>416.14780000000002</v>
      </c>
      <c r="N22" s="205">
        <f t="shared" si="8"/>
        <v>91.926099999999991</v>
      </c>
      <c r="O22" s="82" t="str">
        <f t="shared" si="6"/>
        <v>No</v>
      </c>
      <c r="P22" s="212"/>
      <c r="Q22" s="209"/>
    </row>
    <row r="23" spans="1:22" ht="13.5" thickBot="1">
      <c r="A23" s="499"/>
      <c r="B23" s="96" t="s">
        <v>415</v>
      </c>
      <c r="C23" s="95" t="s">
        <v>414</v>
      </c>
      <c r="D23" s="108">
        <v>370.31</v>
      </c>
      <c r="E23" s="108">
        <v>200</v>
      </c>
      <c r="F23" s="108">
        <v>24.103000000000002</v>
      </c>
      <c r="G23" s="184">
        <v>0.5</v>
      </c>
      <c r="H23" s="184">
        <f t="shared" si="2"/>
        <v>12.051500000000001</v>
      </c>
      <c r="I23" s="84">
        <f t="shared" si="7"/>
        <v>187.9485</v>
      </c>
      <c r="J23" s="106" t="s">
        <v>413</v>
      </c>
      <c r="K23" s="106">
        <v>820.63</v>
      </c>
      <c r="L23" s="106">
        <v>150</v>
      </c>
      <c r="M23" s="105">
        <f t="shared" si="5"/>
        <v>24.103000000000002</v>
      </c>
      <c r="N23" s="205">
        <f t="shared" si="8"/>
        <v>137.9485</v>
      </c>
      <c r="O23" s="82" t="str">
        <f t="shared" si="6"/>
        <v>No</v>
      </c>
      <c r="P23" s="212"/>
      <c r="Q23" s="209"/>
    </row>
    <row r="24" spans="1:22" ht="13.5" thickBot="1">
      <c r="A24" s="499"/>
      <c r="B24" s="96" t="s">
        <v>397</v>
      </c>
      <c r="C24" s="95" t="s">
        <v>412</v>
      </c>
      <c r="D24" s="94">
        <v>530.30999999999995</v>
      </c>
      <c r="E24" s="94">
        <v>200</v>
      </c>
      <c r="F24" s="94">
        <v>22.35</v>
      </c>
      <c r="G24" s="184">
        <v>0.5</v>
      </c>
      <c r="H24" s="184">
        <f t="shared" si="2"/>
        <v>11.175000000000001</v>
      </c>
      <c r="I24" s="84">
        <f t="shared" si="7"/>
        <v>188.82499999999999</v>
      </c>
      <c r="J24" s="92" t="s">
        <v>411</v>
      </c>
      <c r="K24" s="92">
        <v>660.63</v>
      </c>
      <c r="L24" s="92">
        <v>150</v>
      </c>
      <c r="M24" s="91">
        <f t="shared" si="5"/>
        <v>22.35</v>
      </c>
      <c r="N24" s="205">
        <f t="shared" si="8"/>
        <v>138.82499999999999</v>
      </c>
      <c r="O24" s="82" t="str">
        <f t="shared" si="6"/>
        <v>No</v>
      </c>
      <c r="P24" s="211"/>
      <c r="Q24" s="103"/>
    </row>
    <row r="25" spans="1:22" ht="13.5" thickBot="1">
      <c r="A25" s="164" t="s">
        <v>410</v>
      </c>
      <c r="B25" s="87" t="s">
        <v>409</v>
      </c>
      <c r="C25" s="163"/>
      <c r="D25" s="85"/>
      <c r="E25" s="85"/>
      <c r="F25" s="85"/>
      <c r="G25" s="184">
        <v>0.5</v>
      </c>
      <c r="H25" s="184">
        <f t="shared" si="2"/>
        <v>0</v>
      </c>
      <c r="I25" s="84"/>
      <c r="J25" s="83"/>
      <c r="K25" s="83"/>
      <c r="L25" s="83"/>
      <c r="M25" s="82"/>
      <c r="N25" s="100"/>
      <c r="O25" s="82"/>
      <c r="P25" s="208"/>
      <c r="Q25" s="239"/>
    </row>
    <row r="26" spans="1:22" ht="13.5" thickBot="1">
      <c r="A26" s="519" t="s">
        <v>408</v>
      </c>
      <c r="B26" s="160" t="s">
        <v>14</v>
      </c>
      <c r="C26" s="86" t="s">
        <v>407</v>
      </c>
      <c r="D26" s="85">
        <v>391.72</v>
      </c>
      <c r="E26" s="84">
        <v>400</v>
      </c>
      <c r="F26" s="85">
        <v>664.51419999999996</v>
      </c>
      <c r="G26" s="184">
        <v>0.5</v>
      </c>
      <c r="H26" s="184">
        <f t="shared" si="2"/>
        <v>332.25709999999998</v>
      </c>
      <c r="I26" s="84">
        <f>E26-H26</f>
        <v>67.74290000000002</v>
      </c>
      <c r="J26" s="83" t="s">
        <v>406</v>
      </c>
      <c r="K26" s="83">
        <v>799.22</v>
      </c>
      <c r="L26" s="83">
        <v>300</v>
      </c>
      <c r="M26" s="82">
        <f t="shared" ref="M26:M56" si="9">F26</f>
        <v>664.51419999999996</v>
      </c>
      <c r="N26" s="81">
        <f>L26-H26</f>
        <v>-32.25709999999998</v>
      </c>
      <c r="O26" s="220" t="str">
        <f t="shared" ref="O26:O56" si="10">IF(N26&gt;=0,"No","Yes")</f>
        <v>Yes</v>
      </c>
      <c r="P26" s="238"/>
      <c r="Q26" s="270"/>
    </row>
    <row r="27" spans="1:22" ht="13.5" thickBot="1">
      <c r="A27" s="520"/>
      <c r="B27" s="75" t="s">
        <v>360</v>
      </c>
      <c r="C27" s="74" t="s">
        <v>55</v>
      </c>
      <c r="D27" s="157">
        <v>566.26</v>
      </c>
      <c r="E27" s="157">
        <v>300</v>
      </c>
      <c r="F27" s="157">
        <v>424.66829999999999</v>
      </c>
      <c r="G27" s="184">
        <v>0.5</v>
      </c>
      <c r="H27" s="184">
        <f t="shared" si="2"/>
        <v>212.33414999999999</v>
      </c>
      <c r="I27" s="84">
        <f t="shared" ref="I27:I56" si="11">E27-H27</f>
        <v>87.665850000000006</v>
      </c>
      <c r="J27" s="156" t="s">
        <v>405</v>
      </c>
      <c r="K27" s="156">
        <v>973.76</v>
      </c>
      <c r="L27" s="156">
        <v>300</v>
      </c>
      <c r="M27" s="71">
        <f t="shared" si="9"/>
        <v>424.66829999999999</v>
      </c>
      <c r="N27" s="81">
        <f t="shared" ref="N27:N56" si="12">L27-H27</f>
        <v>87.665850000000006</v>
      </c>
      <c r="O27" s="203" t="str">
        <f t="shared" si="10"/>
        <v>No</v>
      </c>
      <c r="P27" s="236" t="s">
        <v>12</v>
      </c>
      <c r="Q27" s="271">
        <v>12.23</v>
      </c>
    </row>
    <row r="28" spans="1:22" ht="13.5" thickBot="1">
      <c r="A28" s="499" t="s">
        <v>404</v>
      </c>
      <c r="B28" s="63" t="s">
        <v>6</v>
      </c>
      <c r="C28" s="114" t="s">
        <v>47</v>
      </c>
      <c r="D28" s="94">
        <v>341.46499999999997</v>
      </c>
      <c r="E28" s="93">
        <v>400</v>
      </c>
      <c r="F28" s="94">
        <v>414.50749999999999</v>
      </c>
      <c r="G28" s="184">
        <v>0.5</v>
      </c>
      <c r="H28" s="184">
        <f t="shared" si="2"/>
        <v>207.25375</v>
      </c>
      <c r="I28" s="84">
        <f t="shared" si="11"/>
        <v>192.74625</v>
      </c>
      <c r="J28" s="92" t="s">
        <v>403</v>
      </c>
      <c r="K28" s="92">
        <v>849.47500000000002</v>
      </c>
      <c r="L28" s="92">
        <v>400</v>
      </c>
      <c r="M28" s="91">
        <f t="shared" si="9"/>
        <v>414.50749999999999</v>
      </c>
      <c r="N28" s="81">
        <f t="shared" si="12"/>
        <v>192.74625</v>
      </c>
      <c r="O28" s="203" t="str">
        <f t="shared" si="10"/>
        <v>No</v>
      </c>
      <c r="P28" s="234"/>
      <c r="Q28" s="233"/>
    </row>
    <row r="29" spans="1:22" ht="13.5" thickBot="1">
      <c r="A29" s="499"/>
      <c r="B29" s="63" t="s">
        <v>402</v>
      </c>
      <c r="C29" s="114" t="s">
        <v>386</v>
      </c>
      <c r="D29" s="94">
        <v>894.93</v>
      </c>
      <c r="E29" s="93">
        <v>150</v>
      </c>
      <c r="F29" s="94">
        <v>185.4342</v>
      </c>
      <c r="G29" s="184">
        <v>0.5</v>
      </c>
      <c r="H29" s="184">
        <f t="shared" si="2"/>
        <v>92.717100000000002</v>
      </c>
      <c r="I29" s="84">
        <f t="shared" si="11"/>
        <v>57.282899999999998</v>
      </c>
      <c r="J29" s="92" t="s">
        <v>385</v>
      </c>
      <c r="K29" s="92">
        <v>975.03499999999997</v>
      </c>
      <c r="L29" s="92">
        <v>150</v>
      </c>
      <c r="M29" s="91">
        <f t="shared" si="9"/>
        <v>185.4342</v>
      </c>
      <c r="N29" s="81">
        <f t="shared" si="12"/>
        <v>57.282899999999998</v>
      </c>
      <c r="O29" s="203" t="str">
        <f t="shared" si="10"/>
        <v>No</v>
      </c>
      <c r="P29" s="234"/>
      <c r="Q29" s="233"/>
    </row>
    <row r="30" spans="1:22" ht="13.5" thickBot="1">
      <c r="A30" s="499"/>
      <c r="B30" s="96" t="s">
        <v>401</v>
      </c>
      <c r="C30" s="95" t="s">
        <v>378</v>
      </c>
      <c r="D30" s="108">
        <v>839.23</v>
      </c>
      <c r="E30" s="108">
        <v>150</v>
      </c>
      <c r="F30" s="108">
        <v>213.84829999999999</v>
      </c>
      <c r="G30" s="184">
        <v>0.5</v>
      </c>
      <c r="H30" s="184">
        <f t="shared" si="2"/>
        <v>106.92415</v>
      </c>
      <c r="I30" s="84">
        <f t="shared" si="11"/>
        <v>43.075850000000003</v>
      </c>
      <c r="J30" s="106" t="s">
        <v>400</v>
      </c>
      <c r="K30" s="106">
        <v>1347.24</v>
      </c>
      <c r="L30" s="106">
        <v>100</v>
      </c>
      <c r="M30" s="105">
        <f t="shared" si="9"/>
        <v>213.84829999999999</v>
      </c>
      <c r="N30" s="81">
        <f t="shared" si="12"/>
        <v>-6.9241499999999974</v>
      </c>
      <c r="O30" s="220" t="str">
        <f t="shared" si="10"/>
        <v>Yes</v>
      </c>
      <c r="P30" s="232" t="s">
        <v>6</v>
      </c>
      <c r="Q30" s="231">
        <v>4.04</v>
      </c>
    </row>
    <row r="31" spans="1:22" ht="13.5" thickBot="1">
      <c r="A31" s="499"/>
      <c r="B31" s="96" t="s">
        <v>399</v>
      </c>
      <c r="C31" s="95" t="s">
        <v>52</v>
      </c>
      <c r="D31" s="94">
        <v>428.91</v>
      </c>
      <c r="E31" s="93">
        <v>200</v>
      </c>
      <c r="F31" s="94">
        <v>320.7817</v>
      </c>
      <c r="G31" s="184">
        <v>0.5</v>
      </c>
      <c r="H31" s="184">
        <f t="shared" si="2"/>
        <v>160.39085</v>
      </c>
      <c r="I31" s="84">
        <f t="shared" si="11"/>
        <v>39.60915</v>
      </c>
      <c r="J31" s="92" t="s">
        <v>398</v>
      </c>
      <c r="K31" s="92">
        <v>762.03</v>
      </c>
      <c r="L31" s="92">
        <v>150</v>
      </c>
      <c r="M31" s="91">
        <f t="shared" si="9"/>
        <v>320.7817</v>
      </c>
      <c r="N31" s="81">
        <f t="shared" si="12"/>
        <v>-10.39085</v>
      </c>
      <c r="O31" s="220" t="str">
        <f t="shared" si="10"/>
        <v>Yes</v>
      </c>
      <c r="P31" s="234" t="s">
        <v>384</v>
      </c>
      <c r="Q31" s="233">
        <v>2.17</v>
      </c>
    </row>
    <row r="32" spans="1:22" ht="13.5" thickBot="1">
      <c r="A32" s="499"/>
      <c r="B32" s="96" t="s">
        <v>396</v>
      </c>
      <c r="C32" s="95" t="s">
        <v>56</v>
      </c>
      <c r="D32" s="94">
        <v>268.91000000000003</v>
      </c>
      <c r="E32" s="94">
        <v>250</v>
      </c>
      <c r="F32" s="94">
        <v>277.57420000000002</v>
      </c>
      <c r="G32" s="184">
        <v>0.5</v>
      </c>
      <c r="H32" s="184">
        <f t="shared" si="2"/>
        <v>138.78710000000001</v>
      </c>
      <c r="I32" s="84">
        <f t="shared" si="11"/>
        <v>111.21289999999999</v>
      </c>
      <c r="J32" s="92" t="s">
        <v>395</v>
      </c>
      <c r="K32" s="92">
        <v>922.03</v>
      </c>
      <c r="L32" s="92">
        <v>250</v>
      </c>
      <c r="M32" s="105">
        <f t="shared" si="9"/>
        <v>277.57420000000002</v>
      </c>
      <c r="N32" s="81">
        <f t="shared" si="12"/>
        <v>111.21289999999999</v>
      </c>
      <c r="O32" s="203" t="str">
        <f t="shared" si="10"/>
        <v>No</v>
      </c>
      <c r="P32" s="232"/>
      <c r="Q32" s="231"/>
      <c r="T32" s="241"/>
      <c r="U32" s="58"/>
      <c r="V32" s="5"/>
    </row>
    <row r="33" spans="1:35" ht="13.5" thickBot="1">
      <c r="A33" s="497" t="s">
        <v>382</v>
      </c>
      <c r="B33" s="87" t="s">
        <v>393</v>
      </c>
      <c r="C33" s="86" t="s">
        <v>392</v>
      </c>
      <c r="D33" s="85">
        <v>774.56</v>
      </c>
      <c r="E33" s="85">
        <v>450</v>
      </c>
      <c r="F33" s="85">
        <v>593.39</v>
      </c>
      <c r="G33" s="184">
        <v>0.5</v>
      </c>
      <c r="H33" s="184">
        <f t="shared" si="2"/>
        <v>296.69499999999999</v>
      </c>
      <c r="I33" s="84">
        <f t="shared" si="11"/>
        <v>153.30500000000001</v>
      </c>
      <c r="J33" s="83" t="s">
        <v>391</v>
      </c>
      <c r="K33" s="83">
        <v>778.62</v>
      </c>
      <c r="L33" s="83">
        <v>450</v>
      </c>
      <c r="M33" s="82">
        <f t="shared" si="9"/>
        <v>593.39</v>
      </c>
      <c r="N33" s="81">
        <f t="shared" si="12"/>
        <v>153.30500000000001</v>
      </c>
      <c r="O33" s="203" t="str">
        <f t="shared" si="10"/>
        <v>No</v>
      </c>
      <c r="P33" s="213"/>
      <c r="Q33" s="104"/>
      <c r="T33" s="553" t="s">
        <v>454</v>
      </c>
      <c r="U33" s="554"/>
      <c r="V33" s="273"/>
      <c r="X33" s="5"/>
      <c r="Y33" s="5"/>
      <c r="Z33" s="5"/>
      <c r="AA33" s="5"/>
      <c r="AB33" s="5"/>
      <c r="AC33" s="5"/>
      <c r="AD33" s="5"/>
      <c r="AE33" s="563"/>
      <c r="AF33" s="563"/>
      <c r="AG33" s="330"/>
      <c r="AH33" s="563"/>
      <c r="AI33" s="563"/>
    </row>
    <row r="34" spans="1:35" ht="13.5" thickBot="1">
      <c r="A34" s="499"/>
      <c r="B34" s="96" t="s">
        <v>387</v>
      </c>
      <c r="C34" s="95" t="s">
        <v>386</v>
      </c>
      <c r="D34" s="108">
        <v>894.93</v>
      </c>
      <c r="E34" s="107">
        <v>150</v>
      </c>
      <c r="F34" s="108">
        <v>185.4342</v>
      </c>
      <c r="G34" s="184">
        <v>0.5</v>
      </c>
      <c r="H34" s="184">
        <f t="shared" si="2"/>
        <v>92.717100000000002</v>
      </c>
      <c r="I34" s="84">
        <f t="shared" si="11"/>
        <v>57.282899999999998</v>
      </c>
      <c r="J34" s="106" t="s">
        <v>385</v>
      </c>
      <c r="K34" s="106">
        <v>975.03499999999997</v>
      </c>
      <c r="L34" s="106">
        <v>150</v>
      </c>
      <c r="M34" s="105">
        <f t="shared" si="9"/>
        <v>185.4342</v>
      </c>
      <c r="N34" s="81">
        <f t="shared" si="12"/>
        <v>57.282899999999998</v>
      </c>
      <c r="O34" s="203" t="str">
        <f t="shared" si="10"/>
        <v>No</v>
      </c>
      <c r="P34" s="211"/>
      <c r="Q34" s="103"/>
      <c r="T34" s="90"/>
      <c r="U34" s="20"/>
      <c r="V34" s="99"/>
      <c r="X34" s="532"/>
      <c r="Y34" s="532"/>
      <c r="Z34" s="532"/>
      <c r="AA34" s="331"/>
      <c r="AB34" s="331"/>
      <c r="AC34" s="5"/>
      <c r="AD34" s="5"/>
      <c r="AE34" s="329"/>
      <c r="AF34" s="329"/>
      <c r="AG34" s="330"/>
      <c r="AH34" s="329"/>
      <c r="AI34" s="329"/>
    </row>
    <row r="35" spans="1:35" ht="13.5" thickBot="1">
      <c r="A35" s="499"/>
      <c r="B35" s="96" t="s">
        <v>383</v>
      </c>
      <c r="C35" s="95" t="s">
        <v>382</v>
      </c>
      <c r="D35" s="94">
        <v>553.46500000000003</v>
      </c>
      <c r="E35" s="93">
        <v>300</v>
      </c>
      <c r="F35" s="94">
        <v>491.47570000000002</v>
      </c>
      <c r="G35" s="184">
        <v>0.5</v>
      </c>
      <c r="H35" s="184">
        <f t="shared" si="2"/>
        <v>245.73785000000001</v>
      </c>
      <c r="I35" s="84">
        <f t="shared" si="11"/>
        <v>54.262149999999991</v>
      </c>
      <c r="J35" s="92" t="s">
        <v>381</v>
      </c>
      <c r="K35" s="92">
        <v>660.12</v>
      </c>
      <c r="L35" s="92">
        <v>300</v>
      </c>
      <c r="M35" s="91">
        <f t="shared" si="9"/>
        <v>491.47570000000002</v>
      </c>
      <c r="N35" s="81">
        <f t="shared" si="12"/>
        <v>54.262149999999991</v>
      </c>
      <c r="O35" s="203" t="str">
        <f t="shared" si="10"/>
        <v>No</v>
      </c>
      <c r="P35" s="228"/>
      <c r="Q35" s="134"/>
      <c r="T35" s="138" t="s">
        <v>390</v>
      </c>
      <c r="U35" s="137" t="s">
        <v>389</v>
      </c>
      <c r="V35" s="136" t="s">
        <v>388</v>
      </c>
      <c r="X35" s="331"/>
      <c r="Y35" s="331"/>
      <c r="Z35" s="331"/>
      <c r="AA35" s="532"/>
      <c r="AB35" s="532"/>
      <c r="AC35" s="5"/>
      <c r="AD35" s="5"/>
      <c r="AE35" s="330"/>
      <c r="AF35" s="330"/>
      <c r="AG35" s="330"/>
      <c r="AH35" s="330"/>
      <c r="AI35" s="330"/>
    </row>
    <row r="36" spans="1:35" ht="13.5" thickBot="1">
      <c r="A36" s="497" t="s">
        <v>375</v>
      </c>
      <c r="B36" s="87" t="s">
        <v>379</v>
      </c>
      <c r="C36" s="86" t="s">
        <v>378</v>
      </c>
      <c r="D36" s="85">
        <v>839.23</v>
      </c>
      <c r="E36" s="84">
        <v>150</v>
      </c>
      <c r="F36" s="85">
        <v>213.84829999999999</v>
      </c>
      <c r="G36" s="184">
        <v>0.5</v>
      </c>
      <c r="H36" s="184">
        <f t="shared" si="2"/>
        <v>106.92415</v>
      </c>
      <c r="I36" s="84">
        <f t="shared" si="11"/>
        <v>43.075850000000003</v>
      </c>
      <c r="J36" s="83" t="s">
        <v>377</v>
      </c>
      <c r="K36" s="83">
        <v>844.89</v>
      </c>
      <c r="L36" s="83">
        <v>150</v>
      </c>
      <c r="M36" s="82">
        <f t="shared" si="9"/>
        <v>213.84829999999999</v>
      </c>
      <c r="N36" s="81">
        <f t="shared" si="12"/>
        <v>43.075850000000003</v>
      </c>
      <c r="O36" s="207" t="str">
        <f t="shared" si="10"/>
        <v>No</v>
      </c>
      <c r="P36" s="208"/>
      <c r="Q36" s="76"/>
      <c r="T36" s="169"/>
      <c r="U36" s="168"/>
      <c r="V36" s="99">
        <f>(U36/200)*100</f>
        <v>0</v>
      </c>
      <c r="X36" s="328"/>
      <c r="Y36" s="328"/>
      <c r="Z36" s="328"/>
      <c r="AA36" s="328"/>
      <c r="AB36" s="328"/>
      <c r="AC36" s="5"/>
      <c r="AD36" s="5"/>
      <c r="AE36" s="334"/>
      <c r="AF36" s="334"/>
      <c r="AG36" s="330"/>
      <c r="AH36" s="334"/>
      <c r="AI36" s="334"/>
    </row>
    <row r="37" spans="1:35" ht="13.5" thickBot="1">
      <c r="A37" s="499"/>
      <c r="B37" s="96" t="s">
        <v>376</v>
      </c>
      <c r="C37" s="95" t="s">
        <v>375</v>
      </c>
      <c r="D37" s="94">
        <v>497.76499999999999</v>
      </c>
      <c r="E37" s="94">
        <v>800</v>
      </c>
      <c r="F37" s="94">
        <v>1151.328</v>
      </c>
      <c r="G37" s="184">
        <v>0.5</v>
      </c>
      <c r="H37" s="184">
        <f t="shared" si="2"/>
        <v>575.66399999999999</v>
      </c>
      <c r="I37" s="84">
        <f t="shared" si="11"/>
        <v>224.33600000000001</v>
      </c>
      <c r="J37" s="92" t="s">
        <v>374</v>
      </c>
      <c r="K37" s="92">
        <v>503.42500000000001</v>
      </c>
      <c r="L37" s="92">
        <v>800</v>
      </c>
      <c r="M37" s="91">
        <f t="shared" si="9"/>
        <v>1151.328</v>
      </c>
      <c r="N37" s="81">
        <f t="shared" si="12"/>
        <v>224.33600000000001</v>
      </c>
      <c r="O37" s="207" t="str">
        <f t="shared" si="10"/>
        <v>No</v>
      </c>
      <c r="P37" s="206"/>
      <c r="Q37" s="66"/>
      <c r="T37" s="169" t="s">
        <v>12</v>
      </c>
      <c r="U37" s="168">
        <v>12.23</v>
      </c>
      <c r="V37" s="99">
        <f>(U37/E19)*100</f>
        <v>6.1150000000000002</v>
      </c>
      <c r="X37" s="330"/>
      <c r="Y37" s="330"/>
      <c r="Z37" s="18"/>
      <c r="AA37" s="331"/>
      <c r="AB37" s="331"/>
      <c r="AC37" s="5"/>
      <c r="AD37" s="5"/>
      <c r="AE37" s="330"/>
      <c r="AF37" s="330"/>
      <c r="AG37" s="330"/>
      <c r="AH37" s="330"/>
      <c r="AI37" s="330"/>
    </row>
    <row r="38" spans="1:35" ht="13.5" thickBot="1">
      <c r="A38" s="269" t="s">
        <v>372</v>
      </c>
      <c r="B38" s="87" t="s">
        <v>373</v>
      </c>
      <c r="C38" s="86" t="s">
        <v>372</v>
      </c>
      <c r="D38" s="85">
        <v>285.27999999999997</v>
      </c>
      <c r="E38" s="85">
        <v>500</v>
      </c>
      <c r="F38" s="85">
        <v>779.52329999999995</v>
      </c>
      <c r="G38" s="184">
        <v>0.5</v>
      </c>
      <c r="H38" s="184">
        <f t="shared" si="2"/>
        <v>389.76164999999997</v>
      </c>
      <c r="I38" s="84">
        <f t="shared" si="11"/>
        <v>110.23835000000003</v>
      </c>
      <c r="J38" s="83" t="s">
        <v>371</v>
      </c>
      <c r="K38" s="83">
        <v>539.80499999999995</v>
      </c>
      <c r="L38" s="83">
        <v>300</v>
      </c>
      <c r="M38" s="82">
        <f t="shared" si="9"/>
        <v>779.52329999999995</v>
      </c>
      <c r="N38" s="81">
        <f t="shared" si="12"/>
        <v>-89.761649999999975</v>
      </c>
      <c r="O38" s="223" t="str">
        <f t="shared" si="10"/>
        <v>Yes</v>
      </c>
      <c r="P38" s="222" t="s">
        <v>462</v>
      </c>
      <c r="Q38" s="221" t="s">
        <v>463</v>
      </c>
      <c r="T38" s="169" t="s">
        <v>6</v>
      </c>
      <c r="U38" s="168">
        <v>4.04</v>
      </c>
      <c r="V38" s="99">
        <f>(U38/E28)*100</f>
        <v>1.01</v>
      </c>
      <c r="X38" s="330"/>
      <c r="Y38" s="330"/>
      <c r="Z38" s="18"/>
      <c r="AA38" s="331"/>
      <c r="AB38" s="331"/>
      <c r="AC38" s="5"/>
      <c r="AD38" s="5"/>
      <c r="AE38" s="330"/>
      <c r="AF38" s="330"/>
      <c r="AG38" s="330"/>
      <c r="AH38" s="330"/>
      <c r="AI38" s="330"/>
    </row>
    <row r="39" spans="1:35" ht="13.5" thickBot="1">
      <c r="A39" s="497" t="s">
        <v>60</v>
      </c>
      <c r="B39" s="87" t="s">
        <v>368</v>
      </c>
      <c r="C39" s="86" t="s">
        <v>367</v>
      </c>
      <c r="D39" s="85">
        <v>239.47</v>
      </c>
      <c r="E39" s="84">
        <v>750</v>
      </c>
      <c r="F39" s="85">
        <v>886.15449999999998</v>
      </c>
      <c r="G39" s="184">
        <v>0.5</v>
      </c>
      <c r="H39" s="184">
        <f t="shared" si="2"/>
        <v>443.07724999999999</v>
      </c>
      <c r="I39" s="84">
        <f t="shared" si="11"/>
        <v>306.92275000000001</v>
      </c>
      <c r="J39" s="83" t="s">
        <v>366</v>
      </c>
      <c r="K39" s="83">
        <v>585.61500000000001</v>
      </c>
      <c r="L39" s="83">
        <v>450</v>
      </c>
      <c r="M39" s="82">
        <f t="shared" si="9"/>
        <v>886.15449999999998</v>
      </c>
      <c r="N39" s="81">
        <f t="shared" si="12"/>
        <v>6.9227500000000077</v>
      </c>
      <c r="O39" s="220" t="str">
        <f t="shared" si="10"/>
        <v>No</v>
      </c>
      <c r="P39" s="219"/>
      <c r="Q39" s="218"/>
      <c r="T39" s="169" t="s">
        <v>27</v>
      </c>
      <c r="U39" s="168">
        <v>28.09</v>
      </c>
      <c r="V39" s="99">
        <f>(U39/E46)*100</f>
        <v>14.045</v>
      </c>
      <c r="X39" s="330"/>
      <c r="Y39" s="330"/>
      <c r="Z39" s="18"/>
      <c r="AA39" s="331"/>
      <c r="AB39" s="331"/>
      <c r="AC39" s="5"/>
      <c r="AD39" s="5"/>
      <c r="AE39" s="330"/>
      <c r="AF39" s="330"/>
      <c r="AG39" s="330"/>
      <c r="AH39" s="330"/>
      <c r="AI39" s="330"/>
    </row>
    <row r="40" spans="1:35" ht="13.5" thickBot="1">
      <c r="A40" s="498"/>
      <c r="B40" s="75" t="s">
        <v>364</v>
      </c>
      <c r="C40" s="74" t="s">
        <v>61</v>
      </c>
      <c r="D40" s="73">
        <v>381.34</v>
      </c>
      <c r="E40" s="73">
        <v>200</v>
      </c>
      <c r="F40" s="73">
        <v>233.80699999999999</v>
      </c>
      <c r="G40" s="184">
        <v>0.5</v>
      </c>
      <c r="H40" s="184">
        <f t="shared" si="2"/>
        <v>116.90349999999999</v>
      </c>
      <c r="I40" s="84">
        <f t="shared" si="11"/>
        <v>83.096500000000006</v>
      </c>
      <c r="J40" s="72" t="s">
        <v>328</v>
      </c>
      <c r="K40" s="72">
        <v>673.16499999999996</v>
      </c>
      <c r="L40" s="72">
        <v>150</v>
      </c>
      <c r="M40" s="119">
        <f t="shared" si="9"/>
        <v>233.80699999999999</v>
      </c>
      <c r="N40" s="81">
        <f t="shared" si="12"/>
        <v>33.096500000000006</v>
      </c>
      <c r="O40" s="203" t="str">
        <f t="shared" si="10"/>
        <v>No</v>
      </c>
      <c r="P40" s="217"/>
      <c r="Q40" s="216"/>
      <c r="T40" s="169" t="s">
        <v>327</v>
      </c>
      <c r="U40" s="168">
        <v>116.26</v>
      </c>
      <c r="V40" s="99">
        <f>(U40/E35)*100</f>
        <v>38.753333333333337</v>
      </c>
      <c r="X40" s="330"/>
      <c r="Y40" s="330"/>
      <c r="Z40" s="330"/>
      <c r="AA40" s="331"/>
      <c r="AB40" s="331"/>
      <c r="AE40" s="330"/>
      <c r="AF40" s="330"/>
      <c r="AG40" s="330"/>
      <c r="AH40" s="330"/>
      <c r="AI40" s="330"/>
    </row>
    <row r="41" spans="1:35" ht="13.5" thickBot="1">
      <c r="A41" s="499" t="s">
        <v>363</v>
      </c>
      <c r="B41" s="63" t="s">
        <v>362</v>
      </c>
      <c r="C41" s="114" t="s">
        <v>74</v>
      </c>
      <c r="D41" s="94">
        <v>632.29499999999996</v>
      </c>
      <c r="E41" s="94">
        <v>300</v>
      </c>
      <c r="F41" s="94">
        <v>416.14780000000002</v>
      </c>
      <c r="G41" s="184">
        <v>0.5</v>
      </c>
      <c r="H41" s="184">
        <f t="shared" si="2"/>
        <v>208.07390000000001</v>
      </c>
      <c r="I41" s="84">
        <f t="shared" si="11"/>
        <v>91.926099999999991</v>
      </c>
      <c r="J41" s="92" t="s">
        <v>361</v>
      </c>
      <c r="K41" s="92">
        <v>692.19500000000005</v>
      </c>
      <c r="L41" s="92">
        <v>300</v>
      </c>
      <c r="M41" s="91">
        <f t="shared" si="9"/>
        <v>416.14780000000002</v>
      </c>
      <c r="N41" s="81">
        <f t="shared" si="12"/>
        <v>91.926099999999991</v>
      </c>
      <c r="O41" s="203" t="str">
        <f t="shared" si="10"/>
        <v>No</v>
      </c>
      <c r="P41" s="211"/>
      <c r="Q41" s="103"/>
      <c r="T41" s="169" t="s">
        <v>14</v>
      </c>
      <c r="U41" s="168">
        <v>2.17</v>
      </c>
      <c r="V41" s="99">
        <f>U41/E26 * 100</f>
        <v>0.54249999999999998</v>
      </c>
      <c r="X41" s="330"/>
      <c r="Y41" s="330"/>
      <c r="Z41" s="330"/>
      <c r="AA41" s="331"/>
      <c r="AB41" s="331"/>
      <c r="AE41" s="330"/>
      <c r="AF41" s="330"/>
      <c r="AG41" s="330"/>
      <c r="AH41" s="330"/>
      <c r="AI41" s="330"/>
    </row>
    <row r="42" spans="1:35" ht="13.5" thickBot="1">
      <c r="A42" s="499"/>
      <c r="B42" s="96" t="s">
        <v>360</v>
      </c>
      <c r="C42" s="95" t="s">
        <v>55</v>
      </c>
      <c r="D42" s="108">
        <v>566.26</v>
      </c>
      <c r="E42" s="108">
        <v>300</v>
      </c>
      <c r="F42" s="108">
        <v>424.66829999999999</v>
      </c>
      <c r="G42" s="184">
        <v>0.5</v>
      </c>
      <c r="H42" s="184">
        <f t="shared" si="2"/>
        <v>212.33414999999999</v>
      </c>
      <c r="I42" s="84">
        <f t="shared" si="11"/>
        <v>87.665850000000006</v>
      </c>
      <c r="J42" s="106" t="s">
        <v>359</v>
      </c>
      <c r="K42" s="106">
        <v>1033.6600000000001</v>
      </c>
      <c r="L42" s="106">
        <v>300</v>
      </c>
      <c r="M42" s="105">
        <f t="shared" si="9"/>
        <v>424.66829999999999</v>
      </c>
      <c r="N42" s="81">
        <f t="shared" si="12"/>
        <v>87.665850000000006</v>
      </c>
      <c r="O42" s="203" t="str">
        <f t="shared" si="10"/>
        <v>No</v>
      </c>
      <c r="P42" s="211"/>
      <c r="Q42" s="103"/>
      <c r="T42" s="126" t="s">
        <v>369</v>
      </c>
      <c r="U42" s="277">
        <f>SUM(U37:U41)</f>
        <v>162.79</v>
      </c>
      <c r="V42" s="230"/>
      <c r="X42" s="18"/>
      <c r="Y42" s="330"/>
      <c r="Z42" s="18"/>
      <c r="AA42" s="331"/>
      <c r="AB42" s="331"/>
      <c r="AC42" s="327"/>
      <c r="AD42" s="5"/>
      <c r="AE42" s="330"/>
      <c r="AF42" s="330"/>
      <c r="AG42" s="330"/>
      <c r="AH42" s="330"/>
      <c r="AI42" s="330"/>
    </row>
    <row r="43" spans="1:35" ht="13.5" thickBot="1">
      <c r="A43" s="499"/>
      <c r="B43" s="96" t="s">
        <v>358</v>
      </c>
      <c r="C43" s="95" t="s">
        <v>62</v>
      </c>
      <c r="D43" s="94">
        <v>174.54</v>
      </c>
      <c r="E43" s="94">
        <v>250</v>
      </c>
      <c r="F43" s="94">
        <v>80.336669999999998</v>
      </c>
      <c r="G43" s="184">
        <v>0.5</v>
      </c>
      <c r="H43" s="184">
        <f t="shared" si="2"/>
        <v>40.168334999999999</v>
      </c>
      <c r="I43" s="84">
        <f t="shared" si="11"/>
        <v>209.83166499999999</v>
      </c>
      <c r="J43" s="92" t="s">
        <v>357</v>
      </c>
      <c r="K43" s="92">
        <v>811.21</v>
      </c>
      <c r="L43" s="92">
        <v>150</v>
      </c>
      <c r="M43" s="105">
        <f t="shared" si="9"/>
        <v>80.336669999999998</v>
      </c>
      <c r="N43" s="81">
        <f t="shared" si="12"/>
        <v>109.831665</v>
      </c>
      <c r="O43" s="203" t="str">
        <f t="shared" si="10"/>
        <v>No</v>
      </c>
      <c r="P43" s="211"/>
      <c r="Q43" s="103"/>
      <c r="T43" s="17" t="s">
        <v>365</v>
      </c>
      <c r="U43" s="17">
        <f>U42/8650 * 100</f>
        <v>1.8819653179190752</v>
      </c>
      <c r="V43" s="229"/>
      <c r="X43" s="18"/>
      <c r="Y43" s="330"/>
      <c r="Z43" s="18"/>
      <c r="AA43" s="331"/>
      <c r="AB43" s="331"/>
      <c r="AC43" s="5"/>
      <c r="AD43" s="5"/>
      <c r="AE43" s="330"/>
      <c r="AF43" s="330"/>
      <c r="AG43" s="330"/>
      <c r="AH43" s="330"/>
      <c r="AI43" s="330"/>
    </row>
    <row r="44" spans="1:35" ht="13.5" thickBot="1">
      <c r="A44" s="269" t="s">
        <v>355</v>
      </c>
      <c r="B44" s="87" t="s">
        <v>356</v>
      </c>
      <c r="C44" s="86" t="s">
        <v>355</v>
      </c>
      <c r="D44" s="85">
        <v>517.28</v>
      </c>
      <c r="E44" s="85">
        <v>200</v>
      </c>
      <c r="F44" s="85">
        <v>67.241829999999993</v>
      </c>
      <c r="G44" s="184">
        <v>0.5</v>
      </c>
      <c r="H44" s="184">
        <f t="shared" si="2"/>
        <v>33.620914999999997</v>
      </c>
      <c r="I44" s="84">
        <f t="shared" si="11"/>
        <v>166.379085</v>
      </c>
      <c r="J44" s="83" t="s">
        <v>354</v>
      </c>
      <c r="K44" s="83">
        <v>607.995</v>
      </c>
      <c r="L44" s="83">
        <v>150</v>
      </c>
      <c r="M44" s="82">
        <f t="shared" si="9"/>
        <v>67.241829999999993</v>
      </c>
      <c r="N44" s="81">
        <f t="shared" si="12"/>
        <v>116.379085</v>
      </c>
      <c r="O44" s="207" t="str">
        <f t="shared" si="10"/>
        <v>No</v>
      </c>
      <c r="P44" s="215"/>
      <c r="Q44" s="214"/>
      <c r="T44" s="11"/>
      <c r="U44" s="11"/>
      <c r="V44" s="11"/>
      <c r="X44" s="18"/>
      <c r="Y44" s="330"/>
      <c r="Z44" s="330"/>
      <c r="AA44" s="331"/>
      <c r="AB44" s="331"/>
      <c r="AC44" s="5"/>
      <c r="AD44" s="5"/>
      <c r="AE44" s="330"/>
      <c r="AF44" s="330"/>
      <c r="AG44" s="330"/>
      <c r="AH44" s="330"/>
      <c r="AI44" s="330"/>
    </row>
    <row r="45" spans="1:35" ht="13.5" thickBot="1">
      <c r="A45" s="497" t="s">
        <v>349</v>
      </c>
      <c r="B45" s="87" t="s">
        <v>353</v>
      </c>
      <c r="C45" s="86" t="s">
        <v>342</v>
      </c>
      <c r="D45" s="85">
        <v>592.98500000000001</v>
      </c>
      <c r="E45" s="85">
        <v>150</v>
      </c>
      <c r="F45" s="85">
        <v>175.91919999999999</v>
      </c>
      <c r="G45" s="184">
        <v>0.5</v>
      </c>
      <c r="H45" s="184">
        <f t="shared" si="2"/>
        <v>87.959599999999995</v>
      </c>
      <c r="I45" s="84">
        <f t="shared" si="11"/>
        <v>62.040400000000005</v>
      </c>
      <c r="J45" s="83" t="s">
        <v>352</v>
      </c>
      <c r="K45" s="83">
        <v>1051.23</v>
      </c>
      <c r="L45" s="83">
        <v>150</v>
      </c>
      <c r="M45" s="82">
        <f t="shared" si="9"/>
        <v>175.91919999999999</v>
      </c>
      <c r="N45" s="81">
        <f t="shared" si="12"/>
        <v>62.040400000000005</v>
      </c>
      <c r="O45" s="203" t="str">
        <f t="shared" si="10"/>
        <v>No</v>
      </c>
      <c r="P45" s="213"/>
      <c r="Q45" s="104"/>
      <c r="T45" s="320"/>
      <c r="U45" s="320"/>
      <c r="V45" s="320"/>
      <c r="X45" s="320"/>
      <c r="Y45" s="320"/>
      <c r="Z45" s="320"/>
      <c r="AA45" s="287"/>
      <c r="AB45" s="287"/>
      <c r="AC45" s="5"/>
      <c r="AD45" s="5"/>
      <c r="AE45" s="330"/>
      <c r="AF45" s="330"/>
      <c r="AG45" s="330"/>
      <c r="AH45" s="330"/>
      <c r="AI45" s="330"/>
    </row>
    <row r="46" spans="1:35" ht="13.5" thickBot="1">
      <c r="A46" s="499"/>
      <c r="B46" s="96" t="s">
        <v>350</v>
      </c>
      <c r="C46" s="95" t="s">
        <v>349</v>
      </c>
      <c r="D46" s="108">
        <v>374.84</v>
      </c>
      <c r="E46" s="108">
        <v>200</v>
      </c>
      <c r="F46" s="108">
        <v>115.1143</v>
      </c>
      <c r="G46" s="184">
        <v>0.5</v>
      </c>
      <c r="H46" s="184">
        <f t="shared" si="2"/>
        <v>57.55715</v>
      </c>
      <c r="I46" s="84">
        <f t="shared" si="11"/>
        <v>142.44284999999999</v>
      </c>
      <c r="J46" s="106" t="s">
        <v>348</v>
      </c>
      <c r="K46" s="106">
        <v>838.745</v>
      </c>
      <c r="L46" s="106">
        <v>150</v>
      </c>
      <c r="M46" s="105">
        <f t="shared" si="9"/>
        <v>115.1143</v>
      </c>
      <c r="N46" s="81">
        <f t="shared" si="12"/>
        <v>92.442849999999993</v>
      </c>
      <c r="O46" s="203" t="str">
        <f t="shared" si="10"/>
        <v>No</v>
      </c>
      <c r="P46" s="212"/>
      <c r="Q46" s="209"/>
      <c r="T46" s="11"/>
      <c r="U46" s="11"/>
      <c r="V46" s="11"/>
      <c r="X46" s="320"/>
      <c r="Y46" s="320"/>
      <c r="Z46" s="320"/>
      <c r="AA46" s="287"/>
      <c r="AB46" s="287"/>
      <c r="AC46" s="5"/>
      <c r="AD46" s="5"/>
      <c r="AE46" s="330"/>
      <c r="AF46" s="330"/>
      <c r="AG46" s="330"/>
      <c r="AH46" s="330"/>
      <c r="AI46" s="330"/>
    </row>
    <row r="47" spans="1:35" ht="13.5" thickBot="1">
      <c r="A47" s="499"/>
      <c r="B47" s="96" t="s">
        <v>347</v>
      </c>
      <c r="C47" s="95" t="s">
        <v>335</v>
      </c>
      <c r="D47" s="108">
        <v>675.17499999999995</v>
      </c>
      <c r="E47" s="108">
        <v>150</v>
      </c>
      <c r="F47" s="108">
        <v>87.5685</v>
      </c>
      <c r="G47" s="184">
        <v>0.5</v>
      </c>
      <c r="H47" s="184">
        <f t="shared" si="2"/>
        <v>43.78425</v>
      </c>
      <c r="I47" s="84">
        <f t="shared" si="11"/>
        <v>106.21575</v>
      </c>
      <c r="J47" s="106" t="s">
        <v>346</v>
      </c>
      <c r="K47" s="106">
        <v>792.93499999999995</v>
      </c>
      <c r="L47" s="106">
        <v>150</v>
      </c>
      <c r="M47" s="105">
        <f t="shared" si="9"/>
        <v>87.5685</v>
      </c>
      <c r="N47" s="81">
        <f t="shared" si="12"/>
        <v>106.21575</v>
      </c>
      <c r="O47" s="203" t="str">
        <f t="shared" si="10"/>
        <v>No</v>
      </c>
      <c r="P47" s="212"/>
      <c r="Q47" s="209"/>
      <c r="X47" s="320"/>
      <c r="Y47" s="320"/>
      <c r="Z47" s="320"/>
      <c r="AA47" s="287"/>
      <c r="AB47" s="287"/>
      <c r="AC47" s="5"/>
      <c r="AD47" s="5"/>
      <c r="AE47" s="330"/>
      <c r="AF47" s="330"/>
      <c r="AG47" s="330"/>
      <c r="AH47" s="330"/>
      <c r="AI47" s="330"/>
    </row>
    <row r="48" spans="1:35" ht="13.5" thickBot="1">
      <c r="A48" s="499"/>
      <c r="B48" s="96" t="s">
        <v>339</v>
      </c>
      <c r="C48" s="95" t="s">
        <v>338</v>
      </c>
      <c r="D48" s="94">
        <v>768.38499999999999</v>
      </c>
      <c r="E48" s="94">
        <v>150</v>
      </c>
      <c r="F48" s="94">
        <v>46.164000000000001</v>
      </c>
      <c r="G48" s="184">
        <v>0.5</v>
      </c>
      <c r="H48" s="184">
        <f t="shared" si="2"/>
        <v>23.082000000000001</v>
      </c>
      <c r="I48" s="84">
        <f t="shared" si="11"/>
        <v>126.91800000000001</v>
      </c>
      <c r="J48" s="92" t="s">
        <v>345</v>
      </c>
      <c r="K48" s="92">
        <v>934.80499999999995</v>
      </c>
      <c r="L48" s="92">
        <v>150</v>
      </c>
      <c r="M48" s="91">
        <f t="shared" si="9"/>
        <v>46.164000000000001</v>
      </c>
      <c r="N48" s="81">
        <f t="shared" si="12"/>
        <v>126.91800000000001</v>
      </c>
      <c r="O48" s="203" t="str">
        <f t="shared" si="10"/>
        <v>No</v>
      </c>
      <c r="P48" s="211"/>
      <c r="Q48" s="103"/>
      <c r="X48" s="534"/>
      <c r="Y48" s="534"/>
      <c r="Z48" s="534"/>
      <c r="AA48" s="331"/>
      <c r="AB48" s="331"/>
      <c r="AC48" s="5"/>
      <c r="AD48" s="5"/>
      <c r="AE48" s="5"/>
      <c r="AF48" s="5"/>
      <c r="AG48" s="5"/>
      <c r="AH48" s="5"/>
      <c r="AI48" s="5"/>
    </row>
    <row r="49" spans="1:45" ht="13.5" thickBot="1">
      <c r="A49" s="497" t="s">
        <v>344</v>
      </c>
      <c r="B49" s="87" t="s">
        <v>343</v>
      </c>
      <c r="C49" s="86" t="s">
        <v>342</v>
      </c>
      <c r="D49" s="85">
        <v>592.98500000000001</v>
      </c>
      <c r="E49" s="85">
        <v>150</v>
      </c>
      <c r="F49" s="85">
        <v>175.91919999999999</v>
      </c>
      <c r="G49" s="184">
        <v>0.5</v>
      </c>
      <c r="H49" s="184">
        <f t="shared" si="2"/>
        <v>87.959599999999995</v>
      </c>
      <c r="I49" s="84">
        <f t="shared" si="11"/>
        <v>62.040400000000005</v>
      </c>
      <c r="J49" s="83" t="s">
        <v>341</v>
      </c>
      <c r="K49" s="83">
        <v>992.44500000000005</v>
      </c>
      <c r="L49" s="83">
        <v>150</v>
      </c>
      <c r="M49" s="82">
        <f t="shared" si="9"/>
        <v>175.91919999999999</v>
      </c>
      <c r="N49" s="81">
        <f t="shared" si="12"/>
        <v>62.040400000000005</v>
      </c>
      <c r="O49" s="203" t="str">
        <f t="shared" si="10"/>
        <v>No</v>
      </c>
      <c r="P49" s="204"/>
      <c r="Q49" s="104"/>
      <c r="X49" s="330"/>
      <c r="Y49" s="330"/>
      <c r="Z49" s="330"/>
      <c r="AA49" s="532"/>
      <c r="AB49" s="532"/>
      <c r="AC49" s="5"/>
      <c r="AD49" s="5"/>
      <c r="AE49" s="5"/>
      <c r="AF49" s="5"/>
      <c r="AG49" s="5"/>
      <c r="AH49" s="5"/>
      <c r="AI49" s="5"/>
    </row>
    <row r="50" spans="1:45" ht="13.5" thickBot="1">
      <c r="A50" s="499"/>
      <c r="B50" s="96" t="s">
        <v>339</v>
      </c>
      <c r="C50" s="95" t="s">
        <v>338</v>
      </c>
      <c r="D50" s="94">
        <v>768.38499999999999</v>
      </c>
      <c r="E50" s="94">
        <v>150</v>
      </c>
      <c r="F50" s="94">
        <v>46.164000000000001</v>
      </c>
      <c r="G50" s="184">
        <v>0.5</v>
      </c>
      <c r="H50" s="184">
        <f t="shared" si="2"/>
        <v>23.082000000000001</v>
      </c>
      <c r="I50" s="84">
        <f t="shared" si="11"/>
        <v>126.91800000000001</v>
      </c>
      <c r="J50" s="92" t="s">
        <v>337</v>
      </c>
      <c r="K50" s="92">
        <v>817.04499999999996</v>
      </c>
      <c r="L50" s="92">
        <v>150</v>
      </c>
      <c r="M50" s="91">
        <f t="shared" si="9"/>
        <v>46.164000000000001</v>
      </c>
      <c r="N50" s="81">
        <f t="shared" si="12"/>
        <v>126.91800000000001</v>
      </c>
      <c r="O50" s="203" t="str">
        <f t="shared" si="10"/>
        <v>No</v>
      </c>
      <c r="P50" s="210"/>
      <c r="Q50" s="209"/>
      <c r="X50" s="329"/>
      <c r="Y50" s="329"/>
      <c r="Z50" s="329"/>
      <c r="AA50" s="328"/>
      <c r="AB50" s="328"/>
      <c r="AC50" s="5"/>
      <c r="AD50" s="5"/>
      <c r="AE50" s="494" t="s">
        <v>548</v>
      </c>
      <c r="AF50" s="495"/>
      <c r="AG50" s="495"/>
      <c r="AH50" s="495"/>
      <c r="AI50" s="495"/>
      <c r="AJ50" s="496"/>
      <c r="AK50" s="166"/>
      <c r="AL50" s="5"/>
      <c r="AM50" s="5"/>
      <c r="AN50" s="5"/>
      <c r="AO50" s="5"/>
    </row>
    <row r="51" spans="1:45" ht="13.5" thickBot="1">
      <c r="A51" s="497" t="s">
        <v>340</v>
      </c>
      <c r="B51" s="87" t="s">
        <v>339</v>
      </c>
      <c r="C51" s="86" t="s">
        <v>338</v>
      </c>
      <c r="D51" s="85">
        <v>768.38499999999999</v>
      </c>
      <c r="E51" s="85">
        <v>150</v>
      </c>
      <c r="F51" s="85">
        <v>46.164000000000001</v>
      </c>
      <c r="G51" s="184">
        <v>0.5</v>
      </c>
      <c r="H51" s="184">
        <f t="shared" si="2"/>
        <v>23.082000000000001</v>
      </c>
      <c r="I51" s="84">
        <f t="shared" si="11"/>
        <v>126.91800000000001</v>
      </c>
      <c r="J51" s="83" t="s">
        <v>337</v>
      </c>
      <c r="K51" s="83">
        <v>817.04499999999996</v>
      </c>
      <c r="L51" s="83">
        <v>150</v>
      </c>
      <c r="M51" s="82">
        <f t="shared" si="9"/>
        <v>46.164000000000001</v>
      </c>
      <c r="N51" s="81">
        <f t="shared" si="12"/>
        <v>126.91800000000001</v>
      </c>
      <c r="O51" s="207" t="str">
        <f t="shared" si="10"/>
        <v>No</v>
      </c>
      <c r="P51" s="208"/>
      <c r="Q51" s="76"/>
      <c r="X51" s="330"/>
      <c r="Y51" s="330"/>
      <c r="Z51" s="18"/>
      <c r="AA51" s="331"/>
      <c r="AB51" s="331"/>
      <c r="AE51" s="336" t="s">
        <v>470</v>
      </c>
      <c r="AF51" s="337" t="s">
        <v>471</v>
      </c>
      <c r="AG51" s="337" t="s">
        <v>472</v>
      </c>
      <c r="AH51" s="337" t="s">
        <v>473</v>
      </c>
      <c r="AI51" s="338" t="s">
        <v>474</v>
      </c>
      <c r="AJ51" s="339" t="s">
        <v>527</v>
      </c>
      <c r="AK51" s="340" t="s">
        <v>418</v>
      </c>
      <c r="AL51" s="5"/>
      <c r="AM51" s="5"/>
      <c r="AN51" s="5"/>
      <c r="AO51" s="5"/>
    </row>
    <row r="52" spans="1:45" ht="13.5" thickBot="1">
      <c r="A52" s="499"/>
      <c r="B52" s="96" t="s">
        <v>30</v>
      </c>
      <c r="C52" s="95" t="s">
        <v>326</v>
      </c>
      <c r="D52" s="94">
        <v>317.27</v>
      </c>
      <c r="E52" s="94">
        <v>200</v>
      </c>
      <c r="F52" s="94">
        <v>136.87530000000001</v>
      </c>
      <c r="G52" s="184">
        <v>0.5</v>
      </c>
      <c r="H52" s="184">
        <f t="shared" si="2"/>
        <v>68.437650000000005</v>
      </c>
      <c r="I52" s="84">
        <f t="shared" si="11"/>
        <v>131.56234999999998</v>
      </c>
      <c r="J52" s="92" t="s">
        <v>325</v>
      </c>
      <c r="K52" s="92">
        <v>518.48</v>
      </c>
      <c r="L52" s="92">
        <v>200</v>
      </c>
      <c r="M52" s="91">
        <f t="shared" si="9"/>
        <v>136.87530000000001</v>
      </c>
      <c r="N52" s="81">
        <f t="shared" si="12"/>
        <v>131.56234999999998</v>
      </c>
      <c r="O52" s="207" t="str">
        <f t="shared" si="10"/>
        <v>No</v>
      </c>
      <c r="P52" s="206"/>
      <c r="Q52" s="66"/>
      <c r="X52" s="330"/>
      <c r="Y52" s="330"/>
      <c r="Z52" s="18"/>
      <c r="AA52" s="331"/>
      <c r="AB52" s="331"/>
      <c r="AC52" s="5"/>
      <c r="AD52" s="5"/>
      <c r="AE52" s="60" t="s">
        <v>84</v>
      </c>
      <c r="AF52" s="341">
        <v>0</v>
      </c>
      <c r="AG52" s="341">
        <v>0</v>
      </c>
      <c r="AH52" s="342">
        <v>0</v>
      </c>
      <c r="AI52" s="342">
        <v>0</v>
      </c>
      <c r="AJ52" s="343">
        <v>0</v>
      </c>
      <c r="AK52" s="344">
        <f>SUM(AF52:AJ52)</f>
        <v>0</v>
      </c>
      <c r="AL52" s="5"/>
      <c r="AM52" s="5"/>
      <c r="AN52" s="5"/>
      <c r="AO52" s="5"/>
    </row>
    <row r="53" spans="1:45" ht="13.5" thickBot="1">
      <c r="A53" s="497" t="s">
        <v>336</v>
      </c>
      <c r="B53" s="87" t="s">
        <v>28</v>
      </c>
      <c r="C53" s="86" t="s">
        <v>335</v>
      </c>
      <c r="D53" s="85">
        <v>675.17499999999995</v>
      </c>
      <c r="E53" s="85">
        <v>150</v>
      </c>
      <c r="F53" s="85">
        <v>87.5685</v>
      </c>
      <c r="G53" s="184">
        <v>0.5</v>
      </c>
      <c r="H53" s="184">
        <f t="shared" si="2"/>
        <v>43.78425</v>
      </c>
      <c r="I53" s="84">
        <f t="shared" si="11"/>
        <v>106.21575</v>
      </c>
      <c r="J53" s="83" t="s">
        <v>334</v>
      </c>
      <c r="K53" s="83">
        <v>792.93499999999995</v>
      </c>
      <c r="L53" s="83">
        <v>150</v>
      </c>
      <c r="M53" s="82">
        <f t="shared" si="9"/>
        <v>87.5685</v>
      </c>
      <c r="N53" s="81">
        <f t="shared" si="12"/>
        <v>106.21575</v>
      </c>
      <c r="O53" s="203" t="str">
        <f t="shared" si="10"/>
        <v>No</v>
      </c>
      <c r="P53" s="60"/>
      <c r="Q53" s="99"/>
      <c r="X53" s="330"/>
      <c r="Y53" s="330"/>
      <c r="Z53" s="18"/>
      <c r="AA53" s="331"/>
      <c r="AB53" s="331"/>
      <c r="AC53" s="5"/>
      <c r="AD53" s="5"/>
      <c r="AE53" s="60" t="s">
        <v>85</v>
      </c>
      <c r="AF53" s="341">
        <v>1</v>
      </c>
      <c r="AG53" s="341">
        <v>0</v>
      </c>
      <c r="AH53" s="341">
        <v>0</v>
      </c>
      <c r="AI53" s="341">
        <v>0</v>
      </c>
      <c r="AJ53" s="343">
        <v>0</v>
      </c>
      <c r="AK53" s="60">
        <f t="shared" ref="AK53:AK63" si="13">SUM(AF53:AJ53)</f>
        <v>1</v>
      </c>
      <c r="AL53" s="5"/>
      <c r="AM53" s="5"/>
      <c r="AN53" s="5"/>
      <c r="AO53" s="5"/>
    </row>
    <row r="54" spans="1:45" ht="13.5" thickBot="1">
      <c r="A54" s="499"/>
      <c r="B54" s="96" t="s">
        <v>333</v>
      </c>
      <c r="C54" s="95" t="s">
        <v>332</v>
      </c>
      <c r="D54" s="94">
        <v>300.33499999999998</v>
      </c>
      <c r="E54" s="94">
        <v>200</v>
      </c>
      <c r="F54" s="94">
        <v>33.29833</v>
      </c>
      <c r="G54" s="184">
        <v>0.5</v>
      </c>
      <c r="H54" s="184">
        <f t="shared" si="2"/>
        <v>16.649165</v>
      </c>
      <c r="I54" s="84">
        <f t="shared" si="11"/>
        <v>183.35083499999999</v>
      </c>
      <c r="J54" s="92" t="s">
        <v>331</v>
      </c>
      <c r="K54" s="92">
        <v>524.75</v>
      </c>
      <c r="L54" s="92">
        <v>200</v>
      </c>
      <c r="M54" s="91">
        <f t="shared" si="9"/>
        <v>33.29833</v>
      </c>
      <c r="N54" s="81">
        <f t="shared" si="12"/>
        <v>183.35083499999999</v>
      </c>
      <c r="O54" s="203" t="str">
        <f t="shared" si="10"/>
        <v>No</v>
      </c>
      <c r="P54" s="60"/>
      <c r="Q54" s="99"/>
      <c r="X54" s="330"/>
      <c r="Y54" s="330"/>
      <c r="Z54" s="18"/>
      <c r="AA54" s="331"/>
      <c r="AB54" s="331"/>
      <c r="AE54" s="60" t="s">
        <v>86</v>
      </c>
      <c r="AF54" s="341">
        <v>1</v>
      </c>
      <c r="AG54" s="341">
        <v>0</v>
      </c>
      <c r="AH54" s="341">
        <v>0</v>
      </c>
      <c r="AI54" s="341">
        <v>0</v>
      </c>
      <c r="AJ54" s="343">
        <v>0</v>
      </c>
      <c r="AK54" s="60">
        <f t="shared" si="13"/>
        <v>1</v>
      </c>
      <c r="AL54" s="5"/>
      <c r="AM54" s="405" t="s">
        <v>476</v>
      </c>
      <c r="AN54" s="405" t="s">
        <v>477</v>
      </c>
      <c r="AO54" s="345" t="s">
        <v>478</v>
      </c>
    </row>
    <row r="55" spans="1:45" ht="13.5" thickBot="1">
      <c r="A55" s="497" t="s">
        <v>330</v>
      </c>
      <c r="B55" s="87" t="s">
        <v>329</v>
      </c>
      <c r="C55" s="86" t="s">
        <v>61</v>
      </c>
      <c r="D55" s="85">
        <v>381.34</v>
      </c>
      <c r="E55" s="85">
        <v>200</v>
      </c>
      <c r="F55" s="85">
        <v>233.80699999999999</v>
      </c>
      <c r="G55" s="184">
        <v>0.5</v>
      </c>
      <c r="H55" s="184">
        <f t="shared" si="2"/>
        <v>116.90349999999999</v>
      </c>
      <c r="I55" s="84">
        <f t="shared" si="11"/>
        <v>83.096500000000006</v>
      </c>
      <c r="J55" s="83" t="s">
        <v>328</v>
      </c>
      <c r="K55" s="83">
        <v>673.16499999999996</v>
      </c>
      <c r="L55" s="83">
        <v>200</v>
      </c>
      <c r="M55" s="82">
        <f t="shared" si="9"/>
        <v>233.80699999999999</v>
      </c>
      <c r="N55" s="81">
        <f t="shared" si="12"/>
        <v>83.096500000000006</v>
      </c>
      <c r="O55" s="203" t="str">
        <f t="shared" si="10"/>
        <v>No</v>
      </c>
      <c r="P55" s="204"/>
      <c r="Q55" s="104"/>
      <c r="X55" s="330"/>
      <c r="Y55" s="330"/>
      <c r="Z55" s="18"/>
      <c r="AA55" s="331"/>
      <c r="AB55" s="331"/>
      <c r="AE55" s="60" t="s">
        <v>87</v>
      </c>
      <c r="AF55" s="341">
        <v>1</v>
      </c>
      <c r="AG55" s="341">
        <v>1</v>
      </c>
      <c r="AH55" s="341">
        <v>0</v>
      </c>
      <c r="AI55" s="341">
        <v>0</v>
      </c>
      <c r="AJ55" s="343">
        <v>0</v>
      </c>
      <c r="AK55" s="60">
        <f t="shared" si="13"/>
        <v>2</v>
      </c>
      <c r="AL55" s="5"/>
      <c r="AM55" s="61" t="s">
        <v>471</v>
      </c>
      <c r="AN55" s="61">
        <v>100</v>
      </c>
      <c r="AO55" s="413">
        <v>15</v>
      </c>
    </row>
    <row r="56" spans="1:45" ht="13.5" thickBot="1">
      <c r="A56" s="498"/>
      <c r="B56" s="75" t="s">
        <v>30</v>
      </c>
      <c r="C56" s="74" t="s">
        <v>326</v>
      </c>
      <c r="D56" s="73">
        <v>317.27</v>
      </c>
      <c r="E56" s="73">
        <v>200</v>
      </c>
      <c r="F56" s="73">
        <v>136.87530000000001</v>
      </c>
      <c r="G56" s="184">
        <v>0.5</v>
      </c>
      <c r="H56" s="184">
        <f t="shared" si="2"/>
        <v>68.437650000000005</v>
      </c>
      <c r="I56" s="84">
        <f t="shared" si="11"/>
        <v>131.56234999999998</v>
      </c>
      <c r="J56" s="72" t="s">
        <v>325</v>
      </c>
      <c r="K56" s="72">
        <v>518.48</v>
      </c>
      <c r="L56" s="72">
        <v>200</v>
      </c>
      <c r="M56" s="71">
        <f t="shared" si="9"/>
        <v>136.87530000000001</v>
      </c>
      <c r="N56" s="81">
        <f t="shared" si="12"/>
        <v>131.56234999999998</v>
      </c>
      <c r="O56" s="203" t="str">
        <f t="shared" si="10"/>
        <v>No</v>
      </c>
      <c r="P56" s="202"/>
      <c r="Q56" s="201"/>
      <c r="X56" s="18"/>
      <c r="Y56" s="330"/>
      <c r="Z56" s="18"/>
      <c r="AA56" s="331"/>
      <c r="AB56" s="331"/>
      <c r="AC56" s="327"/>
      <c r="AD56" s="5"/>
      <c r="AE56" s="60" t="s">
        <v>88</v>
      </c>
      <c r="AF56" s="341">
        <v>1</v>
      </c>
      <c r="AG56" s="341">
        <v>0</v>
      </c>
      <c r="AH56" s="341">
        <v>0</v>
      </c>
      <c r="AI56" s="341">
        <v>0</v>
      </c>
      <c r="AJ56" s="343">
        <v>0</v>
      </c>
      <c r="AK56" s="60">
        <f t="shared" si="13"/>
        <v>1</v>
      </c>
      <c r="AL56" s="330"/>
      <c r="AM56" s="346" t="s">
        <v>472</v>
      </c>
      <c r="AN56" s="346">
        <v>150</v>
      </c>
      <c r="AO56" s="414">
        <v>16.3689</v>
      </c>
    </row>
    <row r="57" spans="1:45">
      <c r="X57" s="257"/>
      <c r="Y57" s="331"/>
      <c r="Z57" s="257"/>
      <c r="AA57" s="331"/>
      <c r="AB57" s="331"/>
      <c r="AE57" s="60" t="s">
        <v>89</v>
      </c>
      <c r="AF57" s="341">
        <v>0</v>
      </c>
      <c r="AG57" s="341">
        <v>0</v>
      </c>
      <c r="AH57" s="341">
        <v>0</v>
      </c>
      <c r="AI57" s="341">
        <v>0</v>
      </c>
      <c r="AJ57" s="343">
        <v>0</v>
      </c>
      <c r="AK57" s="60">
        <f t="shared" si="13"/>
        <v>0</v>
      </c>
      <c r="AL57" s="329"/>
      <c r="AM57" s="346" t="s">
        <v>473</v>
      </c>
      <c r="AN57" s="346">
        <v>200</v>
      </c>
      <c r="AO57" s="414">
        <v>16.746700000000001</v>
      </c>
    </row>
    <row r="58" spans="1:45">
      <c r="X58" s="257"/>
      <c r="Y58" s="331"/>
      <c r="Z58" s="331"/>
      <c r="AA58" s="331"/>
      <c r="AB58" s="331"/>
      <c r="AE58" s="60" t="s">
        <v>90</v>
      </c>
      <c r="AF58" s="341">
        <v>0</v>
      </c>
      <c r="AG58" s="341">
        <v>0</v>
      </c>
      <c r="AH58" s="341">
        <v>0</v>
      </c>
      <c r="AI58" s="341">
        <v>0</v>
      </c>
      <c r="AJ58" s="343">
        <v>0</v>
      </c>
      <c r="AK58" s="60">
        <f t="shared" si="13"/>
        <v>0</v>
      </c>
      <c r="AL58" s="329"/>
      <c r="AM58" s="346" t="s">
        <v>474</v>
      </c>
      <c r="AN58" s="346">
        <v>250</v>
      </c>
      <c r="AO58" s="414">
        <v>16.886600000000001</v>
      </c>
    </row>
    <row r="59" spans="1:45">
      <c r="AE59" s="60" t="s">
        <v>91</v>
      </c>
      <c r="AF59" s="341">
        <v>1</v>
      </c>
      <c r="AG59" s="341">
        <v>1</v>
      </c>
      <c r="AH59" s="343">
        <v>0</v>
      </c>
      <c r="AI59" s="343">
        <v>0</v>
      </c>
      <c r="AJ59" s="343">
        <v>0</v>
      </c>
      <c r="AK59" s="60">
        <f t="shared" si="13"/>
        <v>2</v>
      </c>
      <c r="AL59" s="330"/>
      <c r="AM59" s="347" t="s">
        <v>527</v>
      </c>
      <c r="AN59" s="347">
        <v>300</v>
      </c>
      <c r="AO59" s="415">
        <v>17</v>
      </c>
    </row>
    <row r="60" spans="1:45">
      <c r="AE60" s="60" t="s">
        <v>92</v>
      </c>
      <c r="AF60" s="343">
        <v>0</v>
      </c>
      <c r="AG60" s="343">
        <v>0</v>
      </c>
      <c r="AH60" s="343">
        <v>0</v>
      </c>
      <c r="AI60" s="343">
        <v>0</v>
      </c>
      <c r="AJ60" s="343">
        <v>0</v>
      </c>
      <c r="AK60" s="60">
        <f t="shared" si="13"/>
        <v>0</v>
      </c>
      <c r="AL60" s="330"/>
      <c r="AM60" s="330"/>
      <c r="AN60" s="330"/>
      <c r="AO60" s="5"/>
    </row>
    <row r="61" spans="1:45">
      <c r="AE61" s="60" t="s">
        <v>93</v>
      </c>
      <c r="AF61" s="343">
        <v>1</v>
      </c>
      <c r="AG61" s="341">
        <v>0</v>
      </c>
      <c r="AH61" s="343">
        <v>0</v>
      </c>
      <c r="AI61" s="343">
        <v>0</v>
      </c>
      <c r="AJ61" s="343">
        <v>0</v>
      </c>
      <c r="AK61" s="60">
        <f t="shared" si="13"/>
        <v>1</v>
      </c>
      <c r="AL61" s="330"/>
      <c r="AM61" s="330"/>
      <c r="AN61" s="330"/>
      <c r="AO61" s="5"/>
    </row>
    <row r="62" spans="1:45">
      <c r="AE62" s="60" t="s">
        <v>94</v>
      </c>
      <c r="AF62" s="343">
        <v>0</v>
      </c>
      <c r="AG62" s="341">
        <v>0</v>
      </c>
      <c r="AH62" s="343">
        <v>0</v>
      </c>
      <c r="AI62" s="343">
        <v>0</v>
      </c>
      <c r="AJ62" s="343">
        <v>0</v>
      </c>
      <c r="AK62" s="60">
        <f t="shared" si="13"/>
        <v>0</v>
      </c>
      <c r="AL62" s="18"/>
      <c r="AM62" s="494" t="s">
        <v>550</v>
      </c>
      <c r="AN62" s="495"/>
      <c r="AO62" s="495"/>
      <c r="AP62" s="495"/>
      <c r="AQ62" s="495"/>
      <c r="AR62" s="496"/>
      <c r="AS62" s="166"/>
    </row>
    <row r="63" spans="1:45">
      <c r="AE63" s="326" t="s">
        <v>469</v>
      </c>
      <c r="AF63" s="348">
        <v>0</v>
      </c>
      <c r="AG63" s="348">
        <v>0</v>
      </c>
      <c r="AH63" s="348">
        <v>0</v>
      </c>
      <c r="AI63" s="348">
        <v>0</v>
      </c>
      <c r="AJ63" s="348">
        <v>0</v>
      </c>
      <c r="AK63" s="326">
        <f t="shared" si="13"/>
        <v>0</v>
      </c>
      <c r="AL63" s="330"/>
      <c r="AM63" s="336" t="s">
        <v>470</v>
      </c>
      <c r="AN63" s="337" t="s">
        <v>471</v>
      </c>
      <c r="AO63" s="337" t="s">
        <v>472</v>
      </c>
      <c r="AP63" s="337" t="s">
        <v>473</v>
      </c>
      <c r="AQ63" s="338" t="s">
        <v>474</v>
      </c>
      <c r="AR63" s="339" t="s">
        <v>527</v>
      </c>
      <c r="AS63" s="340" t="s">
        <v>418</v>
      </c>
    </row>
    <row r="64" spans="1:45">
      <c r="AE64" s="340" t="s">
        <v>479</v>
      </c>
      <c r="AF64" s="349">
        <f t="shared" ref="AF64:AK64" si="14">SUM(AF52:AF63)</f>
        <v>6</v>
      </c>
      <c r="AG64" s="349">
        <f t="shared" si="14"/>
        <v>2</v>
      </c>
      <c r="AH64" s="349">
        <f t="shared" si="14"/>
        <v>0</v>
      </c>
      <c r="AI64" s="349">
        <f t="shared" si="14"/>
        <v>0</v>
      </c>
      <c r="AJ64" s="349">
        <f t="shared" si="14"/>
        <v>0</v>
      </c>
      <c r="AK64" s="350">
        <f t="shared" si="14"/>
        <v>8</v>
      </c>
      <c r="AL64" s="330"/>
      <c r="AM64" s="60" t="s">
        <v>84</v>
      </c>
      <c r="AN64" s="343">
        <f>AF52+AF71</f>
        <v>0</v>
      </c>
      <c r="AO64" s="343">
        <f t="shared" ref="AO64:AR75" si="15">AG52+AG71</f>
        <v>3</v>
      </c>
      <c r="AP64" s="343">
        <f t="shared" si="15"/>
        <v>2</v>
      </c>
      <c r="AQ64" s="343">
        <f t="shared" si="15"/>
        <v>1</v>
      </c>
      <c r="AR64" s="343">
        <f t="shared" si="15"/>
        <v>0</v>
      </c>
      <c r="AS64" s="344">
        <f>SUM(AN64:AR64)</f>
        <v>6</v>
      </c>
    </row>
    <row r="65" spans="31:45">
      <c r="AE65" s="340" t="s">
        <v>478</v>
      </c>
      <c r="AF65" s="351">
        <f>PRODUCT(AF64*AO55)</f>
        <v>90</v>
      </c>
      <c r="AG65" s="416">
        <f>PRODUCT(AG64*AO56)</f>
        <v>32.7378</v>
      </c>
      <c r="AH65" s="416">
        <f>PRODUCT(AH64*AO57)</f>
        <v>0</v>
      </c>
      <c r="AI65" s="416">
        <f>PRODUCT(AI64*AO58)</f>
        <v>0</v>
      </c>
      <c r="AJ65" s="416">
        <f>PRODUCT(AJ64*AO59)</f>
        <v>0</v>
      </c>
      <c r="AK65" s="421">
        <f>SUM(AF65:AJ65)</f>
        <v>122.73779999999999</v>
      </c>
      <c r="AL65" s="330"/>
      <c r="AM65" s="60" t="s">
        <v>85</v>
      </c>
      <c r="AN65" s="343">
        <f t="shared" ref="AN65:AN75" si="16">AF53+AF72</f>
        <v>1</v>
      </c>
      <c r="AO65" s="343">
        <f t="shared" si="15"/>
        <v>4</v>
      </c>
      <c r="AP65" s="343">
        <f t="shared" si="15"/>
        <v>3</v>
      </c>
      <c r="AQ65" s="343">
        <f t="shared" si="15"/>
        <v>0</v>
      </c>
      <c r="AR65" s="343">
        <f t="shared" si="15"/>
        <v>2</v>
      </c>
      <c r="AS65" s="60">
        <f t="shared" ref="AS65:AS75" si="17">SUM(AN65:AR65)</f>
        <v>10</v>
      </c>
    </row>
    <row r="66" spans="31:45">
      <c r="AE66" s="340" t="s">
        <v>477</v>
      </c>
      <c r="AF66" s="351">
        <f>AF64*AN55</f>
        <v>600</v>
      </c>
      <c r="AG66" s="351">
        <f>AG64*AN56</f>
        <v>300</v>
      </c>
      <c r="AH66" s="351">
        <f>AH64*AN57</f>
        <v>0</v>
      </c>
      <c r="AI66" s="351">
        <f>AI64*AN58</f>
        <v>0</v>
      </c>
      <c r="AJ66" s="351">
        <f>AJ64*AN59</f>
        <v>0</v>
      </c>
      <c r="AK66" s="340">
        <f>SUM(AF66:AJ66)</f>
        <v>900</v>
      </c>
      <c r="AL66" s="330"/>
      <c r="AM66" s="60" t="s">
        <v>86</v>
      </c>
      <c r="AN66" s="343">
        <f t="shared" si="16"/>
        <v>1</v>
      </c>
      <c r="AO66" s="343">
        <f t="shared" si="15"/>
        <v>0</v>
      </c>
      <c r="AP66" s="343">
        <f t="shared" si="15"/>
        <v>2</v>
      </c>
      <c r="AQ66" s="343">
        <f t="shared" si="15"/>
        <v>0</v>
      </c>
      <c r="AR66" s="343">
        <f t="shared" si="15"/>
        <v>1</v>
      </c>
      <c r="AS66" s="60">
        <f t="shared" si="17"/>
        <v>4</v>
      </c>
    </row>
    <row r="67" spans="31:45">
      <c r="AM67" s="60" t="s">
        <v>87</v>
      </c>
      <c r="AN67" s="343">
        <f t="shared" si="16"/>
        <v>1</v>
      </c>
      <c r="AO67" s="343">
        <f t="shared" si="15"/>
        <v>8</v>
      </c>
      <c r="AP67" s="343">
        <f t="shared" si="15"/>
        <v>10</v>
      </c>
      <c r="AQ67" s="343">
        <f t="shared" si="15"/>
        <v>6</v>
      </c>
      <c r="AR67" s="343">
        <f t="shared" si="15"/>
        <v>0</v>
      </c>
      <c r="AS67" s="60">
        <f t="shared" si="17"/>
        <v>25</v>
      </c>
    </row>
    <row r="68" spans="31:45">
      <c r="AM68" s="60" t="s">
        <v>88</v>
      </c>
      <c r="AN68" s="343">
        <f t="shared" si="16"/>
        <v>1</v>
      </c>
      <c r="AO68" s="343">
        <f t="shared" si="15"/>
        <v>0</v>
      </c>
      <c r="AP68" s="343">
        <f t="shared" si="15"/>
        <v>7</v>
      </c>
      <c r="AQ68" s="343">
        <f t="shared" si="15"/>
        <v>1</v>
      </c>
      <c r="AR68" s="343">
        <f t="shared" si="15"/>
        <v>0</v>
      </c>
      <c r="AS68" s="60">
        <f t="shared" si="17"/>
        <v>9</v>
      </c>
    </row>
    <row r="69" spans="31:45">
      <c r="AE69" s="494" t="s">
        <v>549</v>
      </c>
      <c r="AF69" s="495"/>
      <c r="AG69" s="495"/>
      <c r="AH69" s="495"/>
      <c r="AI69" s="495"/>
      <c r="AJ69" s="496"/>
      <c r="AK69" s="166"/>
      <c r="AM69" s="60" t="s">
        <v>89</v>
      </c>
      <c r="AN69" s="343">
        <f t="shared" si="16"/>
        <v>0</v>
      </c>
      <c r="AO69" s="343">
        <f t="shared" si="15"/>
        <v>5</v>
      </c>
      <c r="AP69" s="343">
        <f t="shared" si="15"/>
        <v>1</v>
      </c>
      <c r="AQ69" s="343">
        <f t="shared" si="15"/>
        <v>1</v>
      </c>
      <c r="AR69" s="343">
        <f t="shared" si="15"/>
        <v>0</v>
      </c>
      <c r="AS69" s="60">
        <f t="shared" si="17"/>
        <v>7</v>
      </c>
    </row>
    <row r="70" spans="31:45">
      <c r="AE70" s="336" t="s">
        <v>470</v>
      </c>
      <c r="AF70" s="337" t="s">
        <v>471</v>
      </c>
      <c r="AG70" s="337" t="s">
        <v>472</v>
      </c>
      <c r="AH70" s="337" t="s">
        <v>473</v>
      </c>
      <c r="AI70" s="338" t="s">
        <v>474</v>
      </c>
      <c r="AJ70" s="339" t="s">
        <v>527</v>
      </c>
      <c r="AK70" s="340" t="s">
        <v>418</v>
      </c>
      <c r="AM70" s="60" t="s">
        <v>90</v>
      </c>
      <c r="AN70" s="343">
        <f t="shared" si="16"/>
        <v>0</v>
      </c>
      <c r="AO70" s="343">
        <f t="shared" si="15"/>
        <v>0</v>
      </c>
      <c r="AP70" s="343">
        <f t="shared" si="15"/>
        <v>1</v>
      </c>
      <c r="AQ70" s="343">
        <f t="shared" si="15"/>
        <v>1</v>
      </c>
      <c r="AR70" s="343">
        <f t="shared" si="15"/>
        <v>1</v>
      </c>
      <c r="AS70" s="60">
        <f t="shared" si="17"/>
        <v>3</v>
      </c>
    </row>
    <row r="71" spans="31:45">
      <c r="AE71" s="60" t="s">
        <v>84</v>
      </c>
      <c r="AF71" s="343">
        <v>0</v>
      </c>
      <c r="AG71" s="343">
        <f>3</f>
        <v>3</v>
      </c>
      <c r="AH71" s="419">
        <f>1+1</f>
        <v>2</v>
      </c>
      <c r="AI71" s="419">
        <f>1</f>
        <v>1</v>
      </c>
      <c r="AJ71" s="343">
        <v>0</v>
      </c>
      <c r="AK71" s="344">
        <f>SUM(AF71:AJ71)</f>
        <v>6</v>
      </c>
      <c r="AM71" s="60" t="s">
        <v>91</v>
      </c>
      <c r="AN71" s="343">
        <f t="shared" si="16"/>
        <v>1</v>
      </c>
      <c r="AO71" s="343">
        <f t="shared" si="15"/>
        <v>8</v>
      </c>
      <c r="AP71" s="343">
        <f t="shared" si="15"/>
        <v>2</v>
      </c>
      <c r="AQ71" s="343">
        <f t="shared" si="15"/>
        <v>1</v>
      </c>
      <c r="AR71" s="343">
        <f t="shared" si="15"/>
        <v>0</v>
      </c>
      <c r="AS71" s="60">
        <f t="shared" si="17"/>
        <v>12</v>
      </c>
    </row>
    <row r="72" spans="31:45">
      <c r="AE72" s="60" t="s">
        <v>85</v>
      </c>
      <c r="AF72" s="343">
        <v>0</v>
      </c>
      <c r="AG72" s="343">
        <f>2+1+1</f>
        <v>4</v>
      </c>
      <c r="AH72" s="343">
        <f>2+1</f>
        <v>3</v>
      </c>
      <c r="AI72" s="343">
        <v>0</v>
      </c>
      <c r="AJ72" s="343">
        <f>1+1</f>
        <v>2</v>
      </c>
      <c r="AK72" s="60">
        <f t="shared" ref="AK72:AK82" si="18">SUM(AF72:AJ72)</f>
        <v>9</v>
      </c>
      <c r="AM72" s="60" t="s">
        <v>92</v>
      </c>
      <c r="AN72" s="343">
        <f t="shared" si="16"/>
        <v>0</v>
      </c>
      <c r="AO72" s="343">
        <f t="shared" si="15"/>
        <v>2</v>
      </c>
      <c r="AP72" s="343">
        <f t="shared" si="15"/>
        <v>5</v>
      </c>
      <c r="AQ72" s="343">
        <f t="shared" si="15"/>
        <v>0</v>
      </c>
      <c r="AR72" s="343">
        <f t="shared" si="15"/>
        <v>0</v>
      </c>
      <c r="AS72" s="60">
        <f t="shared" si="17"/>
        <v>7</v>
      </c>
    </row>
    <row r="73" spans="31:45">
      <c r="AE73" s="60" t="s">
        <v>86</v>
      </c>
      <c r="AF73" s="341">
        <v>0</v>
      </c>
      <c r="AG73" s="343">
        <v>0</v>
      </c>
      <c r="AH73" s="341">
        <f>1+1</f>
        <v>2</v>
      </c>
      <c r="AI73" s="343">
        <v>0</v>
      </c>
      <c r="AJ73" s="343">
        <f>1</f>
        <v>1</v>
      </c>
      <c r="AK73" s="60">
        <f t="shared" si="18"/>
        <v>3</v>
      </c>
      <c r="AM73" s="60" t="s">
        <v>93</v>
      </c>
      <c r="AN73" s="343">
        <f t="shared" si="16"/>
        <v>1</v>
      </c>
      <c r="AO73" s="343">
        <f t="shared" si="15"/>
        <v>0</v>
      </c>
      <c r="AP73" s="343">
        <f t="shared" si="15"/>
        <v>2</v>
      </c>
      <c r="AQ73" s="343">
        <f t="shared" si="15"/>
        <v>2</v>
      </c>
      <c r="AR73" s="343">
        <f t="shared" si="15"/>
        <v>0</v>
      </c>
      <c r="AS73" s="60">
        <f t="shared" si="17"/>
        <v>5</v>
      </c>
    </row>
    <row r="74" spans="31:45">
      <c r="AE74" s="60" t="s">
        <v>87</v>
      </c>
      <c r="AF74" s="341">
        <v>0</v>
      </c>
      <c r="AG74" s="420">
        <f>3+2+2</f>
        <v>7</v>
      </c>
      <c r="AH74" s="343">
        <f>2+1+2+4+1</f>
        <v>10</v>
      </c>
      <c r="AI74" s="343">
        <f>1+2+3</f>
        <v>6</v>
      </c>
      <c r="AJ74" s="343">
        <v>0</v>
      </c>
      <c r="AK74" s="60">
        <f t="shared" si="18"/>
        <v>23</v>
      </c>
      <c r="AM74" s="60" t="s">
        <v>94</v>
      </c>
      <c r="AN74" s="343">
        <f t="shared" si="16"/>
        <v>0</v>
      </c>
      <c r="AO74" s="343">
        <f t="shared" si="15"/>
        <v>1</v>
      </c>
      <c r="AP74" s="343">
        <f t="shared" si="15"/>
        <v>2</v>
      </c>
      <c r="AQ74" s="343">
        <f t="shared" si="15"/>
        <v>3</v>
      </c>
      <c r="AR74" s="343">
        <f t="shared" si="15"/>
        <v>0</v>
      </c>
      <c r="AS74" s="60">
        <f t="shared" si="17"/>
        <v>6</v>
      </c>
    </row>
    <row r="75" spans="31:45">
      <c r="AE75" s="60" t="s">
        <v>88</v>
      </c>
      <c r="AF75" s="341">
        <v>0</v>
      </c>
      <c r="AG75" s="343">
        <v>0</v>
      </c>
      <c r="AH75" s="343">
        <f>1+1+1+2+1+1</f>
        <v>7</v>
      </c>
      <c r="AI75" s="343">
        <f>1</f>
        <v>1</v>
      </c>
      <c r="AJ75" s="343">
        <v>0</v>
      </c>
      <c r="AK75" s="60">
        <f t="shared" si="18"/>
        <v>8</v>
      </c>
      <c r="AM75" s="326" t="s">
        <v>469</v>
      </c>
      <c r="AN75" s="343">
        <f t="shared" si="16"/>
        <v>0</v>
      </c>
      <c r="AO75" s="343">
        <f t="shared" si="15"/>
        <v>1</v>
      </c>
      <c r="AP75" s="343">
        <f t="shared" si="15"/>
        <v>1</v>
      </c>
      <c r="AQ75" s="343">
        <f t="shared" si="15"/>
        <v>0</v>
      </c>
      <c r="AR75" s="343">
        <f t="shared" si="15"/>
        <v>0</v>
      </c>
      <c r="AS75" s="326">
        <f t="shared" si="17"/>
        <v>2</v>
      </c>
    </row>
    <row r="76" spans="31:45">
      <c r="AE76" s="60" t="s">
        <v>89</v>
      </c>
      <c r="AF76" s="343">
        <v>0</v>
      </c>
      <c r="AG76" s="343">
        <f>2+2+1</f>
        <v>5</v>
      </c>
      <c r="AH76" s="343">
        <f>1</f>
        <v>1</v>
      </c>
      <c r="AI76" s="343">
        <f>1</f>
        <v>1</v>
      </c>
      <c r="AJ76" s="343">
        <v>0</v>
      </c>
      <c r="AK76" s="60">
        <f t="shared" si="18"/>
        <v>7</v>
      </c>
      <c r="AM76" s="340" t="s">
        <v>479</v>
      </c>
      <c r="AN76" s="349">
        <f>SUM(AN64:AN75)</f>
        <v>6</v>
      </c>
      <c r="AO76" s="349">
        <f>SUM(AO64:AO75)</f>
        <v>32</v>
      </c>
      <c r="AP76" s="349">
        <f>SUM(AP64:AP75)</f>
        <v>38</v>
      </c>
      <c r="AQ76" s="349">
        <f>SUM(AQ64:AQ75)</f>
        <v>16</v>
      </c>
      <c r="AR76" s="349">
        <f>SUM(AR64:AR75)</f>
        <v>4</v>
      </c>
      <c r="AS76" s="350">
        <f t="shared" ref="AS76" si="19">SUM(AS64:AS75)</f>
        <v>96</v>
      </c>
    </row>
    <row r="77" spans="31:45">
      <c r="AE77" s="60" t="s">
        <v>90</v>
      </c>
      <c r="AF77" s="341">
        <v>0</v>
      </c>
      <c r="AG77" s="341">
        <v>0</v>
      </c>
      <c r="AH77" s="341">
        <f>1</f>
        <v>1</v>
      </c>
      <c r="AI77" s="343">
        <f>1</f>
        <v>1</v>
      </c>
      <c r="AJ77" s="343">
        <f>1</f>
        <v>1</v>
      </c>
      <c r="AK77" s="60">
        <f t="shared" si="18"/>
        <v>3</v>
      </c>
      <c r="AM77" s="340" t="s">
        <v>478</v>
      </c>
      <c r="AN77" s="351">
        <f>PRODUCT(AN76*AO55)</f>
        <v>90</v>
      </c>
      <c r="AO77" s="416">
        <f>PRODUCT(AO76*AO56)</f>
        <v>523.8048</v>
      </c>
      <c r="AP77" s="416">
        <f>PRODUCT(AP76*AO57)</f>
        <v>636.37459999999999</v>
      </c>
      <c r="AQ77" s="416">
        <f>PRODUCT(AQ76*AO58)</f>
        <v>270.18560000000002</v>
      </c>
      <c r="AR77" s="416">
        <f>PRODUCT(AR76*AO59)</f>
        <v>68</v>
      </c>
      <c r="AS77" s="421">
        <f>SUM(AN77:AR77)</f>
        <v>1588.365</v>
      </c>
    </row>
    <row r="78" spans="31:45">
      <c r="AE78" s="60" t="s">
        <v>91</v>
      </c>
      <c r="AF78" s="341">
        <v>0</v>
      </c>
      <c r="AG78" s="341">
        <f>1+2+1+1+1+1</f>
        <v>7</v>
      </c>
      <c r="AH78" s="343">
        <f>1+1</f>
        <v>2</v>
      </c>
      <c r="AI78" s="343">
        <f>1</f>
        <v>1</v>
      </c>
      <c r="AJ78" s="343">
        <v>0</v>
      </c>
      <c r="AK78" s="60">
        <f t="shared" si="18"/>
        <v>10</v>
      </c>
      <c r="AM78" s="340" t="s">
        <v>528</v>
      </c>
      <c r="AN78" s="351">
        <f>AN76*AN55</f>
        <v>600</v>
      </c>
      <c r="AO78" s="351">
        <f>AO76*AN56</f>
        <v>4800</v>
      </c>
      <c r="AP78" s="351">
        <f>AP76*AN57</f>
        <v>7600</v>
      </c>
      <c r="AQ78" s="351">
        <f>AQ76*AN58</f>
        <v>4000</v>
      </c>
      <c r="AR78" s="351">
        <f>AR76*AN59</f>
        <v>1200</v>
      </c>
      <c r="AS78" s="340">
        <f>SUM(AN78:AR78)</f>
        <v>18200</v>
      </c>
    </row>
    <row r="79" spans="31:45">
      <c r="AE79" s="60" t="s">
        <v>92</v>
      </c>
      <c r="AF79" s="343">
        <v>0</v>
      </c>
      <c r="AG79" s="341">
        <f>1+1</f>
        <v>2</v>
      </c>
      <c r="AH79" s="343">
        <f>4+1</f>
        <v>5</v>
      </c>
      <c r="AI79" s="343">
        <v>0</v>
      </c>
      <c r="AJ79" s="343">
        <v>0</v>
      </c>
      <c r="AK79" s="60">
        <f t="shared" si="18"/>
        <v>7</v>
      </c>
    </row>
    <row r="80" spans="31:45">
      <c r="AE80" s="60" t="s">
        <v>93</v>
      </c>
      <c r="AF80" s="343">
        <v>0</v>
      </c>
      <c r="AG80" s="341">
        <v>0</v>
      </c>
      <c r="AH80" s="343">
        <f>1+1</f>
        <v>2</v>
      </c>
      <c r="AI80" s="343">
        <f>2</f>
        <v>2</v>
      </c>
      <c r="AJ80" s="343">
        <v>0</v>
      </c>
      <c r="AK80" s="60">
        <f t="shared" si="18"/>
        <v>4</v>
      </c>
    </row>
    <row r="81" spans="31:37">
      <c r="AE81" s="60" t="s">
        <v>94</v>
      </c>
      <c r="AF81" s="343">
        <v>0</v>
      </c>
      <c r="AG81" s="420">
        <f>1</f>
        <v>1</v>
      </c>
      <c r="AH81" s="343">
        <f>1+1</f>
        <v>2</v>
      </c>
      <c r="AI81" s="343">
        <f>3</f>
        <v>3</v>
      </c>
      <c r="AJ81" s="343">
        <v>0</v>
      </c>
      <c r="AK81" s="60">
        <f t="shared" si="18"/>
        <v>6</v>
      </c>
    </row>
    <row r="82" spans="31:37">
      <c r="AE82" s="326" t="s">
        <v>469</v>
      </c>
      <c r="AF82" s="348">
        <v>0</v>
      </c>
      <c r="AG82" s="348">
        <f>1</f>
        <v>1</v>
      </c>
      <c r="AH82" s="348">
        <f>1</f>
        <v>1</v>
      </c>
      <c r="AI82" s="348">
        <v>0</v>
      </c>
      <c r="AJ82" s="348">
        <v>0</v>
      </c>
      <c r="AK82" s="326">
        <f t="shared" si="18"/>
        <v>2</v>
      </c>
    </row>
    <row r="83" spans="31:37">
      <c r="AE83" s="340" t="s">
        <v>479</v>
      </c>
      <c r="AF83" s="349">
        <f>SUM(AF71:AF82)</f>
        <v>0</v>
      </c>
      <c r="AG83" s="349">
        <f>SUM(AG71:AG82)</f>
        <v>30</v>
      </c>
      <c r="AH83" s="349">
        <f>SUM(AH71:AH82)</f>
        <v>38</v>
      </c>
      <c r="AI83" s="349">
        <f>SUM(AI71:AI82)</f>
        <v>16</v>
      </c>
      <c r="AJ83" s="349">
        <f>SUM(AJ71:AJ82)</f>
        <v>4</v>
      </c>
      <c r="AK83" s="350">
        <f t="shared" ref="AK83" si="20">SUM(AK71:AK82)</f>
        <v>88</v>
      </c>
    </row>
    <row r="84" spans="31:37">
      <c r="AE84" s="340" t="s">
        <v>478</v>
      </c>
      <c r="AF84" s="416">
        <f>PRODUCT(AF83*AO55)</f>
        <v>0</v>
      </c>
      <c r="AG84" s="416">
        <f>PRODUCT(AG83*AO56)</f>
        <v>491.06700000000001</v>
      </c>
      <c r="AH84" s="416">
        <f>PRODUCT(AH83*AO57)</f>
        <v>636.37459999999999</v>
      </c>
      <c r="AI84" s="416">
        <f>PRODUCT(AI83*AO58)</f>
        <v>270.18560000000002</v>
      </c>
      <c r="AJ84" s="416">
        <f>PRODUCT(AJ83*AO59)</f>
        <v>68</v>
      </c>
      <c r="AK84" s="421">
        <f>SUM(AF84:AJ84)</f>
        <v>1465.6272000000001</v>
      </c>
    </row>
    <row r="85" spans="31:37">
      <c r="AE85" s="340" t="s">
        <v>528</v>
      </c>
      <c r="AF85" s="351">
        <f>AF83*AN55</f>
        <v>0</v>
      </c>
      <c r="AG85" s="351">
        <f>AG83*AN56</f>
        <v>4500</v>
      </c>
      <c r="AH85" s="351">
        <f>AH83*AN57</f>
        <v>7600</v>
      </c>
      <c r="AI85" s="351">
        <f>AI83*AN58</f>
        <v>4000</v>
      </c>
      <c r="AJ85" s="351">
        <f>AJ83*AN59</f>
        <v>1200</v>
      </c>
      <c r="AK85" s="340">
        <f>SUM(AF85:AJ85)</f>
        <v>17300</v>
      </c>
    </row>
  </sheetData>
  <mergeCells count="29">
    <mergeCell ref="A51:A52"/>
    <mergeCell ref="AE50:AJ50"/>
    <mergeCell ref="AA49:AB49"/>
    <mergeCell ref="AE33:AF33"/>
    <mergeCell ref="AH33:AI33"/>
    <mergeCell ref="X34:Z34"/>
    <mergeCell ref="AA35:AB35"/>
    <mergeCell ref="X48:Z48"/>
    <mergeCell ref="A39:A40"/>
    <mergeCell ref="T33:U33"/>
    <mergeCell ref="A41:A43"/>
    <mergeCell ref="A45:A48"/>
    <mergeCell ref="A49:A50"/>
    <mergeCell ref="AE69:AJ69"/>
    <mergeCell ref="AM62:AR62"/>
    <mergeCell ref="T1:V1"/>
    <mergeCell ref="A15:A20"/>
    <mergeCell ref="C1:I1"/>
    <mergeCell ref="J1:O1"/>
    <mergeCell ref="A4:A5"/>
    <mergeCell ref="A6:A8"/>
    <mergeCell ref="A9:A13"/>
    <mergeCell ref="A53:A54"/>
    <mergeCell ref="A55:A56"/>
    <mergeCell ref="A21:A24"/>
    <mergeCell ref="A26:A27"/>
    <mergeCell ref="A28:A32"/>
    <mergeCell ref="A33:A35"/>
    <mergeCell ref="A36:A37"/>
  </mergeCells>
  <conditionalFormatting sqref="L3:L56">
    <cfRule type="expression" dxfId="53" priority="7">
      <formula>(L3&lt;E3)</formula>
    </cfRule>
  </conditionalFormatting>
  <conditionalFormatting sqref="N26:N56">
    <cfRule type="cellIs" dxfId="52" priority="5" operator="lessThan">
      <formula>0</formula>
    </cfRule>
  </conditionalFormatting>
  <conditionalFormatting sqref="N3:N24">
    <cfRule type="cellIs" dxfId="51" priority="4" operator="lessThan">
      <formula>0</formula>
    </cfRule>
  </conditionalFormatting>
  <conditionalFormatting sqref="AF52:AK63">
    <cfRule type="cellIs" dxfId="50" priority="3" operator="greaterThan">
      <formula>0</formula>
    </cfRule>
  </conditionalFormatting>
  <conditionalFormatting sqref="AF71:AK82">
    <cfRule type="cellIs" dxfId="49" priority="2" operator="greaterThan">
      <formula>0</formula>
    </cfRule>
  </conditionalFormatting>
  <conditionalFormatting sqref="AN64:AS75">
    <cfRule type="cellIs" dxfId="48" priority="1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4"/>
  <sheetViews>
    <sheetView topLeftCell="U1" zoomScale="90" zoomScaleNormal="90" workbookViewId="0">
      <selection activeCell="AB36" sqref="AB36"/>
    </sheetView>
  </sheetViews>
  <sheetFormatPr defaultRowHeight="15"/>
  <cols>
    <col min="1" max="1" width="15.28515625" customWidth="1"/>
    <col min="2" max="2" width="18" customWidth="1"/>
    <col min="3" max="3" width="17.85546875" customWidth="1"/>
    <col min="4" max="4" width="16.28515625" customWidth="1"/>
    <col min="5" max="5" width="15.85546875" customWidth="1"/>
    <col min="6" max="7" width="16.85546875" customWidth="1"/>
    <col min="8" max="8" width="19.7109375" customWidth="1"/>
    <col min="9" max="10" width="16.85546875" customWidth="1"/>
    <col min="11" max="11" width="27.7109375" customWidth="1"/>
    <col min="12" max="12" width="18.5703125" customWidth="1"/>
    <col min="13" max="13" width="15.7109375" customWidth="1"/>
    <col min="14" max="16" width="19.140625" customWidth="1"/>
    <col min="17" max="17" width="17.42578125" customWidth="1"/>
    <col min="18" max="18" width="10.5703125" customWidth="1"/>
    <col min="19" max="19" width="30.140625" customWidth="1"/>
    <col min="20" max="20" width="32.28515625" customWidth="1"/>
    <col min="21" max="21" width="39.140625" customWidth="1"/>
    <col min="24" max="24" width="22.5703125" customWidth="1"/>
    <col min="25" max="25" width="22.42578125" customWidth="1"/>
    <col min="30" max="30" width="13.140625" customWidth="1"/>
  </cols>
  <sheetData>
    <row r="1" spans="1:41">
      <c r="A1" s="291"/>
      <c r="B1" s="200"/>
      <c r="C1" s="516" t="s">
        <v>453</v>
      </c>
      <c r="D1" s="517"/>
      <c r="E1" s="517"/>
      <c r="F1" s="517"/>
      <c r="G1" s="517"/>
      <c r="H1" s="517"/>
      <c r="I1" s="518"/>
      <c r="J1" s="289"/>
      <c r="K1" s="521" t="s">
        <v>452</v>
      </c>
      <c r="L1" s="522"/>
      <c r="M1" s="522"/>
      <c r="N1" s="522"/>
      <c r="O1" s="522"/>
      <c r="P1" s="522"/>
      <c r="Q1" s="522"/>
      <c r="R1" s="522"/>
      <c r="S1" s="522"/>
      <c r="T1" s="522"/>
    </row>
    <row r="2" spans="1:41" ht="15.75" thickBot="1">
      <c r="A2" s="291" t="s">
        <v>451</v>
      </c>
      <c r="B2" s="198" t="s">
        <v>450</v>
      </c>
      <c r="C2" s="197" t="s">
        <v>449</v>
      </c>
      <c r="D2" s="196" t="s">
        <v>34</v>
      </c>
      <c r="E2" s="196" t="s">
        <v>33</v>
      </c>
      <c r="F2" s="196" t="s">
        <v>448</v>
      </c>
      <c r="G2" s="196" t="s">
        <v>460</v>
      </c>
      <c r="H2" s="196" t="s">
        <v>461</v>
      </c>
      <c r="I2" s="196" t="s">
        <v>445</v>
      </c>
      <c r="J2" s="195" t="s">
        <v>458</v>
      </c>
      <c r="K2" s="192" t="s">
        <v>447</v>
      </c>
      <c r="L2" s="194" t="s">
        <v>34</v>
      </c>
      <c r="M2" s="194" t="s">
        <v>33</v>
      </c>
      <c r="N2" s="294" t="s">
        <v>446</v>
      </c>
      <c r="O2" s="193" t="s">
        <v>460</v>
      </c>
      <c r="P2" s="193" t="s">
        <v>461</v>
      </c>
      <c r="Q2" s="192" t="s">
        <v>445</v>
      </c>
      <c r="R2" s="193" t="s">
        <v>464</v>
      </c>
      <c r="S2" s="193" t="s">
        <v>465</v>
      </c>
      <c r="T2" s="192" t="s">
        <v>467</v>
      </c>
      <c r="U2" s="192" t="s">
        <v>468</v>
      </c>
    </row>
    <row r="3" spans="1:41" ht="15.75" thickBot="1">
      <c r="A3" s="164" t="s">
        <v>439</v>
      </c>
      <c r="B3" s="186" t="s">
        <v>438</v>
      </c>
      <c r="C3" s="185" t="s">
        <v>437</v>
      </c>
      <c r="D3" s="184">
        <v>386.9</v>
      </c>
      <c r="E3" s="184">
        <v>200</v>
      </c>
      <c r="F3" s="184">
        <v>131.95400000000001</v>
      </c>
      <c r="G3" s="184">
        <v>0.5</v>
      </c>
      <c r="H3" s="184">
        <f>F3*G3</f>
        <v>65.977000000000004</v>
      </c>
      <c r="I3" s="184">
        <f>E3-H3</f>
        <v>134.023</v>
      </c>
      <c r="J3" s="183">
        <f>H3/E3*100</f>
        <v>32.988500000000002</v>
      </c>
      <c r="K3" s="180" t="s">
        <v>436</v>
      </c>
      <c r="L3" s="182">
        <v>598.85</v>
      </c>
      <c r="M3" s="182">
        <v>150</v>
      </c>
      <c r="N3" s="182">
        <f t="shared" ref="N3:N13" si="0">F3</f>
        <v>131.95400000000001</v>
      </c>
      <c r="O3" s="181">
        <v>0.5</v>
      </c>
      <c r="P3" s="181">
        <f>O3*N3</f>
        <v>65.977000000000004</v>
      </c>
      <c r="Q3" s="181">
        <f>M3-P3</f>
        <v>84.022999999999996</v>
      </c>
      <c r="R3" s="180">
        <f t="shared" ref="R3:R13" si="1">IF(AND(L3&gt;0,L3&lt;135),300, IF(AND(L3 &gt;135,L3&lt;288),250, IF(AND(L3&gt;288,L3&lt;537),200, IF(AND(L3&gt;537,L3&lt;1096),150, 100))))</f>
        <v>150</v>
      </c>
      <c r="S3" s="295">
        <f>IF(Q3&lt;0, CEILING((P3-M3)/R3,1),0)</f>
        <v>0</v>
      </c>
      <c r="T3" s="295">
        <f>S3*R3</f>
        <v>0</v>
      </c>
      <c r="U3" s="321"/>
    </row>
    <row r="4" spans="1:41" ht="15.75" thickBot="1">
      <c r="A4" s="519" t="s">
        <v>44</v>
      </c>
      <c r="B4" s="179" t="s">
        <v>3</v>
      </c>
      <c r="C4" s="178" t="s">
        <v>44</v>
      </c>
      <c r="D4" s="177">
        <v>424.31</v>
      </c>
      <c r="E4" s="177">
        <v>200</v>
      </c>
      <c r="F4" s="177">
        <v>79.758499999999998</v>
      </c>
      <c r="G4" s="177">
        <v>0.5</v>
      </c>
      <c r="H4" s="85">
        <f t="shared" ref="H4:H56" si="2">F4*G4</f>
        <v>39.879249999999999</v>
      </c>
      <c r="I4" s="85">
        <f t="shared" ref="I4:I13" si="3">E4-H4</f>
        <v>160.12074999999999</v>
      </c>
      <c r="J4" s="93">
        <f t="shared" ref="J4:J13" si="4">H4/E4*100</f>
        <v>19.939624999999999</v>
      </c>
      <c r="K4" s="304" t="s">
        <v>435</v>
      </c>
      <c r="L4" s="176">
        <v>561.44000000000005</v>
      </c>
      <c r="M4" s="176">
        <v>150</v>
      </c>
      <c r="N4" s="176">
        <f t="shared" si="0"/>
        <v>79.758499999999998</v>
      </c>
      <c r="O4" s="91">
        <v>0.5</v>
      </c>
      <c r="P4" s="91">
        <f t="shared" ref="P4:P56" si="5">O4*N4</f>
        <v>39.879249999999999</v>
      </c>
      <c r="Q4" s="91">
        <f t="shared" ref="Q4:Q13" si="6">M4-P4</f>
        <v>110.12075</v>
      </c>
      <c r="R4" s="100">
        <f t="shared" si="1"/>
        <v>150</v>
      </c>
      <c r="S4" s="295">
        <f t="shared" ref="S4:S13" si="7">IF(Q4&lt;0, CEILING((P4-M4)/R4,1),0)</f>
        <v>0</v>
      </c>
      <c r="T4" s="296">
        <f t="shared" ref="T4:T56" si="8">S4*R4</f>
        <v>0</v>
      </c>
      <c r="U4" s="321"/>
      <c r="W4" s="494" t="s">
        <v>551</v>
      </c>
      <c r="X4" s="495"/>
      <c r="Y4" s="495"/>
      <c r="Z4" s="495"/>
      <c r="AA4" s="495"/>
      <c r="AB4" s="496"/>
      <c r="AC4" s="166"/>
      <c r="AD4" s="5"/>
      <c r="AE4" s="5"/>
      <c r="AF4" s="5"/>
      <c r="AG4" s="5"/>
      <c r="AI4" s="494" t="s">
        <v>553</v>
      </c>
      <c r="AJ4" s="495"/>
      <c r="AK4" s="495"/>
      <c r="AL4" s="495"/>
      <c r="AM4" s="495"/>
      <c r="AN4" s="496"/>
      <c r="AO4" s="166"/>
    </row>
    <row r="5" spans="1:41" ht="15.75" thickBot="1">
      <c r="A5" s="499"/>
      <c r="B5" s="63" t="s">
        <v>25</v>
      </c>
      <c r="C5" s="114" t="s">
        <v>65</v>
      </c>
      <c r="D5" s="94">
        <v>645.40499999999997</v>
      </c>
      <c r="E5" s="94">
        <v>150</v>
      </c>
      <c r="F5" s="93">
        <v>101.52370000000001</v>
      </c>
      <c r="G5" s="93">
        <v>0.5</v>
      </c>
      <c r="H5" s="73">
        <f t="shared" si="2"/>
        <v>50.761850000000003</v>
      </c>
      <c r="I5" s="73">
        <f t="shared" si="3"/>
        <v>99.23814999999999</v>
      </c>
      <c r="J5" s="93">
        <f t="shared" si="4"/>
        <v>33.841233333333335</v>
      </c>
      <c r="K5" s="301" t="s">
        <v>430</v>
      </c>
      <c r="L5" s="92">
        <v>691.82</v>
      </c>
      <c r="M5" s="92">
        <v>150</v>
      </c>
      <c r="N5" s="92">
        <f t="shared" si="0"/>
        <v>101.52370000000001</v>
      </c>
      <c r="O5" s="91">
        <v>0.5</v>
      </c>
      <c r="P5" s="91">
        <f t="shared" si="5"/>
        <v>50.761850000000003</v>
      </c>
      <c r="Q5" s="91">
        <f t="shared" si="6"/>
        <v>99.23814999999999</v>
      </c>
      <c r="R5" s="303">
        <f t="shared" si="1"/>
        <v>150</v>
      </c>
      <c r="S5" s="295">
        <f t="shared" si="7"/>
        <v>0</v>
      </c>
      <c r="T5" s="297">
        <f t="shared" si="8"/>
        <v>0</v>
      </c>
      <c r="U5" s="321"/>
      <c r="W5" s="336" t="s">
        <v>470</v>
      </c>
      <c r="X5" s="338" t="s">
        <v>471</v>
      </c>
      <c r="Y5" s="338" t="s">
        <v>472</v>
      </c>
      <c r="Z5" s="338" t="s">
        <v>473</v>
      </c>
      <c r="AA5" s="338" t="s">
        <v>474</v>
      </c>
      <c r="AB5" s="339" t="s">
        <v>527</v>
      </c>
      <c r="AC5" s="340" t="s">
        <v>418</v>
      </c>
      <c r="AD5" s="5"/>
      <c r="AE5" s="5"/>
      <c r="AF5" s="5"/>
      <c r="AG5" s="5"/>
      <c r="AI5" s="336" t="s">
        <v>470</v>
      </c>
      <c r="AJ5" s="338" t="s">
        <v>471</v>
      </c>
      <c r="AK5" s="338" t="s">
        <v>472</v>
      </c>
      <c r="AL5" s="338" t="s">
        <v>473</v>
      </c>
      <c r="AM5" s="338" t="s">
        <v>474</v>
      </c>
      <c r="AN5" s="339" t="s">
        <v>527</v>
      </c>
      <c r="AO5" s="340" t="s">
        <v>418</v>
      </c>
    </row>
    <row r="6" spans="1:41" ht="15.75" thickBot="1">
      <c r="A6" s="497" t="s">
        <v>434</v>
      </c>
      <c r="B6" s="87" t="s">
        <v>433</v>
      </c>
      <c r="C6" s="86" t="s">
        <v>392</v>
      </c>
      <c r="D6" s="85">
        <v>774.56</v>
      </c>
      <c r="E6" s="85">
        <v>450</v>
      </c>
      <c r="F6" s="85">
        <v>593.39</v>
      </c>
      <c r="G6" s="85">
        <v>0.5</v>
      </c>
      <c r="H6" s="85">
        <f t="shared" si="2"/>
        <v>296.69499999999999</v>
      </c>
      <c r="I6" s="85">
        <f t="shared" si="3"/>
        <v>153.30500000000001</v>
      </c>
      <c r="J6" s="84">
        <f t="shared" si="4"/>
        <v>65.932222222222222</v>
      </c>
      <c r="K6" s="100" t="s">
        <v>432</v>
      </c>
      <c r="L6" s="83">
        <v>778.62</v>
      </c>
      <c r="M6" s="83">
        <v>450</v>
      </c>
      <c r="N6" s="83">
        <f t="shared" si="0"/>
        <v>593.39</v>
      </c>
      <c r="O6" s="82">
        <v>0.5</v>
      </c>
      <c r="P6" s="82">
        <f t="shared" si="5"/>
        <v>296.69499999999999</v>
      </c>
      <c r="Q6" s="82">
        <f t="shared" si="6"/>
        <v>153.30500000000001</v>
      </c>
      <c r="R6" s="100">
        <f t="shared" si="1"/>
        <v>150</v>
      </c>
      <c r="S6" s="295">
        <f t="shared" si="7"/>
        <v>0</v>
      </c>
      <c r="T6" s="296">
        <f t="shared" si="8"/>
        <v>0</v>
      </c>
      <c r="U6" s="321"/>
      <c r="W6" s="60" t="s">
        <v>84</v>
      </c>
      <c r="X6" s="341">
        <v>0</v>
      </c>
      <c r="Y6" s="341">
        <v>0</v>
      </c>
      <c r="Z6" s="342">
        <v>0</v>
      </c>
      <c r="AA6" s="342">
        <v>0</v>
      </c>
      <c r="AB6" s="343">
        <v>0</v>
      </c>
      <c r="AC6" s="344">
        <f>SUM(X6:AB6)</f>
        <v>0</v>
      </c>
      <c r="AD6" s="5"/>
      <c r="AE6" s="5"/>
      <c r="AF6" s="5"/>
      <c r="AG6" s="5"/>
      <c r="AI6" s="60" t="s">
        <v>84</v>
      </c>
      <c r="AJ6" s="343">
        <v>0</v>
      </c>
      <c r="AK6" s="343">
        <f>3</f>
        <v>3</v>
      </c>
      <c r="AL6" s="419">
        <f>1+1</f>
        <v>2</v>
      </c>
      <c r="AM6" s="419">
        <f>1</f>
        <v>1</v>
      </c>
      <c r="AN6" s="343">
        <v>0</v>
      </c>
      <c r="AO6" s="344">
        <f>SUM(AJ6:AN6)</f>
        <v>6</v>
      </c>
    </row>
    <row r="7" spans="1:41" ht="15.75" thickBot="1">
      <c r="A7" s="499"/>
      <c r="B7" s="96" t="s">
        <v>4</v>
      </c>
      <c r="C7" s="95" t="s">
        <v>45</v>
      </c>
      <c r="D7" s="108">
        <v>221.095</v>
      </c>
      <c r="E7" s="108">
        <v>250</v>
      </c>
      <c r="F7" s="108">
        <v>165.54</v>
      </c>
      <c r="G7" s="108">
        <v>0.5</v>
      </c>
      <c r="H7" s="94">
        <f t="shared" si="2"/>
        <v>82.77</v>
      </c>
      <c r="I7" s="94">
        <f t="shared" si="3"/>
        <v>167.23000000000002</v>
      </c>
      <c r="J7" s="93">
        <f t="shared" si="4"/>
        <v>33.107999999999997</v>
      </c>
      <c r="K7" s="302" t="s">
        <v>431</v>
      </c>
      <c r="L7" s="106">
        <v>904.18</v>
      </c>
      <c r="M7" s="106">
        <v>150</v>
      </c>
      <c r="N7" s="106">
        <f t="shared" si="0"/>
        <v>165.54</v>
      </c>
      <c r="O7" s="91">
        <v>0.5</v>
      </c>
      <c r="P7" s="91">
        <f t="shared" si="5"/>
        <v>82.77</v>
      </c>
      <c r="Q7" s="91">
        <f t="shared" si="6"/>
        <v>67.23</v>
      </c>
      <c r="R7" s="301">
        <f t="shared" si="1"/>
        <v>150</v>
      </c>
      <c r="S7" s="295">
        <f t="shared" si="7"/>
        <v>0</v>
      </c>
      <c r="T7" s="298">
        <f t="shared" si="8"/>
        <v>0</v>
      </c>
      <c r="U7" s="321"/>
      <c r="W7" s="60" t="s">
        <v>85</v>
      </c>
      <c r="X7" s="341">
        <v>1</v>
      </c>
      <c r="Y7" s="341">
        <v>0</v>
      </c>
      <c r="Z7" s="341">
        <v>0</v>
      </c>
      <c r="AA7" s="341">
        <v>0</v>
      </c>
      <c r="AB7" s="343">
        <v>0</v>
      </c>
      <c r="AC7" s="60">
        <f t="shared" ref="AC7:AC17" si="9">SUM(X7:AB7)</f>
        <v>1</v>
      </c>
      <c r="AD7" s="5"/>
      <c r="AE7" s="5"/>
      <c r="AF7" s="5"/>
      <c r="AG7" s="5"/>
      <c r="AI7" s="60" t="s">
        <v>85</v>
      </c>
      <c r="AJ7" s="343">
        <v>0</v>
      </c>
      <c r="AK7" s="343">
        <f>2+1+1</f>
        <v>4</v>
      </c>
      <c r="AL7" s="343">
        <f>2+1</f>
        <v>3</v>
      </c>
      <c r="AM7" s="343">
        <v>0</v>
      </c>
      <c r="AN7" s="343">
        <f>1+1</f>
        <v>2</v>
      </c>
      <c r="AO7" s="60">
        <f t="shared" ref="AO7:AO17" si="10">SUM(AJ7:AN7)</f>
        <v>9</v>
      </c>
    </row>
    <row r="8" spans="1:41" ht="15.75" thickBot="1">
      <c r="A8" s="499"/>
      <c r="B8" s="96" t="s">
        <v>25</v>
      </c>
      <c r="C8" s="95" t="s">
        <v>65</v>
      </c>
      <c r="D8" s="94">
        <v>645.40499999999997</v>
      </c>
      <c r="E8" s="94">
        <v>150</v>
      </c>
      <c r="F8" s="94">
        <v>101.52370000000001</v>
      </c>
      <c r="G8" s="94">
        <v>0.5</v>
      </c>
      <c r="H8" s="73">
        <f t="shared" si="2"/>
        <v>50.761850000000003</v>
      </c>
      <c r="I8" s="73">
        <f t="shared" si="3"/>
        <v>99.23814999999999</v>
      </c>
      <c r="J8" s="299">
        <f t="shared" si="4"/>
        <v>33.841233333333335</v>
      </c>
      <c r="K8" s="301" t="s">
        <v>430</v>
      </c>
      <c r="L8" s="92">
        <v>691.82</v>
      </c>
      <c r="M8" s="92">
        <v>150</v>
      </c>
      <c r="N8" s="92">
        <f t="shared" si="0"/>
        <v>101.52370000000001</v>
      </c>
      <c r="O8" s="119">
        <v>0.5</v>
      </c>
      <c r="P8" s="119">
        <f t="shared" si="5"/>
        <v>50.761850000000003</v>
      </c>
      <c r="Q8" s="119">
        <f t="shared" si="6"/>
        <v>99.23814999999999</v>
      </c>
      <c r="R8" s="303">
        <f t="shared" si="1"/>
        <v>150</v>
      </c>
      <c r="S8" s="295">
        <f t="shared" si="7"/>
        <v>0</v>
      </c>
      <c r="T8" s="297">
        <f t="shared" si="8"/>
        <v>0</v>
      </c>
      <c r="U8" s="321"/>
      <c r="W8" s="60" t="s">
        <v>86</v>
      </c>
      <c r="X8" s="341">
        <v>1</v>
      </c>
      <c r="Y8" s="341">
        <v>0</v>
      </c>
      <c r="Z8" s="341">
        <v>0</v>
      </c>
      <c r="AA8" s="341">
        <v>0</v>
      </c>
      <c r="AB8" s="343">
        <v>0</v>
      </c>
      <c r="AC8" s="60">
        <f t="shared" si="9"/>
        <v>1</v>
      </c>
      <c r="AD8" s="5"/>
      <c r="AE8" s="405" t="s">
        <v>476</v>
      </c>
      <c r="AF8" s="405" t="s">
        <v>477</v>
      </c>
      <c r="AG8" s="345" t="s">
        <v>478</v>
      </c>
      <c r="AI8" s="60" t="s">
        <v>86</v>
      </c>
      <c r="AJ8" s="341">
        <v>0</v>
      </c>
      <c r="AK8" s="343">
        <v>0</v>
      </c>
      <c r="AL8" s="341">
        <f>1+1</f>
        <v>2</v>
      </c>
      <c r="AM8" s="343">
        <v>0</v>
      </c>
      <c r="AN8" s="343">
        <f>1</f>
        <v>1</v>
      </c>
      <c r="AO8" s="60">
        <f t="shared" si="10"/>
        <v>3</v>
      </c>
    </row>
    <row r="9" spans="1:41" ht="15.75" thickBot="1">
      <c r="A9" s="497" t="s">
        <v>46</v>
      </c>
      <c r="B9" s="87" t="s">
        <v>5</v>
      </c>
      <c r="C9" s="86" t="s">
        <v>46</v>
      </c>
      <c r="D9" s="85">
        <v>87.444999999999993</v>
      </c>
      <c r="E9" s="85">
        <v>300</v>
      </c>
      <c r="F9" s="85">
        <v>330.03719999999998</v>
      </c>
      <c r="G9" s="85">
        <v>0.5</v>
      </c>
      <c r="H9" s="85">
        <f t="shared" si="2"/>
        <v>165.01859999999999</v>
      </c>
      <c r="I9" s="85">
        <f t="shared" si="3"/>
        <v>134.98140000000001</v>
      </c>
      <c r="J9" s="93">
        <f t="shared" si="4"/>
        <v>55.006199999999993</v>
      </c>
      <c r="K9" s="100" t="s">
        <v>429</v>
      </c>
      <c r="L9" s="83">
        <v>243.73500000000001</v>
      </c>
      <c r="M9" s="83">
        <v>250</v>
      </c>
      <c r="N9" s="83">
        <f t="shared" si="0"/>
        <v>330.03719999999998</v>
      </c>
      <c r="O9" s="91">
        <v>0.5</v>
      </c>
      <c r="P9" s="91">
        <f t="shared" si="5"/>
        <v>165.01859999999999</v>
      </c>
      <c r="Q9" s="91">
        <f t="shared" si="6"/>
        <v>84.981400000000008</v>
      </c>
      <c r="R9" s="100">
        <f t="shared" si="1"/>
        <v>250</v>
      </c>
      <c r="S9" s="295">
        <f t="shared" si="7"/>
        <v>0</v>
      </c>
      <c r="T9" s="296">
        <f t="shared" si="8"/>
        <v>0</v>
      </c>
      <c r="U9" s="321"/>
      <c r="W9" s="60" t="s">
        <v>87</v>
      </c>
      <c r="X9" s="341">
        <v>1</v>
      </c>
      <c r="Y9" s="341">
        <v>0</v>
      </c>
      <c r="Z9" s="341">
        <v>0</v>
      </c>
      <c r="AA9" s="341">
        <v>0</v>
      </c>
      <c r="AB9" s="343">
        <v>0</v>
      </c>
      <c r="AC9" s="60">
        <f t="shared" si="9"/>
        <v>1</v>
      </c>
      <c r="AD9" s="5"/>
      <c r="AE9" s="61" t="s">
        <v>471</v>
      </c>
      <c r="AF9" s="61">
        <v>100</v>
      </c>
      <c r="AG9" s="413">
        <v>15</v>
      </c>
      <c r="AI9" s="60" t="s">
        <v>87</v>
      </c>
      <c r="AJ9" s="341">
        <v>0</v>
      </c>
      <c r="AK9" s="420">
        <f>3+2+2</f>
        <v>7</v>
      </c>
      <c r="AL9" s="343">
        <f>2+1+2+4+1</f>
        <v>10</v>
      </c>
      <c r="AM9" s="343">
        <f>1+2+3</f>
        <v>6</v>
      </c>
      <c r="AN9" s="343">
        <v>0</v>
      </c>
      <c r="AO9" s="60">
        <f t="shared" si="10"/>
        <v>23</v>
      </c>
    </row>
    <row r="10" spans="1:41" ht="15.75" thickBot="1">
      <c r="A10" s="499"/>
      <c r="B10" s="96" t="s">
        <v>7</v>
      </c>
      <c r="C10" s="95" t="s">
        <v>48</v>
      </c>
      <c r="D10" s="108">
        <v>457.755</v>
      </c>
      <c r="E10" s="108">
        <v>200</v>
      </c>
      <c r="F10" s="108">
        <v>200.11</v>
      </c>
      <c r="G10" s="108">
        <v>0.5</v>
      </c>
      <c r="H10" s="94">
        <f t="shared" si="2"/>
        <v>100.05500000000001</v>
      </c>
      <c r="I10" s="94">
        <f t="shared" si="3"/>
        <v>99.944999999999993</v>
      </c>
      <c r="J10" s="93">
        <f t="shared" si="4"/>
        <v>50.027500000000003</v>
      </c>
      <c r="K10" s="302" t="s">
        <v>428</v>
      </c>
      <c r="L10" s="106">
        <v>614.06500000000005</v>
      </c>
      <c r="M10" s="106">
        <v>150</v>
      </c>
      <c r="N10" s="106">
        <f t="shared" si="0"/>
        <v>200.11</v>
      </c>
      <c r="O10" s="91">
        <v>0.5</v>
      </c>
      <c r="P10" s="91">
        <f t="shared" si="5"/>
        <v>100.05500000000001</v>
      </c>
      <c r="Q10" s="91">
        <f t="shared" si="6"/>
        <v>49.944999999999993</v>
      </c>
      <c r="R10" s="301">
        <f t="shared" si="1"/>
        <v>150</v>
      </c>
      <c r="S10" s="295">
        <f t="shared" si="7"/>
        <v>0</v>
      </c>
      <c r="T10" s="298">
        <f t="shared" si="8"/>
        <v>0</v>
      </c>
      <c r="U10" s="321"/>
      <c r="W10" s="60" t="s">
        <v>88</v>
      </c>
      <c r="X10" s="341">
        <v>1</v>
      </c>
      <c r="Y10" s="341">
        <v>0</v>
      </c>
      <c r="Z10" s="341">
        <v>0</v>
      </c>
      <c r="AA10" s="341">
        <v>0</v>
      </c>
      <c r="AB10" s="343">
        <v>0</v>
      </c>
      <c r="AC10" s="60">
        <f t="shared" si="9"/>
        <v>1</v>
      </c>
      <c r="AD10" s="330"/>
      <c r="AE10" s="346" t="s">
        <v>472</v>
      </c>
      <c r="AF10" s="346">
        <v>150</v>
      </c>
      <c r="AG10" s="414">
        <v>16.3689</v>
      </c>
      <c r="AI10" s="60" t="s">
        <v>88</v>
      </c>
      <c r="AJ10" s="341">
        <v>0</v>
      </c>
      <c r="AK10" s="343">
        <v>0</v>
      </c>
      <c r="AL10" s="343">
        <f>1+1+1+2+1+1</f>
        <v>7</v>
      </c>
      <c r="AM10" s="343">
        <f>1</f>
        <v>1</v>
      </c>
      <c r="AN10" s="343">
        <v>0</v>
      </c>
      <c r="AO10" s="60">
        <f t="shared" si="10"/>
        <v>8</v>
      </c>
    </row>
    <row r="11" spans="1:41" ht="15.75" thickBot="1">
      <c r="A11" s="499"/>
      <c r="B11" s="96" t="s">
        <v>8</v>
      </c>
      <c r="C11" s="95" t="s">
        <v>74</v>
      </c>
      <c r="D11" s="108">
        <v>632.29</v>
      </c>
      <c r="E11" s="108">
        <v>300</v>
      </c>
      <c r="F11" s="108">
        <v>416.14780000000002</v>
      </c>
      <c r="G11" s="108">
        <v>0.5</v>
      </c>
      <c r="H11" s="94">
        <f t="shared" si="2"/>
        <v>208.07390000000001</v>
      </c>
      <c r="I11" s="94">
        <f t="shared" si="3"/>
        <v>91.926099999999991</v>
      </c>
      <c r="J11" s="93">
        <f t="shared" si="4"/>
        <v>69.35796666666667</v>
      </c>
      <c r="K11" s="302" t="s">
        <v>427</v>
      </c>
      <c r="L11" s="106">
        <v>692.19500000000005</v>
      </c>
      <c r="M11" s="106">
        <v>300</v>
      </c>
      <c r="N11" s="106">
        <f t="shared" si="0"/>
        <v>416.14780000000002</v>
      </c>
      <c r="O11" s="91">
        <v>0.5</v>
      </c>
      <c r="P11" s="91">
        <f t="shared" si="5"/>
        <v>208.07390000000001</v>
      </c>
      <c r="Q11" s="91">
        <f t="shared" si="6"/>
        <v>91.926099999999991</v>
      </c>
      <c r="R11" s="301">
        <f t="shared" si="1"/>
        <v>150</v>
      </c>
      <c r="S11" s="295">
        <f t="shared" si="7"/>
        <v>0</v>
      </c>
      <c r="T11" s="298">
        <f t="shared" si="8"/>
        <v>0</v>
      </c>
      <c r="U11" s="321"/>
      <c r="W11" s="60" t="s">
        <v>89</v>
      </c>
      <c r="X11" s="341">
        <v>0</v>
      </c>
      <c r="Y11" s="341">
        <v>0</v>
      </c>
      <c r="Z11" s="341">
        <v>0</v>
      </c>
      <c r="AA11" s="341">
        <v>0</v>
      </c>
      <c r="AB11" s="343">
        <v>0</v>
      </c>
      <c r="AC11" s="60">
        <f t="shared" si="9"/>
        <v>0</v>
      </c>
      <c r="AD11" s="329"/>
      <c r="AE11" s="346" t="s">
        <v>473</v>
      </c>
      <c r="AF11" s="346">
        <v>200</v>
      </c>
      <c r="AG11" s="414">
        <v>16.746700000000001</v>
      </c>
      <c r="AI11" s="60" t="s">
        <v>89</v>
      </c>
      <c r="AJ11" s="343">
        <v>0</v>
      </c>
      <c r="AK11" s="343">
        <f>2+2+1</f>
        <v>5</v>
      </c>
      <c r="AL11" s="343">
        <f>1</f>
        <v>1</v>
      </c>
      <c r="AM11" s="343">
        <f>1</f>
        <v>1</v>
      </c>
      <c r="AN11" s="343">
        <v>0</v>
      </c>
      <c r="AO11" s="60">
        <f t="shared" si="10"/>
        <v>7</v>
      </c>
    </row>
    <row r="12" spans="1:41" ht="15.75" thickBot="1">
      <c r="A12" s="499"/>
      <c r="B12" s="96" t="s">
        <v>12</v>
      </c>
      <c r="C12" s="95" t="s">
        <v>52</v>
      </c>
      <c r="D12" s="108">
        <v>428.91</v>
      </c>
      <c r="E12" s="108">
        <v>200</v>
      </c>
      <c r="F12" s="108">
        <v>320.77999999999997</v>
      </c>
      <c r="G12" s="108">
        <v>0.5</v>
      </c>
      <c r="H12" s="94">
        <f t="shared" si="2"/>
        <v>160.38999999999999</v>
      </c>
      <c r="I12" s="94">
        <f t="shared" si="3"/>
        <v>39.610000000000014</v>
      </c>
      <c r="J12" s="93">
        <f t="shared" si="4"/>
        <v>80.194999999999993</v>
      </c>
      <c r="K12" s="302" t="s">
        <v>421</v>
      </c>
      <c r="L12" s="106">
        <v>440.09</v>
      </c>
      <c r="M12" s="106">
        <v>200</v>
      </c>
      <c r="N12" s="106">
        <f t="shared" si="0"/>
        <v>320.77999999999997</v>
      </c>
      <c r="O12" s="91">
        <v>0.5</v>
      </c>
      <c r="P12" s="91">
        <f t="shared" si="5"/>
        <v>160.38999999999999</v>
      </c>
      <c r="Q12" s="91">
        <f t="shared" si="6"/>
        <v>39.610000000000014</v>
      </c>
      <c r="R12" s="301">
        <f t="shared" si="1"/>
        <v>200</v>
      </c>
      <c r="S12" s="295">
        <f t="shared" si="7"/>
        <v>0</v>
      </c>
      <c r="T12" s="298">
        <f t="shared" si="8"/>
        <v>0</v>
      </c>
      <c r="U12" s="321"/>
      <c r="W12" s="60" t="s">
        <v>90</v>
      </c>
      <c r="X12" s="341">
        <v>0</v>
      </c>
      <c r="Y12" s="341">
        <v>0</v>
      </c>
      <c r="Z12" s="341">
        <v>0</v>
      </c>
      <c r="AA12" s="341">
        <v>0</v>
      </c>
      <c r="AB12" s="343">
        <v>0</v>
      </c>
      <c r="AC12" s="60">
        <f t="shared" si="9"/>
        <v>0</v>
      </c>
      <c r="AD12" s="329"/>
      <c r="AE12" s="346" t="s">
        <v>474</v>
      </c>
      <c r="AF12" s="346">
        <v>250</v>
      </c>
      <c r="AG12" s="414">
        <v>16.886600000000001</v>
      </c>
      <c r="AI12" s="60" t="s">
        <v>90</v>
      </c>
      <c r="AJ12" s="341">
        <v>0</v>
      </c>
      <c r="AK12" s="341">
        <v>0</v>
      </c>
      <c r="AL12" s="341">
        <f>1</f>
        <v>1</v>
      </c>
      <c r="AM12" s="343">
        <f>1</f>
        <v>1</v>
      </c>
      <c r="AN12" s="343">
        <f>1</f>
        <v>1</v>
      </c>
      <c r="AO12" s="60">
        <f t="shared" si="10"/>
        <v>3</v>
      </c>
    </row>
    <row r="13" spans="1:41" ht="15.75" thickBot="1">
      <c r="A13" s="499"/>
      <c r="B13" s="96" t="s">
        <v>397</v>
      </c>
      <c r="C13" s="95" t="s">
        <v>63</v>
      </c>
      <c r="D13" s="94">
        <v>530.30999999999995</v>
      </c>
      <c r="E13" s="94">
        <v>200</v>
      </c>
      <c r="F13" s="94">
        <v>22.35</v>
      </c>
      <c r="G13" s="94">
        <v>0.5</v>
      </c>
      <c r="H13" s="73">
        <f t="shared" si="2"/>
        <v>11.175000000000001</v>
      </c>
      <c r="I13" s="73">
        <f t="shared" si="3"/>
        <v>188.82499999999999</v>
      </c>
      <c r="J13" s="93">
        <f t="shared" si="4"/>
        <v>5.5875000000000004</v>
      </c>
      <c r="K13" s="301" t="s">
        <v>419</v>
      </c>
      <c r="L13" s="92">
        <v>541.49</v>
      </c>
      <c r="M13" s="92">
        <v>150</v>
      </c>
      <c r="N13" s="92">
        <f t="shared" si="0"/>
        <v>22.35</v>
      </c>
      <c r="O13" s="91">
        <v>0.5</v>
      </c>
      <c r="P13" s="91">
        <f t="shared" si="5"/>
        <v>11.175000000000001</v>
      </c>
      <c r="Q13" s="91">
        <f t="shared" si="6"/>
        <v>138.82499999999999</v>
      </c>
      <c r="R13" s="303">
        <f t="shared" si="1"/>
        <v>150</v>
      </c>
      <c r="S13" s="295">
        <f t="shared" si="7"/>
        <v>0</v>
      </c>
      <c r="T13" s="297">
        <f t="shared" si="8"/>
        <v>0</v>
      </c>
      <c r="U13" s="321"/>
      <c r="W13" s="60" t="s">
        <v>91</v>
      </c>
      <c r="X13" s="341">
        <v>0</v>
      </c>
      <c r="Y13" s="341">
        <v>0</v>
      </c>
      <c r="Z13" s="343">
        <v>0</v>
      </c>
      <c r="AA13" s="343">
        <v>0</v>
      </c>
      <c r="AB13" s="343">
        <v>0</v>
      </c>
      <c r="AC13" s="60">
        <f t="shared" si="9"/>
        <v>0</v>
      </c>
      <c r="AD13" s="330"/>
      <c r="AE13" s="347" t="s">
        <v>527</v>
      </c>
      <c r="AF13" s="347">
        <v>300</v>
      </c>
      <c r="AG13" s="415">
        <v>17</v>
      </c>
      <c r="AI13" s="60" t="s">
        <v>91</v>
      </c>
      <c r="AJ13" s="341">
        <v>0</v>
      </c>
      <c r="AK13" s="341">
        <f>1+2+1+1+1+1</f>
        <v>7</v>
      </c>
      <c r="AL13" s="343">
        <f>1+1</f>
        <v>2</v>
      </c>
      <c r="AM13" s="343">
        <f>1</f>
        <v>1</v>
      </c>
      <c r="AN13" s="343">
        <v>0</v>
      </c>
      <c r="AO13" s="60">
        <f t="shared" si="10"/>
        <v>10</v>
      </c>
    </row>
    <row r="14" spans="1:41" ht="15.75" thickBot="1">
      <c r="A14" s="288" t="s">
        <v>427</v>
      </c>
      <c r="B14" s="87" t="s">
        <v>351</v>
      </c>
      <c r="C14" s="163"/>
      <c r="D14" s="85"/>
      <c r="E14" s="85"/>
      <c r="F14" s="85"/>
      <c r="G14" s="85">
        <v>0.5</v>
      </c>
      <c r="H14" s="184">
        <f t="shared" si="2"/>
        <v>0</v>
      </c>
      <c r="I14" s="85"/>
      <c r="J14" s="183"/>
      <c r="K14" s="100"/>
      <c r="L14" s="83"/>
      <c r="M14" s="83"/>
      <c r="N14" s="83"/>
      <c r="O14" s="181">
        <v>0.5</v>
      </c>
      <c r="P14" s="181">
        <f t="shared" si="5"/>
        <v>0</v>
      </c>
      <c r="Q14" s="181"/>
      <c r="R14" s="180"/>
      <c r="S14" s="295"/>
      <c r="T14" s="295">
        <f t="shared" si="8"/>
        <v>0</v>
      </c>
      <c r="U14" s="321"/>
      <c r="W14" s="60" t="s">
        <v>92</v>
      </c>
      <c r="X14" s="343">
        <v>1</v>
      </c>
      <c r="Y14" s="343">
        <v>0</v>
      </c>
      <c r="Z14" s="343">
        <v>0</v>
      </c>
      <c r="AA14" s="343">
        <v>0</v>
      </c>
      <c r="AB14" s="343">
        <v>0</v>
      </c>
      <c r="AC14" s="60">
        <f t="shared" si="9"/>
        <v>1</v>
      </c>
      <c r="AD14" s="330"/>
      <c r="AE14" s="330"/>
      <c r="AF14" s="330"/>
      <c r="AG14" s="5"/>
      <c r="AI14" s="60" t="s">
        <v>92</v>
      </c>
      <c r="AJ14" s="343">
        <v>0</v>
      </c>
      <c r="AK14" s="341">
        <f>1+1</f>
        <v>2</v>
      </c>
      <c r="AL14" s="343">
        <f>4+1</f>
        <v>5</v>
      </c>
      <c r="AM14" s="343">
        <v>0</v>
      </c>
      <c r="AN14" s="343">
        <v>0</v>
      </c>
      <c r="AO14" s="60">
        <f t="shared" si="10"/>
        <v>7</v>
      </c>
    </row>
    <row r="15" spans="1:41" ht="15.75" thickBot="1">
      <c r="A15" s="497" t="s">
        <v>49</v>
      </c>
      <c r="B15" s="87" t="s">
        <v>426</v>
      </c>
      <c r="C15" s="86" t="s">
        <v>47</v>
      </c>
      <c r="D15" s="85">
        <v>341.36500000000001</v>
      </c>
      <c r="E15" s="85">
        <v>400</v>
      </c>
      <c r="F15" s="85">
        <v>414.50749999999999</v>
      </c>
      <c r="G15" s="85">
        <v>0.5</v>
      </c>
      <c r="H15" s="85">
        <f t="shared" si="2"/>
        <v>207.25375</v>
      </c>
      <c r="I15" s="85">
        <f>E15-H15</f>
        <v>192.74625</v>
      </c>
      <c r="J15" s="93">
        <f>H15/E15*100</f>
        <v>51.813437500000006</v>
      </c>
      <c r="K15" s="100" t="s">
        <v>425</v>
      </c>
      <c r="L15" s="83">
        <v>527.53499999999997</v>
      </c>
      <c r="M15" s="83">
        <v>600</v>
      </c>
      <c r="N15" s="83">
        <f t="shared" ref="N15:N24" si="11">F15</f>
        <v>414.50749999999999</v>
      </c>
      <c r="O15" s="91">
        <v>0.5</v>
      </c>
      <c r="P15" s="91">
        <f t="shared" si="5"/>
        <v>207.25375</v>
      </c>
      <c r="Q15" s="91">
        <f>M15-P15</f>
        <v>392.74625000000003</v>
      </c>
      <c r="R15" s="100">
        <f t="shared" ref="R15:R56" si="12">IF(AND(L15&gt;0,L15&lt;135),300, IF(AND(L15 &gt;135,L15&lt;288),250, IF(AND(L15&gt;288,L15&lt;537),200, IF(AND(L15&gt;537,L15&lt;1096),150, 100))))</f>
        <v>200</v>
      </c>
      <c r="S15" s="296">
        <f>IF(Q15&lt;0, CEILING((P15-M15)/R15,1),0)</f>
        <v>0</v>
      </c>
      <c r="T15" s="296">
        <f t="shared" si="8"/>
        <v>0</v>
      </c>
      <c r="U15" s="321"/>
      <c r="W15" s="60" t="s">
        <v>93</v>
      </c>
      <c r="X15" s="343">
        <v>1</v>
      </c>
      <c r="Y15" s="341">
        <v>0</v>
      </c>
      <c r="Z15" s="343">
        <v>0</v>
      </c>
      <c r="AA15" s="343">
        <v>0</v>
      </c>
      <c r="AB15" s="343">
        <v>0</v>
      </c>
      <c r="AC15" s="60">
        <f t="shared" si="9"/>
        <v>1</v>
      </c>
      <c r="AD15" s="330"/>
      <c r="AE15" s="330"/>
      <c r="AF15" s="330"/>
      <c r="AG15" s="5"/>
      <c r="AI15" s="60" t="s">
        <v>93</v>
      </c>
      <c r="AJ15" s="343">
        <v>0</v>
      </c>
      <c r="AK15" s="341">
        <v>0</v>
      </c>
      <c r="AL15" s="343">
        <f>1+1</f>
        <v>2</v>
      </c>
      <c r="AM15" s="343">
        <f>2</f>
        <v>2</v>
      </c>
      <c r="AN15" s="343">
        <v>0</v>
      </c>
      <c r="AO15" s="60">
        <f t="shared" si="10"/>
        <v>4</v>
      </c>
    </row>
    <row r="16" spans="1:41" ht="15.75" thickBot="1">
      <c r="A16" s="499"/>
      <c r="B16" s="96" t="s">
        <v>9</v>
      </c>
      <c r="C16" s="95" t="s">
        <v>424</v>
      </c>
      <c r="D16" s="108">
        <v>72.555000000000007</v>
      </c>
      <c r="E16" s="108">
        <v>300</v>
      </c>
      <c r="F16" s="108">
        <v>249.06020000000001</v>
      </c>
      <c r="G16" s="108">
        <v>0.5</v>
      </c>
      <c r="H16" s="94">
        <f t="shared" si="2"/>
        <v>124.5301</v>
      </c>
      <c r="I16" s="94">
        <f t="shared" ref="I16:I24" si="13">E16-H16</f>
        <v>175.4699</v>
      </c>
      <c r="J16" s="93">
        <f t="shared" ref="J16:J24" si="14">H16/E16*100</f>
        <v>41.510033333333332</v>
      </c>
      <c r="K16" s="302" t="s">
        <v>423</v>
      </c>
      <c r="L16" s="106">
        <v>258.625</v>
      </c>
      <c r="M16" s="106">
        <v>250</v>
      </c>
      <c r="N16" s="106">
        <f t="shared" si="11"/>
        <v>249.06020000000001</v>
      </c>
      <c r="O16" s="91">
        <v>0.5</v>
      </c>
      <c r="P16" s="91">
        <f t="shared" si="5"/>
        <v>124.5301</v>
      </c>
      <c r="Q16" s="91">
        <f t="shared" ref="Q16:Q24" si="15">M16-P16</f>
        <v>125.4699</v>
      </c>
      <c r="R16" s="301">
        <f t="shared" si="12"/>
        <v>250</v>
      </c>
      <c r="S16" s="296">
        <f t="shared" ref="S16:S24" si="16">IF(Q16&lt;0, CEILING((P16-M16)/R16,1),0)</f>
        <v>0</v>
      </c>
      <c r="T16" s="298">
        <f t="shared" si="8"/>
        <v>0</v>
      </c>
      <c r="U16" s="321"/>
      <c r="W16" s="60" t="s">
        <v>94</v>
      </c>
      <c r="X16" s="343">
        <v>0</v>
      </c>
      <c r="Y16" s="341">
        <v>0</v>
      </c>
      <c r="Z16" s="343">
        <v>0</v>
      </c>
      <c r="AA16" s="343">
        <v>0</v>
      </c>
      <c r="AB16" s="343">
        <v>0</v>
      </c>
      <c r="AC16" s="60">
        <f t="shared" si="9"/>
        <v>0</v>
      </c>
      <c r="AD16" s="18"/>
      <c r="AE16" s="18"/>
      <c r="AF16" s="330"/>
      <c r="AG16" s="5"/>
      <c r="AI16" s="60" t="s">
        <v>94</v>
      </c>
      <c r="AJ16" s="343">
        <v>0</v>
      </c>
      <c r="AK16" s="420">
        <f>1</f>
        <v>1</v>
      </c>
      <c r="AL16" s="343">
        <f>1+1</f>
        <v>2</v>
      </c>
      <c r="AM16" s="343">
        <f>3</f>
        <v>3</v>
      </c>
      <c r="AN16" s="343">
        <v>0</v>
      </c>
      <c r="AO16" s="60">
        <f t="shared" si="10"/>
        <v>6</v>
      </c>
    </row>
    <row r="17" spans="1:41" ht="15.75" thickBot="1">
      <c r="A17" s="499"/>
      <c r="B17" s="96" t="s">
        <v>10</v>
      </c>
      <c r="C17" s="95" t="s">
        <v>386</v>
      </c>
      <c r="D17" s="108">
        <v>894.93</v>
      </c>
      <c r="E17" s="108">
        <v>150</v>
      </c>
      <c r="F17" s="108">
        <v>185.4342</v>
      </c>
      <c r="G17" s="108">
        <v>0.5</v>
      </c>
      <c r="H17" s="94">
        <f t="shared" si="2"/>
        <v>92.717100000000002</v>
      </c>
      <c r="I17" s="94">
        <f t="shared" si="13"/>
        <v>57.282899999999998</v>
      </c>
      <c r="J17" s="93">
        <f t="shared" si="14"/>
        <v>61.811400000000006</v>
      </c>
      <c r="K17" s="302" t="s">
        <v>385</v>
      </c>
      <c r="L17" s="106">
        <v>975.03499999999997</v>
      </c>
      <c r="M17" s="106">
        <v>150</v>
      </c>
      <c r="N17" s="106">
        <f t="shared" si="11"/>
        <v>185.4342</v>
      </c>
      <c r="O17" s="91">
        <v>0.5</v>
      </c>
      <c r="P17" s="91">
        <f t="shared" si="5"/>
        <v>92.717100000000002</v>
      </c>
      <c r="Q17" s="91">
        <f t="shared" si="15"/>
        <v>57.282899999999998</v>
      </c>
      <c r="R17" s="301">
        <f t="shared" si="12"/>
        <v>150</v>
      </c>
      <c r="S17" s="296">
        <f t="shared" si="16"/>
        <v>0</v>
      </c>
      <c r="T17" s="298">
        <f t="shared" si="8"/>
        <v>0</v>
      </c>
      <c r="U17" s="321"/>
      <c r="W17" s="326" t="s">
        <v>469</v>
      </c>
      <c r="X17" s="348">
        <v>0</v>
      </c>
      <c r="Y17" s="348">
        <v>0</v>
      </c>
      <c r="Z17" s="348">
        <v>0</v>
      </c>
      <c r="AA17" s="348">
        <v>0</v>
      </c>
      <c r="AB17" s="348">
        <v>0</v>
      </c>
      <c r="AC17" s="326">
        <f t="shared" si="9"/>
        <v>0</v>
      </c>
      <c r="AD17" s="330"/>
      <c r="AE17" s="330"/>
      <c r="AG17" s="5"/>
      <c r="AI17" s="326" t="s">
        <v>469</v>
      </c>
      <c r="AJ17" s="348">
        <v>0</v>
      </c>
      <c r="AK17" s="348">
        <f>1</f>
        <v>1</v>
      </c>
      <c r="AL17" s="348">
        <f>1</f>
        <v>1</v>
      </c>
      <c r="AM17" s="348">
        <v>0</v>
      </c>
      <c r="AN17" s="348">
        <v>0</v>
      </c>
      <c r="AO17" s="326">
        <f t="shared" si="10"/>
        <v>2</v>
      </c>
    </row>
    <row r="18" spans="1:41" ht="15.75" thickBot="1">
      <c r="A18" s="499"/>
      <c r="B18" s="96" t="s">
        <v>11</v>
      </c>
      <c r="C18" s="95" t="s">
        <v>378</v>
      </c>
      <c r="D18" s="108">
        <v>839.23</v>
      </c>
      <c r="E18" s="108">
        <v>150</v>
      </c>
      <c r="F18" s="108">
        <v>213.84829999999999</v>
      </c>
      <c r="G18" s="108">
        <v>0.5</v>
      </c>
      <c r="H18" s="94">
        <f t="shared" si="2"/>
        <v>106.92415</v>
      </c>
      <c r="I18" s="94">
        <f t="shared" si="13"/>
        <v>43.075850000000003</v>
      </c>
      <c r="J18" s="93">
        <f t="shared" si="14"/>
        <v>71.28276666666666</v>
      </c>
      <c r="K18" s="302" t="s">
        <v>422</v>
      </c>
      <c r="L18" s="106">
        <v>1025.3</v>
      </c>
      <c r="M18" s="106">
        <v>150</v>
      </c>
      <c r="N18" s="106">
        <f t="shared" si="11"/>
        <v>213.84829999999999</v>
      </c>
      <c r="O18" s="91">
        <v>0.5</v>
      </c>
      <c r="P18" s="91">
        <f t="shared" si="5"/>
        <v>106.92415</v>
      </c>
      <c r="Q18" s="91">
        <f t="shared" si="15"/>
        <v>43.075850000000003</v>
      </c>
      <c r="R18" s="301">
        <f t="shared" si="12"/>
        <v>150</v>
      </c>
      <c r="S18" s="296">
        <f t="shared" si="16"/>
        <v>0</v>
      </c>
      <c r="T18" s="298">
        <f t="shared" si="8"/>
        <v>0</v>
      </c>
      <c r="U18" s="321"/>
      <c r="W18" s="340" t="s">
        <v>479</v>
      </c>
      <c r="X18" s="349">
        <f t="shared" ref="X18:AC18" si="17">SUM(X6:X17)</f>
        <v>6</v>
      </c>
      <c r="Y18" s="349">
        <f t="shared" si="17"/>
        <v>0</v>
      </c>
      <c r="Z18" s="349">
        <f t="shared" si="17"/>
        <v>0</v>
      </c>
      <c r="AA18" s="349">
        <f t="shared" si="17"/>
        <v>0</v>
      </c>
      <c r="AB18" s="349">
        <f t="shared" si="17"/>
        <v>0</v>
      </c>
      <c r="AC18" s="350">
        <f t="shared" si="17"/>
        <v>6</v>
      </c>
      <c r="AD18" s="330"/>
      <c r="AE18" s="330"/>
      <c r="AG18" s="5"/>
      <c r="AI18" s="340" t="s">
        <v>479</v>
      </c>
      <c r="AJ18" s="349">
        <f>SUM(AJ6:AJ17)</f>
        <v>0</v>
      </c>
      <c r="AK18" s="349">
        <f>SUM(AK6:AK17)</f>
        <v>30</v>
      </c>
      <c r="AL18" s="349">
        <f>SUM(AL6:AL17)</f>
        <v>38</v>
      </c>
      <c r="AM18" s="349">
        <f>SUM(AM6:AM17)</f>
        <v>16</v>
      </c>
      <c r="AN18" s="349">
        <f>SUM(AN6:AN17)</f>
        <v>4</v>
      </c>
      <c r="AO18" s="350">
        <f t="shared" ref="AO18" si="18">SUM(AO6:AO17)</f>
        <v>88</v>
      </c>
    </row>
    <row r="19" spans="1:41" ht="15.75" thickBot="1">
      <c r="A19" s="499"/>
      <c r="B19" s="96" t="s">
        <v>12</v>
      </c>
      <c r="C19" s="95" t="s">
        <v>52</v>
      </c>
      <c r="D19" s="108">
        <v>428.91</v>
      </c>
      <c r="E19" s="108">
        <v>200</v>
      </c>
      <c r="F19" s="108">
        <v>320.7817</v>
      </c>
      <c r="G19" s="108">
        <v>0.5</v>
      </c>
      <c r="H19" s="94">
        <f t="shared" si="2"/>
        <v>160.39085</v>
      </c>
      <c r="I19" s="94">
        <f t="shared" si="13"/>
        <v>39.60915</v>
      </c>
      <c r="J19" s="93">
        <f t="shared" si="14"/>
        <v>80.195425</v>
      </c>
      <c r="K19" s="302" t="s">
        <v>421</v>
      </c>
      <c r="L19" s="106">
        <v>440.09</v>
      </c>
      <c r="M19" s="106">
        <v>200</v>
      </c>
      <c r="N19" s="106">
        <f t="shared" si="11"/>
        <v>320.7817</v>
      </c>
      <c r="O19" s="91">
        <v>0.5</v>
      </c>
      <c r="P19" s="91">
        <f t="shared" si="5"/>
        <v>160.39085</v>
      </c>
      <c r="Q19" s="91">
        <f t="shared" si="15"/>
        <v>39.60915</v>
      </c>
      <c r="R19" s="301">
        <f t="shared" si="12"/>
        <v>200</v>
      </c>
      <c r="S19" s="296">
        <f t="shared" si="16"/>
        <v>0</v>
      </c>
      <c r="T19" s="298">
        <f t="shared" si="8"/>
        <v>0</v>
      </c>
      <c r="U19" s="321"/>
      <c r="W19" s="340" t="s">
        <v>478</v>
      </c>
      <c r="X19" s="351">
        <f>PRODUCT(X18*AG9)</f>
        <v>90</v>
      </c>
      <c r="Y19" s="351">
        <f>PRODUCT(Y18*AG10)</f>
        <v>0</v>
      </c>
      <c r="Z19" s="351">
        <f>PRODUCT(Z18*AG11)</f>
        <v>0</v>
      </c>
      <c r="AA19" s="351">
        <f>PRODUCT(AA18*AG12)</f>
        <v>0</v>
      </c>
      <c r="AB19" s="351">
        <f>PRODUCT(AB18*AG13)</f>
        <v>0</v>
      </c>
      <c r="AC19" s="340">
        <f>SUM(X19:AB19)</f>
        <v>90</v>
      </c>
      <c r="AD19" s="330"/>
      <c r="AE19" s="330"/>
      <c r="AG19" s="5"/>
      <c r="AI19" s="340" t="s">
        <v>478</v>
      </c>
      <c r="AJ19" s="416">
        <f>PRODUCT(AJ18*AG9)</f>
        <v>0</v>
      </c>
      <c r="AK19" s="416">
        <f>PRODUCT(AK18*AG10)</f>
        <v>491.06700000000001</v>
      </c>
      <c r="AL19" s="416">
        <f>PRODUCT(AL18*AG11)</f>
        <v>636.37459999999999</v>
      </c>
      <c r="AM19" s="416">
        <f>PRODUCT(AM18*AG12)</f>
        <v>270.18560000000002</v>
      </c>
      <c r="AN19" s="416">
        <f>PRODUCT(AN18*AG13)</f>
        <v>68</v>
      </c>
      <c r="AO19" s="421">
        <f>SUM(AJ19:AN19)</f>
        <v>1465.6272000000001</v>
      </c>
    </row>
    <row r="20" spans="1:41" ht="15.75" thickBot="1">
      <c r="A20" s="499"/>
      <c r="B20" s="96" t="s">
        <v>420</v>
      </c>
      <c r="C20" s="95" t="s">
        <v>412</v>
      </c>
      <c r="D20" s="94">
        <v>530.30999999999995</v>
      </c>
      <c r="E20" s="94">
        <v>200</v>
      </c>
      <c r="F20" s="94">
        <v>22.35</v>
      </c>
      <c r="G20" s="94">
        <v>0.5</v>
      </c>
      <c r="H20" s="73">
        <f t="shared" si="2"/>
        <v>11.175000000000001</v>
      </c>
      <c r="I20" s="73">
        <f t="shared" si="13"/>
        <v>188.82499999999999</v>
      </c>
      <c r="J20" s="93">
        <f t="shared" si="14"/>
        <v>5.5875000000000004</v>
      </c>
      <c r="K20" s="301" t="s">
        <v>419</v>
      </c>
      <c r="L20" s="92">
        <v>541.49</v>
      </c>
      <c r="M20" s="92">
        <v>150</v>
      </c>
      <c r="N20" s="92">
        <f t="shared" si="11"/>
        <v>22.35</v>
      </c>
      <c r="O20" s="91">
        <v>0.5</v>
      </c>
      <c r="P20" s="91">
        <f t="shared" si="5"/>
        <v>11.175000000000001</v>
      </c>
      <c r="Q20" s="91">
        <f t="shared" si="15"/>
        <v>138.82499999999999</v>
      </c>
      <c r="R20" s="303">
        <f t="shared" si="12"/>
        <v>150</v>
      </c>
      <c r="S20" s="296">
        <f t="shared" si="16"/>
        <v>0</v>
      </c>
      <c r="T20" s="297">
        <f t="shared" si="8"/>
        <v>0</v>
      </c>
      <c r="U20" s="321"/>
      <c r="W20" s="340" t="s">
        <v>477</v>
      </c>
      <c r="X20" s="351">
        <f>X18*AF9</f>
        <v>600</v>
      </c>
      <c r="Y20" s="351">
        <f>Y18*AF10</f>
        <v>0</v>
      </c>
      <c r="Z20" s="351">
        <f>Z18*AF11</f>
        <v>0</v>
      </c>
      <c r="AA20" s="351">
        <f>AA18*AF12</f>
        <v>0</v>
      </c>
      <c r="AB20" s="351">
        <f>AB18*AF13</f>
        <v>0</v>
      </c>
      <c r="AC20" s="340">
        <f>SUM(X20:AB20)</f>
        <v>600</v>
      </c>
      <c r="AD20" s="330"/>
      <c r="AE20" s="330"/>
      <c r="AG20" s="5"/>
      <c r="AI20" s="340" t="s">
        <v>528</v>
      </c>
      <c r="AJ20" s="351">
        <f>AJ18*AF9</f>
        <v>0</v>
      </c>
      <c r="AK20" s="351">
        <f>AK18*AF10</f>
        <v>4500</v>
      </c>
      <c r="AL20" s="351">
        <f>AL18*AF11</f>
        <v>7600</v>
      </c>
      <c r="AM20" s="351">
        <f>AM18*AF12</f>
        <v>4000</v>
      </c>
      <c r="AN20" s="351">
        <f>AN18*AF13</f>
        <v>1200</v>
      </c>
      <c r="AO20" s="340">
        <f>SUM(AJ20:AN20)</f>
        <v>17300</v>
      </c>
    </row>
    <row r="21" spans="1:41" ht="15.75" thickBot="1">
      <c r="A21" s="497" t="s">
        <v>414</v>
      </c>
      <c r="B21" s="87" t="s">
        <v>7</v>
      </c>
      <c r="C21" s="86" t="s">
        <v>48</v>
      </c>
      <c r="D21" s="85">
        <v>457.755</v>
      </c>
      <c r="E21" s="85">
        <v>200</v>
      </c>
      <c r="F21" s="85">
        <v>200.1122</v>
      </c>
      <c r="G21" s="85">
        <v>0.5</v>
      </c>
      <c r="H21" s="85">
        <f t="shared" si="2"/>
        <v>100.0561</v>
      </c>
      <c r="I21" s="85">
        <f t="shared" si="13"/>
        <v>99.943899999999999</v>
      </c>
      <c r="J21" s="84">
        <f t="shared" si="14"/>
        <v>50.02805</v>
      </c>
      <c r="K21" s="100" t="s">
        <v>417</v>
      </c>
      <c r="L21" s="83">
        <v>733.18499999999995</v>
      </c>
      <c r="M21" s="83">
        <v>200</v>
      </c>
      <c r="N21" s="83">
        <f t="shared" si="11"/>
        <v>200.1122</v>
      </c>
      <c r="O21" s="82">
        <v>0.5</v>
      </c>
      <c r="P21" s="82">
        <f t="shared" si="5"/>
        <v>100.0561</v>
      </c>
      <c r="Q21" s="82">
        <f t="shared" si="15"/>
        <v>99.943899999999999</v>
      </c>
      <c r="R21" s="100">
        <f t="shared" si="12"/>
        <v>150</v>
      </c>
      <c r="S21" s="296">
        <f t="shared" si="16"/>
        <v>0</v>
      </c>
      <c r="T21" s="296">
        <f t="shared" si="8"/>
        <v>0</v>
      </c>
      <c r="U21" s="321"/>
    </row>
    <row r="22" spans="1:41" ht="15.75" thickBot="1">
      <c r="A22" s="499"/>
      <c r="B22" s="96" t="s">
        <v>416</v>
      </c>
      <c r="C22" s="95" t="s">
        <v>74</v>
      </c>
      <c r="D22" s="108">
        <v>632.29</v>
      </c>
      <c r="E22" s="108">
        <v>300</v>
      </c>
      <c r="F22" s="108">
        <v>416.14780000000002</v>
      </c>
      <c r="G22" s="108">
        <v>0.5</v>
      </c>
      <c r="H22" s="94">
        <f t="shared" si="2"/>
        <v>208.07390000000001</v>
      </c>
      <c r="I22" s="94">
        <f t="shared" si="13"/>
        <v>91.926099999999991</v>
      </c>
      <c r="J22" s="93">
        <f t="shared" si="14"/>
        <v>69.35796666666667</v>
      </c>
      <c r="K22" s="302" t="s">
        <v>361</v>
      </c>
      <c r="L22" s="106">
        <v>692.19500000000005</v>
      </c>
      <c r="M22" s="106">
        <v>300</v>
      </c>
      <c r="N22" s="106">
        <f t="shared" si="11"/>
        <v>416.14780000000002</v>
      </c>
      <c r="O22" s="91">
        <v>0.5</v>
      </c>
      <c r="P22" s="91">
        <f t="shared" si="5"/>
        <v>208.07390000000001</v>
      </c>
      <c r="Q22" s="91">
        <f t="shared" si="15"/>
        <v>91.926099999999991</v>
      </c>
      <c r="R22" s="301">
        <f t="shared" si="12"/>
        <v>150</v>
      </c>
      <c r="S22" s="296">
        <f t="shared" si="16"/>
        <v>0</v>
      </c>
      <c r="T22" s="298">
        <f t="shared" si="8"/>
        <v>0</v>
      </c>
      <c r="U22" s="321"/>
    </row>
    <row r="23" spans="1:41" ht="15.75" thickBot="1">
      <c r="A23" s="499"/>
      <c r="B23" s="96" t="s">
        <v>415</v>
      </c>
      <c r="C23" s="95" t="s">
        <v>414</v>
      </c>
      <c r="D23" s="108">
        <v>370.31</v>
      </c>
      <c r="E23" s="108">
        <v>200</v>
      </c>
      <c r="F23" s="108">
        <v>24.103000000000002</v>
      </c>
      <c r="G23" s="108">
        <v>0.5</v>
      </c>
      <c r="H23" s="94">
        <f t="shared" si="2"/>
        <v>12.051500000000001</v>
      </c>
      <c r="I23" s="94">
        <f t="shared" si="13"/>
        <v>187.9485</v>
      </c>
      <c r="J23" s="93">
        <f t="shared" si="14"/>
        <v>6.0257500000000004</v>
      </c>
      <c r="K23" s="302" t="s">
        <v>413</v>
      </c>
      <c r="L23" s="106">
        <v>820.63</v>
      </c>
      <c r="M23" s="106">
        <v>150</v>
      </c>
      <c r="N23" s="106">
        <f t="shared" si="11"/>
        <v>24.103000000000002</v>
      </c>
      <c r="O23" s="91">
        <v>0.5</v>
      </c>
      <c r="P23" s="91">
        <f t="shared" si="5"/>
        <v>12.051500000000001</v>
      </c>
      <c r="Q23" s="91">
        <f t="shared" si="15"/>
        <v>137.9485</v>
      </c>
      <c r="R23" s="301">
        <f t="shared" si="12"/>
        <v>150</v>
      </c>
      <c r="S23" s="296">
        <f t="shared" si="16"/>
        <v>0</v>
      </c>
      <c r="T23" s="298">
        <f t="shared" si="8"/>
        <v>0</v>
      </c>
      <c r="U23" s="321"/>
    </row>
    <row r="24" spans="1:41" ht="15.75" thickBot="1">
      <c r="A24" s="499"/>
      <c r="B24" s="96" t="s">
        <v>397</v>
      </c>
      <c r="C24" s="95" t="s">
        <v>412</v>
      </c>
      <c r="D24" s="94">
        <v>530.30999999999995</v>
      </c>
      <c r="E24" s="94">
        <v>200</v>
      </c>
      <c r="F24" s="94">
        <v>22.35</v>
      </c>
      <c r="G24" s="94">
        <v>0.5</v>
      </c>
      <c r="H24" s="73">
        <f t="shared" si="2"/>
        <v>11.175000000000001</v>
      </c>
      <c r="I24" s="73">
        <f t="shared" si="13"/>
        <v>188.82499999999999</v>
      </c>
      <c r="J24" s="299">
        <f t="shared" si="14"/>
        <v>5.5875000000000004</v>
      </c>
      <c r="K24" s="301" t="s">
        <v>411</v>
      </c>
      <c r="L24" s="92">
        <v>660.63</v>
      </c>
      <c r="M24" s="92">
        <v>150</v>
      </c>
      <c r="N24" s="92">
        <f t="shared" si="11"/>
        <v>22.35</v>
      </c>
      <c r="O24" s="119">
        <v>0.5</v>
      </c>
      <c r="P24" s="119">
        <f t="shared" si="5"/>
        <v>11.175000000000001</v>
      </c>
      <c r="Q24" s="119">
        <f t="shared" si="15"/>
        <v>138.82499999999999</v>
      </c>
      <c r="R24" s="303">
        <f t="shared" si="12"/>
        <v>150</v>
      </c>
      <c r="S24" s="296">
        <f t="shared" si="16"/>
        <v>0</v>
      </c>
      <c r="T24" s="297">
        <f t="shared" si="8"/>
        <v>0</v>
      </c>
      <c r="U24" s="321"/>
    </row>
    <row r="25" spans="1:41" ht="15.75" thickBot="1">
      <c r="A25" s="164" t="s">
        <v>410</v>
      </c>
      <c r="B25" s="87" t="s">
        <v>409</v>
      </c>
      <c r="C25" s="163"/>
      <c r="D25" s="85"/>
      <c r="E25" s="85"/>
      <c r="F25" s="85"/>
      <c r="G25" s="85">
        <v>0.5</v>
      </c>
      <c r="H25" s="184">
        <f t="shared" si="2"/>
        <v>0</v>
      </c>
      <c r="I25" s="94"/>
      <c r="J25" s="93"/>
      <c r="K25" s="100"/>
      <c r="L25" s="83"/>
      <c r="M25" s="83"/>
      <c r="N25" s="83"/>
      <c r="O25" s="91">
        <v>0.5</v>
      </c>
      <c r="P25" s="91">
        <f t="shared" si="5"/>
        <v>0</v>
      </c>
      <c r="Q25" s="91"/>
      <c r="R25" s="100">
        <f t="shared" si="12"/>
        <v>100</v>
      </c>
      <c r="S25" s="295"/>
      <c r="T25" s="295">
        <f t="shared" si="8"/>
        <v>0</v>
      </c>
      <c r="U25" s="321"/>
      <c r="W25" s="553" t="s">
        <v>454</v>
      </c>
      <c r="X25" s="554"/>
      <c r="Y25" s="292"/>
      <c r="AD25" s="494" t="s">
        <v>552</v>
      </c>
      <c r="AE25" s="495"/>
      <c r="AF25" s="495"/>
      <c r="AG25" s="495"/>
      <c r="AH25" s="495"/>
      <c r="AI25" s="496"/>
      <c r="AJ25" s="166"/>
    </row>
    <row r="26" spans="1:41" ht="15.75" thickBot="1">
      <c r="A26" s="519" t="s">
        <v>408</v>
      </c>
      <c r="B26" s="160" t="s">
        <v>14</v>
      </c>
      <c r="C26" s="86" t="s">
        <v>407</v>
      </c>
      <c r="D26" s="85">
        <v>391.72</v>
      </c>
      <c r="E26" s="84">
        <v>400</v>
      </c>
      <c r="F26" s="85">
        <v>664.51419999999996</v>
      </c>
      <c r="G26" s="85">
        <v>0.5</v>
      </c>
      <c r="H26" s="85">
        <f t="shared" si="2"/>
        <v>332.25709999999998</v>
      </c>
      <c r="I26" s="85">
        <f>E26-H26</f>
        <v>67.74290000000002</v>
      </c>
      <c r="J26" s="84">
        <f>H26/E26*100</f>
        <v>83.064274999999995</v>
      </c>
      <c r="K26" s="100" t="s">
        <v>406</v>
      </c>
      <c r="L26" s="83">
        <v>799.22</v>
      </c>
      <c r="M26" s="83">
        <v>300</v>
      </c>
      <c r="N26" s="83">
        <f t="shared" ref="N26:N56" si="19">F26</f>
        <v>664.51419999999996</v>
      </c>
      <c r="O26" s="82">
        <v>0.5</v>
      </c>
      <c r="P26" s="82">
        <f t="shared" si="5"/>
        <v>332.25709999999998</v>
      </c>
      <c r="Q26" s="220">
        <f>M26-P26</f>
        <v>-32.25709999999998</v>
      </c>
      <c r="R26" s="306">
        <f t="shared" si="12"/>
        <v>150</v>
      </c>
      <c r="S26" s="296">
        <f>IF(Q26&lt;0, CEILING((P26-M26)/R26,1),0)</f>
        <v>1</v>
      </c>
      <c r="T26" s="296">
        <f t="shared" si="8"/>
        <v>150</v>
      </c>
      <c r="U26" s="321">
        <f>IF(Q26&lt;0, -1*Q26,  )</f>
        <v>32.25709999999998</v>
      </c>
      <c r="W26" s="90"/>
      <c r="X26" s="290"/>
      <c r="Y26" s="99"/>
      <c r="AD26" s="336" t="s">
        <v>470</v>
      </c>
      <c r="AE26" s="338" t="s">
        <v>471</v>
      </c>
      <c r="AF26" s="338" t="s">
        <v>472</v>
      </c>
      <c r="AG26" s="338" t="s">
        <v>473</v>
      </c>
      <c r="AH26" s="338" t="s">
        <v>474</v>
      </c>
      <c r="AI26" s="339" t="s">
        <v>527</v>
      </c>
      <c r="AJ26" s="340" t="s">
        <v>418</v>
      </c>
    </row>
    <row r="27" spans="1:41" ht="15.75" thickBot="1">
      <c r="A27" s="520"/>
      <c r="B27" s="75" t="s">
        <v>360</v>
      </c>
      <c r="C27" s="74" t="s">
        <v>55</v>
      </c>
      <c r="D27" s="157">
        <v>566.26</v>
      </c>
      <c r="E27" s="157">
        <v>300</v>
      </c>
      <c r="F27" s="157">
        <v>424.66829999999999</v>
      </c>
      <c r="G27" s="157">
        <v>0.5</v>
      </c>
      <c r="H27" s="73">
        <f t="shared" si="2"/>
        <v>212.33414999999999</v>
      </c>
      <c r="I27" s="73">
        <f t="shared" ref="I27:I56" si="20">E27-H27</f>
        <v>87.665850000000006</v>
      </c>
      <c r="J27" s="299">
        <f t="shared" ref="J27:J56" si="21">H27/E27*100</f>
        <v>70.778050000000007</v>
      </c>
      <c r="K27" s="300" t="s">
        <v>405</v>
      </c>
      <c r="L27" s="156">
        <v>973.76</v>
      </c>
      <c r="M27" s="156">
        <v>300</v>
      </c>
      <c r="N27" s="156">
        <f t="shared" si="19"/>
        <v>424.66829999999999</v>
      </c>
      <c r="O27" s="119">
        <v>0.5</v>
      </c>
      <c r="P27" s="119">
        <f t="shared" si="5"/>
        <v>212.33414999999999</v>
      </c>
      <c r="Q27" s="309">
        <f t="shared" ref="Q27:Q56" si="22">M27-P27</f>
        <v>87.665850000000006</v>
      </c>
      <c r="R27" s="308">
        <f t="shared" si="12"/>
        <v>150</v>
      </c>
      <c r="S27" s="296">
        <f t="shared" ref="S27:S56" si="23">IF(Q27&lt;0, CEILING((P27-M27)/R27,1),0)</f>
        <v>0</v>
      </c>
      <c r="T27" s="297">
        <f t="shared" si="8"/>
        <v>0</v>
      </c>
      <c r="U27" s="321"/>
      <c r="W27" s="138" t="s">
        <v>390</v>
      </c>
      <c r="X27" s="137" t="s">
        <v>389</v>
      </c>
      <c r="Y27" s="136" t="s">
        <v>388</v>
      </c>
      <c r="AD27" s="60" t="s">
        <v>84</v>
      </c>
      <c r="AE27" s="343">
        <f>AJ6+X6</f>
        <v>0</v>
      </c>
      <c r="AF27" s="343">
        <f t="shared" ref="AF27:AI38" si="24">AK6+Y6</f>
        <v>3</v>
      </c>
      <c r="AG27" s="343">
        <f t="shared" si="24"/>
        <v>2</v>
      </c>
      <c r="AH27" s="343">
        <f t="shared" si="24"/>
        <v>1</v>
      </c>
      <c r="AI27" s="343">
        <f t="shared" si="24"/>
        <v>0</v>
      </c>
      <c r="AJ27" s="344">
        <f>SUM(AE27:AI27)</f>
        <v>6</v>
      </c>
    </row>
    <row r="28" spans="1:41" ht="15.75" thickBot="1">
      <c r="A28" s="499" t="s">
        <v>404</v>
      </c>
      <c r="B28" s="63" t="s">
        <v>6</v>
      </c>
      <c r="C28" s="114" t="s">
        <v>47</v>
      </c>
      <c r="D28" s="94">
        <v>341.46499999999997</v>
      </c>
      <c r="E28" s="93">
        <v>400</v>
      </c>
      <c r="F28" s="94">
        <v>414.50749999999999</v>
      </c>
      <c r="G28" s="94">
        <v>0.5</v>
      </c>
      <c r="H28" s="85">
        <f t="shared" si="2"/>
        <v>207.25375</v>
      </c>
      <c r="I28" s="94">
        <f t="shared" si="20"/>
        <v>192.74625</v>
      </c>
      <c r="J28" s="93">
        <f t="shared" si="21"/>
        <v>51.813437500000006</v>
      </c>
      <c r="K28" s="301" t="s">
        <v>403</v>
      </c>
      <c r="L28" s="92">
        <v>849.47500000000002</v>
      </c>
      <c r="M28" s="92">
        <v>400</v>
      </c>
      <c r="N28" s="92">
        <f t="shared" si="19"/>
        <v>414.50749999999999</v>
      </c>
      <c r="O28" s="91">
        <v>0.5</v>
      </c>
      <c r="P28" s="91">
        <f t="shared" si="5"/>
        <v>207.25375</v>
      </c>
      <c r="Q28" s="310">
        <f t="shared" si="22"/>
        <v>192.74625</v>
      </c>
      <c r="R28" s="301">
        <f t="shared" si="12"/>
        <v>150</v>
      </c>
      <c r="S28" s="296">
        <f t="shared" si="23"/>
        <v>0</v>
      </c>
      <c r="T28" s="296">
        <f t="shared" si="8"/>
        <v>0</v>
      </c>
      <c r="U28" s="321"/>
      <c r="W28" s="312" t="s">
        <v>384</v>
      </c>
      <c r="X28" s="313">
        <v>32.25</v>
      </c>
      <c r="Y28" s="292"/>
      <c r="AD28" s="60" t="s">
        <v>85</v>
      </c>
      <c r="AE28" s="343">
        <f t="shared" ref="AE28:AE38" si="25">AJ7+X7</f>
        <v>1</v>
      </c>
      <c r="AF28" s="343">
        <f t="shared" si="24"/>
        <v>4</v>
      </c>
      <c r="AG28" s="343">
        <f t="shared" si="24"/>
        <v>3</v>
      </c>
      <c r="AH28" s="343">
        <f t="shared" si="24"/>
        <v>0</v>
      </c>
      <c r="AI28" s="343">
        <f t="shared" si="24"/>
        <v>2</v>
      </c>
      <c r="AJ28" s="60">
        <f t="shared" ref="AJ28:AJ38" si="26">SUM(AE28:AI28)</f>
        <v>10</v>
      </c>
    </row>
    <row r="29" spans="1:41" ht="15.75" thickBot="1">
      <c r="A29" s="499"/>
      <c r="B29" s="63" t="s">
        <v>402</v>
      </c>
      <c r="C29" s="114" t="s">
        <v>386</v>
      </c>
      <c r="D29" s="94">
        <v>894.93</v>
      </c>
      <c r="E29" s="93">
        <v>150</v>
      </c>
      <c r="F29" s="94">
        <v>185.4342</v>
      </c>
      <c r="G29" s="94">
        <v>0.5</v>
      </c>
      <c r="H29" s="94">
        <f t="shared" si="2"/>
        <v>92.717100000000002</v>
      </c>
      <c r="I29" s="94">
        <f t="shared" si="20"/>
        <v>57.282899999999998</v>
      </c>
      <c r="J29" s="93">
        <f t="shared" si="21"/>
        <v>61.811400000000006</v>
      </c>
      <c r="K29" s="301" t="s">
        <v>385</v>
      </c>
      <c r="L29" s="92">
        <v>975.03499999999997</v>
      </c>
      <c r="M29" s="92">
        <v>150</v>
      </c>
      <c r="N29" s="92">
        <f t="shared" si="19"/>
        <v>185.4342</v>
      </c>
      <c r="O29" s="91">
        <v>0.5</v>
      </c>
      <c r="P29" s="91">
        <f t="shared" si="5"/>
        <v>92.717100000000002</v>
      </c>
      <c r="Q29" s="310">
        <f t="shared" si="22"/>
        <v>57.282899999999998</v>
      </c>
      <c r="R29" s="301">
        <f t="shared" si="12"/>
        <v>150</v>
      </c>
      <c r="S29" s="296">
        <f t="shared" si="23"/>
        <v>0</v>
      </c>
      <c r="T29" s="298">
        <f t="shared" si="8"/>
        <v>0</v>
      </c>
      <c r="U29" s="321"/>
      <c r="W29" s="133" t="s">
        <v>11</v>
      </c>
      <c r="X29" s="314">
        <v>6.92</v>
      </c>
      <c r="Y29" s="99"/>
      <c r="AD29" s="60" t="s">
        <v>86</v>
      </c>
      <c r="AE29" s="343">
        <f t="shared" si="25"/>
        <v>1</v>
      </c>
      <c r="AF29" s="343">
        <f t="shared" si="24"/>
        <v>0</v>
      </c>
      <c r="AG29" s="343">
        <f t="shared" si="24"/>
        <v>2</v>
      </c>
      <c r="AH29" s="343">
        <f t="shared" si="24"/>
        <v>0</v>
      </c>
      <c r="AI29" s="343">
        <f t="shared" si="24"/>
        <v>1</v>
      </c>
      <c r="AJ29" s="60">
        <f t="shared" si="26"/>
        <v>4</v>
      </c>
    </row>
    <row r="30" spans="1:41" ht="15.75" thickBot="1">
      <c r="A30" s="499"/>
      <c r="B30" s="96" t="s">
        <v>401</v>
      </c>
      <c r="C30" s="95" t="s">
        <v>378</v>
      </c>
      <c r="D30" s="108">
        <v>839.23</v>
      </c>
      <c r="E30" s="108">
        <v>150</v>
      </c>
      <c r="F30" s="108">
        <v>213.84829999999999</v>
      </c>
      <c r="G30" s="108">
        <v>0.5</v>
      </c>
      <c r="H30" s="94">
        <f t="shared" si="2"/>
        <v>106.92415</v>
      </c>
      <c r="I30" s="94">
        <f t="shared" si="20"/>
        <v>43.075850000000003</v>
      </c>
      <c r="J30" s="93">
        <f t="shared" si="21"/>
        <v>71.28276666666666</v>
      </c>
      <c r="K30" s="302" t="s">
        <v>400</v>
      </c>
      <c r="L30" s="106">
        <v>1347.24</v>
      </c>
      <c r="M30" s="106">
        <v>100</v>
      </c>
      <c r="N30" s="106">
        <f t="shared" si="19"/>
        <v>213.84829999999999</v>
      </c>
      <c r="O30" s="91">
        <v>0.5</v>
      </c>
      <c r="P30" s="91">
        <f t="shared" si="5"/>
        <v>106.92415</v>
      </c>
      <c r="Q30" s="310">
        <f t="shared" si="22"/>
        <v>-6.9241499999999974</v>
      </c>
      <c r="R30" s="301">
        <f t="shared" si="12"/>
        <v>100</v>
      </c>
      <c r="S30" s="296">
        <f t="shared" si="23"/>
        <v>1</v>
      </c>
      <c r="T30" s="298">
        <f t="shared" si="8"/>
        <v>100</v>
      </c>
      <c r="U30" s="321">
        <f t="shared" ref="U30:U38" si="27">IF(Q30&lt;0, -1*Q30,  )</f>
        <v>6.9241499999999974</v>
      </c>
      <c r="W30" s="133" t="s">
        <v>12</v>
      </c>
      <c r="X30" s="314">
        <v>10.39</v>
      </c>
      <c r="Y30" s="99"/>
      <c r="AD30" s="60" t="s">
        <v>87</v>
      </c>
      <c r="AE30" s="343">
        <f t="shared" si="25"/>
        <v>1</v>
      </c>
      <c r="AF30" s="343">
        <f t="shared" si="24"/>
        <v>7</v>
      </c>
      <c r="AG30" s="343">
        <f t="shared" si="24"/>
        <v>10</v>
      </c>
      <c r="AH30" s="343">
        <f t="shared" si="24"/>
        <v>6</v>
      </c>
      <c r="AI30" s="343">
        <f t="shared" si="24"/>
        <v>0</v>
      </c>
      <c r="AJ30" s="60">
        <f t="shared" si="26"/>
        <v>24</v>
      </c>
    </row>
    <row r="31" spans="1:41" ht="15.75" thickBot="1">
      <c r="A31" s="499"/>
      <c r="B31" s="96" t="s">
        <v>399</v>
      </c>
      <c r="C31" s="95" t="s">
        <v>52</v>
      </c>
      <c r="D31" s="94">
        <v>428.91</v>
      </c>
      <c r="E31" s="93">
        <v>200</v>
      </c>
      <c r="F31" s="94">
        <v>320.7817</v>
      </c>
      <c r="G31" s="94">
        <v>0.5</v>
      </c>
      <c r="H31" s="94">
        <f t="shared" si="2"/>
        <v>160.39085</v>
      </c>
      <c r="I31" s="94">
        <f t="shared" si="20"/>
        <v>39.60915</v>
      </c>
      <c r="J31" s="93">
        <f t="shared" si="21"/>
        <v>80.195425</v>
      </c>
      <c r="K31" s="301" t="s">
        <v>398</v>
      </c>
      <c r="L31" s="92">
        <v>762.03</v>
      </c>
      <c r="M31" s="92">
        <v>150</v>
      </c>
      <c r="N31" s="92">
        <f t="shared" si="19"/>
        <v>320.7817</v>
      </c>
      <c r="O31" s="91">
        <v>0.5</v>
      </c>
      <c r="P31" s="91">
        <f t="shared" si="5"/>
        <v>160.39085</v>
      </c>
      <c r="Q31" s="310">
        <f t="shared" si="22"/>
        <v>-10.39085</v>
      </c>
      <c r="R31" s="301">
        <f t="shared" si="12"/>
        <v>150</v>
      </c>
      <c r="S31" s="296">
        <f t="shared" si="23"/>
        <v>1</v>
      </c>
      <c r="T31" s="298">
        <f t="shared" si="8"/>
        <v>150</v>
      </c>
      <c r="U31" s="321">
        <f t="shared" si="27"/>
        <v>10.39085</v>
      </c>
      <c r="W31" s="227" t="s">
        <v>19</v>
      </c>
      <c r="X31" s="315">
        <v>89.76</v>
      </c>
      <c r="Y31" s="89"/>
      <c r="AD31" s="60" t="s">
        <v>88</v>
      </c>
      <c r="AE31" s="343">
        <f t="shared" si="25"/>
        <v>1</v>
      </c>
      <c r="AF31" s="343">
        <f t="shared" si="24"/>
        <v>0</v>
      </c>
      <c r="AG31" s="343">
        <f t="shared" si="24"/>
        <v>7</v>
      </c>
      <c r="AH31" s="343">
        <f t="shared" si="24"/>
        <v>1</v>
      </c>
      <c r="AI31" s="343">
        <f t="shared" si="24"/>
        <v>0</v>
      </c>
      <c r="AJ31" s="60">
        <f t="shared" si="26"/>
        <v>9</v>
      </c>
    </row>
    <row r="32" spans="1:41" ht="15.75" thickBot="1">
      <c r="A32" s="499"/>
      <c r="B32" s="96" t="s">
        <v>396</v>
      </c>
      <c r="C32" s="95" t="s">
        <v>56</v>
      </c>
      <c r="D32" s="94">
        <v>268.91000000000003</v>
      </c>
      <c r="E32" s="94">
        <v>250</v>
      </c>
      <c r="F32" s="94">
        <v>277.57420000000002</v>
      </c>
      <c r="G32" s="94">
        <v>0.5</v>
      </c>
      <c r="H32" s="73">
        <f t="shared" si="2"/>
        <v>138.78710000000001</v>
      </c>
      <c r="I32" s="94">
        <f t="shared" si="20"/>
        <v>111.21289999999999</v>
      </c>
      <c r="J32" s="93">
        <f t="shared" si="21"/>
        <v>55.51484</v>
      </c>
      <c r="K32" s="301" t="s">
        <v>395</v>
      </c>
      <c r="L32" s="92">
        <v>922.03</v>
      </c>
      <c r="M32" s="92">
        <v>250</v>
      </c>
      <c r="N32" s="106">
        <f t="shared" si="19"/>
        <v>277.57420000000002</v>
      </c>
      <c r="O32" s="91">
        <v>0.5</v>
      </c>
      <c r="P32" s="91">
        <f t="shared" si="5"/>
        <v>138.78710000000001</v>
      </c>
      <c r="Q32" s="310">
        <f t="shared" si="22"/>
        <v>111.21289999999999</v>
      </c>
      <c r="R32" s="303">
        <f t="shared" si="12"/>
        <v>150</v>
      </c>
      <c r="S32" s="296">
        <f t="shared" si="23"/>
        <v>0</v>
      </c>
      <c r="T32" s="297">
        <f t="shared" si="8"/>
        <v>0</v>
      </c>
      <c r="U32" s="321"/>
      <c r="W32" s="165" t="s">
        <v>369</v>
      </c>
      <c r="X32" s="259">
        <f>SUM(X28:X31)</f>
        <v>139.32</v>
      </c>
      <c r="Y32" s="290"/>
      <c r="AD32" s="60" t="s">
        <v>89</v>
      </c>
      <c r="AE32" s="343">
        <f t="shared" si="25"/>
        <v>0</v>
      </c>
      <c r="AF32" s="343">
        <f t="shared" si="24"/>
        <v>5</v>
      </c>
      <c r="AG32" s="343">
        <f t="shared" si="24"/>
        <v>1</v>
      </c>
      <c r="AH32" s="343">
        <f t="shared" si="24"/>
        <v>1</v>
      </c>
      <c r="AI32" s="343">
        <f t="shared" si="24"/>
        <v>0</v>
      </c>
      <c r="AJ32" s="60">
        <f t="shared" si="26"/>
        <v>7</v>
      </c>
    </row>
    <row r="33" spans="1:36" ht="15.75" thickBot="1">
      <c r="A33" s="497" t="s">
        <v>382</v>
      </c>
      <c r="B33" s="87" t="s">
        <v>393</v>
      </c>
      <c r="C33" s="86" t="s">
        <v>392</v>
      </c>
      <c r="D33" s="85">
        <v>774.56</v>
      </c>
      <c r="E33" s="85">
        <v>450</v>
      </c>
      <c r="F33" s="85">
        <v>593.39</v>
      </c>
      <c r="G33" s="85">
        <v>0.5</v>
      </c>
      <c r="H33" s="85">
        <f t="shared" si="2"/>
        <v>296.69499999999999</v>
      </c>
      <c r="I33" s="85">
        <f t="shared" si="20"/>
        <v>153.30500000000001</v>
      </c>
      <c r="J33" s="84">
        <f t="shared" si="21"/>
        <v>65.932222222222222</v>
      </c>
      <c r="K33" s="100" t="s">
        <v>391</v>
      </c>
      <c r="L33" s="83">
        <v>778.62</v>
      </c>
      <c r="M33" s="83">
        <v>450</v>
      </c>
      <c r="N33" s="83">
        <f t="shared" si="19"/>
        <v>593.39</v>
      </c>
      <c r="O33" s="82">
        <v>0.5</v>
      </c>
      <c r="P33" s="82">
        <f t="shared" si="5"/>
        <v>296.69499999999999</v>
      </c>
      <c r="Q33" s="220">
        <f t="shared" si="22"/>
        <v>153.30500000000001</v>
      </c>
      <c r="R33" s="100">
        <f t="shared" si="12"/>
        <v>150</v>
      </c>
      <c r="S33" s="296">
        <f t="shared" si="23"/>
        <v>0</v>
      </c>
      <c r="T33" s="296">
        <f t="shared" si="8"/>
        <v>0</v>
      </c>
      <c r="U33" s="321"/>
      <c r="W33" s="258" t="s">
        <v>365</v>
      </c>
      <c r="X33" s="257">
        <f>X32/8650*100</f>
        <v>1.610635838150289</v>
      </c>
      <c r="AD33" s="60" t="s">
        <v>90</v>
      </c>
      <c r="AE33" s="343">
        <f t="shared" si="25"/>
        <v>0</v>
      </c>
      <c r="AF33" s="343">
        <f t="shared" si="24"/>
        <v>0</v>
      </c>
      <c r="AG33" s="343">
        <f t="shared" si="24"/>
        <v>1</v>
      </c>
      <c r="AH33" s="343">
        <f t="shared" si="24"/>
        <v>1</v>
      </c>
      <c r="AI33" s="343">
        <f t="shared" si="24"/>
        <v>1</v>
      </c>
      <c r="AJ33" s="60">
        <f t="shared" si="26"/>
        <v>3</v>
      </c>
    </row>
    <row r="34" spans="1:36" ht="15.75" thickBot="1">
      <c r="A34" s="499"/>
      <c r="B34" s="96" t="s">
        <v>387</v>
      </c>
      <c r="C34" s="95" t="s">
        <v>386</v>
      </c>
      <c r="D34" s="108">
        <v>894.93</v>
      </c>
      <c r="E34" s="107">
        <v>150</v>
      </c>
      <c r="F34" s="108">
        <v>185.4342</v>
      </c>
      <c r="G34" s="108">
        <v>0.5</v>
      </c>
      <c r="H34" s="94">
        <f t="shared" si="2"/>
        <v>92.717100000000002</v>
      </c>
      <c r="I34" s="94">
        <f t="shared" si="20"/>
        <v>57.282899999999998</v>
      </c>
      <c r="J34" s="93">
        <f t="shared" si="21"/>
        <v>61.811400000000006</v>
      </c>
      <c r="K34" s="302" t="s">
        <v>385</v>
      </c>
      <c r="L34" s="106">
        <v>975.03499999999997</v>
      </c>
      <c r="M34" s="106">
        <v>150</v>
      </c>
      <c r="N34" s="106">
        <f t="shared" si="19"/>
        <v>185.4342</v>
      </c>
      <c r="O34" s="91">
        <v>0.5</v>
      </c>
      <c r="P34" s="91">
        <f t="shared" si="5"/>
        <v>92.717100000000002</v>
      </c>
      <c r="Q34" s="310">
        <f t="shared" si="22"/>
        <v>57.282899999999998</v>
      </c>
      <c r="R34" s="301">
        <f t="shared" si="12"/>
        <v>150</v>
      </c>
      <c r="S34" s="296">
        <f t="shared" si="23"/>
        <v>0</v>
      </c>
      <c r="T34" s="298">
        <f t="shared" si="8"/>
        <v>0</v>
      </c>
      <c r="U34" s="321"/>
      <c r="AD34" s="60" t="s">
        <v>91</v>
      </c>
      <c r="AE34" s="343">
        <f t="shared" si="25"/>
        <v>0</v>
      </c>
      <c r="AF34" s="343">
        <f t="shared" si="24"/>
        <v>7</v>
      </c>
      <c r="AG34" s="343">
        <f t="shared" si="24"/>
        <v>2</v>
      </c>
      <c r="AH34" s="343">
        <f t="shared" si="24"/>
        <v>1</v>
      </c>
      <c r="AI34" s="343">
        <f t="shared" si="24"/>
        <v>0</v>
      </c>
      <c r="AJ34" s="60">
        <f t="shared" si="26"/>
        <v>10</v>
      </c>
    </row>
    <row r="35" spans="1:36" ht="15.75" thickBot="1">
      <c r="A35" s="499"/>
      <c r="B35" s="96" t="s">
        <v>383</v>
      </c>
      <c r="C35" s="95" t="s">
        <v>382</v>
      </c>
      <c r="D35" s="94">
        <v>553.46500000000003</v>
      </c>
      <c r="E35" s="93">
        <v>300</v>
      </c>
      <c r="F35" s="94">
        <v>491.47570000000002</v>
      </c>
      <c r="G35" s="94">
        <v>0.5</v>
      </c>
      <c r="H35" s="73">
        <f t="shared" si="2"/>
        <v>245.73785000000001</v>
      </c>
      <c r="I35" s="73">
        <f t="shared" si="20"/>
        <v>54.262149999999991</v>
      </c>
      <c r="J35" s="299">
        <f t="shared" si="21"/>
        <v>81.912616666666665</v>
      </c>
      <c r="K35" s="301" t="s">
        <v>381</v>
      </c>
      <c r="L35" s="92">
        <v>660.12</v>
      </c>
      <c r="M35" s="92">
        <v>300</v>
      </c>
      <c r="N35" s="92">
        <f t="shared" si="19"/>
        <v>491.47570000000002</v>
      </c>
      <c r="O35" s="119">
        <v>0.5</v>
      </c>
      <c r="P35" s="119">
        <f t="shared" si="5"/>
        <v>245.73785000000001</v>
      </c>
      <c r="Q35" s="309">
        <f t="shared" si="22"/>
        <v>54.262149999999991</v>
      </c>
      <c r="R35" s="303">
        <f t="shared" si="12"/>
        <v>150</v>
      </c>
      <c r="S35" s="296">
        <f t="shared" si="23"/>
        <v>0</v>
      </c>
      <c r="T35" s="297">
        <f t="shared" si="8"/>
        <v>0</v>
      </c>
      <c r="U35" s="321"/>
      <c r="W35" s="267"/>
      <c r="X35" s="267"/>
      <c r="Y35" s="267"/>
      <c r="Z35" s="267"/>
      <c r="AA35" s="267"/>
      <c r="AB35" s="267"/>
      <c r="AC35" s="267"/>
      <c r="AD35" s="60" t="s">
        <v>92</v>
      </c>
      <c r="AE35" s="343">
        <f t="shared" si="25"/>
        <v>1</v>
      </c>
      <c r="AF35" s="343">
        <f t="shared" si="24"/>
        <v>2</v>
      </c>
      <c r="AG35" s="343">
        <f t="shared" si="24"/>
        <v>5</v>
      </c>
      <c r="AH35" s="343">
        <f t="shared" si="24"/>
        <v>0</v>
      </c>
      <c r="AI35" s="343">
        <f t="shared" si="24"/>
        <v>0</v>
      </c>
      <c r="AJ35" s="60">
        <f t="shared" si="26"/>
        <v>8</v>
      </c>
    </row>
    <row r="36" spans="1:36" ht="15.75" thickBot="1">
      <c r="A36" s="497" t="s">
        <v>375</v>
      </c>
      <c r="B36" s="87" t="s">
        <v>379</v>
      </c>
      <c r="C36" s="86" t="s">
        <v>378</v>
      </c>
      <c r="D36" s="85">
        <v>839.23</v>
      </c>
      <c r="E36" s="84">
        <v>150</v>
      </c>
      <c r="F36" s="85">
        <v>213.84829999999999</v>
      </c>
      <c r="G36" s="85">
        <v>0.5</v>
      </c>
      <c r="H36" s="85">
        <f t="shared" si="2"/>
        <v>106.92415</v>
      </c>
      <c r="I36" s="94">
        <f t="shared" si="20"/>
        <v>43.075850000000003</v>
      </c>
      <c r="J36" s="93">
        <f t="shared" si="21"/>
        <v>71.28276666666666</v>
      </c>
      <c r="K36" s="100" t="s">
        <v>377</v>
      </c>
      <c r="L36" s="83">
        <v>844.89</v>
      </c>
      <c r="M36" s="83">
        <v>150</v>
      </c>
      <c r="N36" s="83">
        <f t="shared" si="19"/>
        <v>213.84829999999999</v>
      </c>
      <c r="O36" s="91">
        <v>0.5</v>
      </c>
      <c r="P36" s="91">
        <f t="shared" si="5"/>
        <v>106.92415</v>
      </c>
      <c r="Q36" s="310">
        <f t="shared" si="22"/>
        <v>43.075850000000003</v>
      </c>
      <c r="R36" s="100">
        <f t="shared" si="12"/>
        <v>150</v>
      </c>
      <c r="S36" s="296">
        <f t="shared" si="23"/>
        <v>0</v>
      </c>
      <c r="T36" s="298">
        <f t="shared" si="8"/>
        <v>0</v>
      </c>
      <c r="U36" s="321"/>
      <c r="W36" s="534"/>
      <c r="X36" s="534"/>
      <c r="Y36" s="534"/>
      <c r="Z36" s="330"/>
      <c r="AA36" s="330"/>
      <c r="AB36" s="330"/>
      <c r="AC36" s="330"/>
      <c r="AD36" s="60" t="s">
        <v>93</v>
      </c>
      <c r="AE36" s="343">
        <f t="shared" si="25"/>
        <v>1</v>
      </c>
      <c r="AF36" s="343">
        <f t="shared" si="24"/>
        <v>0</v>
      </c>
      <c r="AG36" s="343">
        <f t="shared" si="24"/>
        <v>2</v>
      </c>
      <c r="AH36" s="343">
        <f t="shared" si="24"/>
        <v>2</v>
      </c>
      <c r="AI36" s="343">
        <f t="shared" si="24"/>
        <v>0</v>
      </c>
      <c r="AJ36" s="60">
        <f t="shared" si="26"/>
        <v>5</v>
      </c>
    </row>
    <row r="37" spans="1:36" ht="15.75" thickBot="1">
      <c r="A37" s="499"/>
      <c r="B37" s="96" t="s">
        <v>376</v>
      </c>
      <c r="C37" s="95" t="s">
        <v>375</v>
      </c>
      <c r="D37" s="94">
        <v>497.76499999999999</v>
      </c>
      <c r="E37" s="94">
        <v>800</v>
      </c>
      <c r="F37" s="94">
        <v>1151.328</v>
      </c>
      <c r="G37" s="94">
        <v>0.5</v>
      </c>
      <c r="H37" s="73">
        <f t="shared" si="2"/>
        <v>575.66399999999999</v>
      </c>
      <c r="I37" s="94">
        <f t="shared" si="20"/>
        <v>224.33600000000001</v>
      </c>
      <c r="J37" s="93">
        <f t="shared" si="21"/>
        <v>71.957999999999998</v>
      </c>
      <c r="K37" s="301" t="s">
        <v>374</v>
      </c>
      <c r="L37" s="92">
        <v>503.42500000000001</v>
      </c>
      <c r="M37" s="92">
        <v>800</v>
      </c>
      <c r="N37" s="92">
        <f t="shared" si="19"/>
        <v>1151.328</v>
      </c>
      <c r="O37" s="91">
        <v>0.5</v>
      </c>
      <c r="P37" s="91">
        <f t="shared" si="5"/>
        <v>575.66399999999999</v>
      </c>
      <c r="Q37" s="310">
        <f t="shared" si="22"/>
        <v>224.33600000000001</v>
      </c>
      <c r="R37" s="301">
        <f t="shared" si="12"/>
        <v>200</v>
      </c>
      <c r="S37" s="296">
        <f t="shared" si="23"/>
        <v>0</v>
      </c>
      <c r="T37" s="298">
        <f t="shared" si="8"/>
        <v>0</v>
      </c>
      <c r="U37" s="321"/>
      <c r="W37" s="330"/>
      <c r="X37" s="330"/>
      <c r="Y37" s="330"/>
      <c r="Z37" s="534"/>
      <c r="AA37" s="534"/>
      <c r="AB37" s="330"/>
      <c r="AC37" s="330"/>
      <c r="AD37" s="60" t="s">
        <v>94</v>
      </c>
      <c r="AE37" s="343">
        <f t="shared" si="25"/>
        <v>0</v>
      </c>
      <c r="AF37" s="343">
        <f t="shared" si="24"/>
        <v>1</v>
      </c>
      <c r="AG37" s="343">
        <f t="shared" si="24"/>
        <v>2</v>
      </c>
      <c r="AH37" s="343">
        <f t="shared" si="24"/>
        <v>3</v>
      </c>
      <c r="AI37" s="343">
        <f t="shared" si="24"/>
        <v>0</v>
      </c>
      <c r="AJ37" s="60">
        <f t="shared" si="26"/>
        <v>6</v>
      </c>
    </row>
    <row r="38" spans="1:36" ht="15.75" thickBot="1">
      <c r="A38" s="288" t="s">
        <v>372</v>
      </c>
      <c r="B38" s="87" t="s">
        <v>373</v>
      </c>
      <c r="C38" s="86" t="s">
        <v>372</v>
      </c>
      <c r="D38" s="85">
        <v>285.27999999999997</v>
      </c>
      <c r="E38" s="85">
        <v>500</v>
      </c>
      <c r="F38" s="85">
        <v>779.52329999999995</v>
      </c>
      <c r="G38" s="85">
        <v>0.5</v>
      </c>
      <c r="H38" s="184">
        <f t="shared" si="2"/>
        <v>389.76164999999997</v>
      </c>
      <c r="I38" s="184">
        <f t="shared" si="20"/>
        <v>110.23835000000003</v>
      </c>
      <c r="J38" s="183">
        <f t="shared" si="21"/>
        <v>77.952329999999989</v>
      </c>
      <c r="K38" s="100" t="s">
        <v>371</v>
      </c>
      <c r="L38" s="83">
        <v>539.80499999999995</v>
      </c>
      <c r="M38" s="83">
        <v>300</v>
      </c>
      <c r="N38" s="83">
        <f t="shared" si="19"/>
        <v>779.52329999999995</v>
      </c>
      <c r="O38" s="181">
        <v>0.5</v>
      </c>
      <c r="P38" s="181">
        <f t="shared" si="5"/>
        <v>389.76164999999997</v>
      </c>
      <c r="Q38" s="311">
        <f t="shared" si="22"/>
        <v>-89.761649999999975</v>
      </c>
      <c r="R38" s="305">
        <f t="shared" si="12"/>
        <v>150</v>
      </c>
      <c r="S38" s="296">
        <f t="shared" si="23"/>
        <v>1</v>
      </c>
      <c r="T38" s="295">
        <f t="shared" si="8"/>
        <v>150</v>
      </c>
      <c r="U38" s="321">
        <f t="shared" si="27"/>
        <v>89.761649999999975</v>
      </c>
      <c r="W38" s="329"/>
      <c r="X38" s="329"/>
      <c r="Y38" s="329"/>
      <c r="Z38" s="329"/>
      <c r="AA38" s="329"/>
      <c r="AB38" s="330"/>
      <c r="AC38" s="330"/>
      <c r="AD38" s="326" t="s">
        <v>469</v>
      </c>
      <c r="AE38" s="343">
        <f t="shared" si="25"/>
        <v>0</v>
      </c>
      <c r="AF38" s="343">
        <f t="shared" si="24"/>
        <v>1</v>
      </c>
      <c r="AG38" s="343">
        <f t="shared" si="24"/>
        <v>1</v>
      </c>
      <c r="AH38" s="343">
        <f t="shared" si="24"/>
        <v>0</v>
      </c>
      <c r="AI38" s="343">
        <f t="shared" si="24"/>
        <v>0</v>
      </c>
      <c r="AJ38" s="326">
        <f t="shared" si="26"/>
        <v>2</v>
      </c>
    </row>
    <row r="39" spans="1:36" ht="15.75" thickBot="1">
      <c r="A39" s="497" t="s">
        <v>60</v>
      </c>
      <c r="B39" s="87" t="s">
        <v>368</v>
      </c>
      <c r="C39" s="86" t="s">
        <v>367</v>
      </c>
      <c r="D39" s="85">
        <v>239.47</v>
      </c>
      <c r="E39" s="84">
        <v>750</v>
      </c>
      <c r="F39" s="85">
        <v>886.15449999999998</v>
      </c>
      <c r="G39" s="85">
        <v>0.5</v>
      </c>
      <c r="H39" s="85">
        <f t="shared" si="2"/>
        <v>443.07724999999999</v>
      </c>
      <c r="I39" s="94">
        <f t="shared" si="20"/>
        <v>306.92275000000001</v>
      </c>
      <c r="J39" s="93">
        <f t="shared" si="21"/>
        <v>59.076966666666664</v>
      </c>
      <c r="K39" s="100" t="s">
        <v>366</v>
      </c>
      <c r="L39" s="83">
        <v>585.61500000000001</v>
      </c>
      <c r="M39" s="83">
        <v>450</v>
      </c>
      <c r="N39" s="83">
        <f t="shared" si="19"/>
        <v>886.15449999999998</v>
      </c>
      <c r="O39" s="91">
        <v>0.5</v>
      </c>
      <c r="P39" s="91">
        <f t="shared" si="5"/>
        <v>443.07724999999999</v>
      </c>
      <c r="Q39" s="310">
        <f t="shared" si="22"/>
        <v>6.9227500000000077</v>
      </c>
      <c r="R39" s="301">
        <f t="shared" si="12"/>
        <v>150</v>
      </c>
      <c r="S39" s="296">
        <f t="shared" si="23"/>
        <v>0</v>
      </c>
      <c r="T39" s="298">
        <f t="shared" si="8"/>
        <v>0</v>
      </c>
      <c r="U39" s="321"/>
      <c r="W39" s="330"/>
      <c r="X39" s="330"/>
      <c r="Y39" s="18"/>
      <c r="Z39" s="330"/>
      <c r="AA39" s="330"/>
      <c r="AB39" s="330"/>
      <c r="AC39" s="330"/>
      <c r="AD39" s="340" t="s">
        <v>479</v>
      </c>
      <c r="AE39" s="349">
        <f>SUM(AE27:AE38)</f>
        <v>6</v>
      </c>
      <c r="AF39" s="349">
        <f>SUM(AF27:AF38)</f>
        <v>30</v>
      </c>
      <c r="AG39" s="349">
        <f>SUM(AG27:AG38)</f>
        <v>38</v>
      </c>
      <c r="AH39" s="349">
        <f>SUM(AH27:AH38)</f>
        <v>16</v>
      </c>
      <c r="AI39" s="349">
        <f>SUM(AI27:AI38)</f>
        <v>4</v>
      </c>
      <c r="AJ39" s="350">
        <f t="shared" ref="AJ39" si="28">SUM(AJ27:AJ38)</f>
        <v>94</v>
      </c>
    </row>
    <row r="40" spans="1:36" ht="15.75" thickBot="1">
      <c r="A40" s="498"/>
      <c r="B40" s="75" t="s">
        <v>364</v>
      </c>
      <c r="C40" s="74" t="s">
        <v>61</v>
      </c>
      <c r="D40" s="73">
        <v>381.34</v>
      </c>
      <c r="E40" s="73">
        <v>200</v>
      </c>
      <c r="F40" s="73">
        <v>233.80699999999999</v>
      </c>
      <c r="G40" s="73">
        <v>0.5</v>
      </c>
      <c r="H40" s="73">
        <f t="shared" si="2"/>
        <v>116.90349999999999</v>
      </c>
      <c r="I40" s="94">
        <f t="shared" si="20"/>
        <v>83.096500000000006</v>
      </c>
      <c r="J40" s="93">
        <f t="shared" si="21"/>
        <v>58.451750000000004</v>
      </c>
      <c r="K40" s="303" t="s">
        <v>328</v>
      </c>
      <c r="L40" s="72">
        <v>673.16499999999996</v>
      </c>
      <c r="M40" s="72">
        <v>150</v>
      </c>
      <c r="N40" s="72">
        <f t="shared" si="19"/>
        <v>233.80699999999999</v>
      </c>
      <c r="O40" s="91">
        <v>0.5</v>
      </c>
      <c r="P40" s="91">
        <f t="shared" si="5"/>
        <v>116.90349999999999</v>
      </c>
      <c r="Q40" s="310">
        <f t="shared" si="22"/>
        <v>33.096500000000006</v>
      </c>
      <c r="R40" s="303">
        <f t="shared" si="12"/>
        <v>150</v>
      </c>
      <c r="S40" s="296">
        <f t="shared" si="23"/>
        <v>0</v>
      </c>
      <c r="T40" s="298">
        <f t="shared" si="8"/>
        <v>0</v>
      </c>
      <c r="U40" s="321"/>
      <c r="W40" s="330"/>
      <c r="X40" s="330"/>
      <c r="Y40" s="18"/>
      <c r="Z40" s="330"/>
      <c r="AA40" s="330"/>
      <c r="AB40" s="330"/>
      <c r="AC40" s="330"/>
      <c r="AD40" s="340" t="s">
        <v>478</v>
      </c>
      <c r="AE40" s="351">
        <f>PRODUCT(AE39*AG9)</f>
        <v>90</v>
      </c>
      <c r="AF40" s="416">
        <f>PRODUCT(AF39*AG10)</f>
        <v>491.06700000000001</v>
      </c>
      <c r="AG40" s="416">
        <f>PRODUCT(AG39*AG11)</f>
        <v>636.37459999999999</v>
      </c>
      <c r="AH40" s="416">
        <f>PRODUCT(AH39*AG12)</f>
        <v>270.18560000000002</v>
      </c>
      <c r="AI40" s="416">
        <f>PRODUCT(AI39*AG13)</f>
        <v>68</v>
      </c>
      <c r="AJ40" s="421">
        <f>SUM(AE40:AI40)</f>
        <v>1555.6272000000001</v>
      </c>
    </row>
    <row r="41" spans="1:36" ht="15.75" thickBot="1">
      <c r="A41" s="499" t="s">
        <v>363</v>
      </c>
      <c r="B41" s="63" t="s">
        <v>362</v>
      </c>
      <c r="C41" s="114" t="s">
        <v>74</v>
      </c>
      <c r="D41" s="94">
        <v>632.29499999999996</v>
      </c>
      <c r="E41" s="94">
        <v>300</v>
      </c>
      <c r="F41" s="94">
        <v>416.14780000000002</v>
      </c>
      <c r="G41" s="94">
        <v>0.5</v>
      </c>
      <c r="H41" s="85">
        <f t="shared" si="2"/>
        <v>208.07390000000001</v>
      </c>
      <c r="I41" s="85">
        <f t="shared" si="20"/>
        <v>91.926099999999991</v>
      </c>
      <c r="J41" s="84">
        <f t="shared" si="21"/>
        <v>69.35796666666667</v>
      </c>
      <c r="K41" s="301" t="s">
        <v>361</v>
      </c>
      <c r="L41" s="92">
        <v>692.19500000000005</v>
      </c>
      <c r="M41" s="92">
        <v>300</v>
      </c>
      <c r="N41" s="92">
        <f t="shared" si="19"/>
        <v>416.14780000000002</v>
      </c>
      <c r="O41" s="82">
        <v>0.5</v>
      </c>
      <c r="P41" s="82">
        <f t="shared" si="5"/>
        <v>208.07390000000001</v>
      </c>
      <c r="Q41" s="220">
        <f t="shared" si="22"/>
        <v>91.926099999999991</v>
      </c>
      <c r="R41" s="100">
        <f t="shared" si="12"/>
        <v>150</v>
      </c>
      <c r="S41" s="296">
        <f t="shared" si="23"/>
        <v>0</v>
      </c>
      <c r="T41" s="296">
        <f t="shared" si="8"/>
        <v>0</v>
      </c>
      <c r="U41" s="321"/>
      <c r="W41" s="330"/>
      <c r="X41" s="330"/>
      <c r="Y41" s="18"/>
      <c r="Z41" s="330"/>
      <c r="AA41" s="330"/>
      <c r="AB41" s="330"/>
      <c r="AC41" s="330"/>
      <c r="AD41" s="340" t="s">
        <v>528</v>
      </c>
      <c r="AE41" s="351">
        <f>AE39*AF9</f>
        <v>600</v>
      </c>
      <c r="AF41" s="351">
        <f>AF39*AF10</f>
        <v>4500</v>
      </c>
      <c r="AG41" s="351">
        <f>AG39*AF11</f>
        <v>7600</v>
      </c>
      <c r="AH41" s="351">
        <f>AH39*AF12</f>
        <v>4000</v>
      </c>
      <c r="AI41" s="351">
        <f>AI39*AF13</f>
        <v>1200</v>
      </c>
      <c r="AJ41" s="340">
        <f>SUM(AE41:AI41)</f>
        <v>17900</v>
      </c>
    </row>
    <row r="42" spans="1:36" ht="15.75" thickBot="1">
      <c r="A42" s="499"/>
      <c r="B42" s="96" t="s">
        <v>360</v>
      </c>
      <c r="C42" s="95" t="s">
        <v>55</v>
      </c>
      <c r="D42" s="108">
        <v>566.26</v>
      </c>
      <c r="E42" s="108">
        <v>300</v>
      </c>
      <c r="F42" s="108">
        <v>424.66829999999999</v>
      </c>
      <c r="G42" s="108">
        <v>0.5</v>
      </c>
      <c r="H42" s="94">
        <f t="shared" si="2"/>
        <v>212.33414999999999</v>
      </c>
      <c r="I42" s="94">
        <f t="shared" si="20"/>
        <v>87.665850000000006</v>
      </c>
      <c r="J42" s="93">
        <f t="shared" si="21"/>
        <v>70.778050000000007</v>
      </c>
      <c r="K42" s="302" t="s">
        <v>359</v>
      </c>
      <c r="L42" s="106">
        <v>1033.6600000000001</v>
      </c>
      <c r="M42" s="106">
        <v>300</v>
      </c>
      <c r="N42" s="106">
        <f t="shared" si="19"/>
        <v>424.66829999999999</v>
      </c>
      <c r="O42" s="91">
        <v>0.5</v>
      </c>
      <c r="P42" s="91">
        <f t="shared" si="5"/>
        <v>212.33414999999999</v>
      </c>
      <c r="Q42" s="310">
        <f t="shared" si="22"/>
        <v>87.665850000000006</v>
      </c>
      <c r="R42" s="301">
        <f t="shared" si="12"/>
        <v>150</v>
      </c>
      <c r="S42" s="296">
        <f t="shared" si="23"/>
        <v>0</v>
      </c>
      <c r="T42" s="298">
        <f t="shared" si="8"/>
        <v>0</v>
      </c>
      <c r="U42" s="321"/>
      <c r="W42" s="330"/>
      <c r="X42" s="323"/>
      <c r="Y42" s="330"/>
      <c r="Z42" s="330"/>
      <c r="AA42" s="330"/>
      <c r="AB42" s="320"/>
      <c r="AC42" s="320"/>
      <c r="AE42" s="331"/>
      <c r="AF42" s="331"/>
      <c r="AG42" s="5"/>
    </row>
    <row r="43" spans="1:36" ht="15.75" thickBot="1">
      <c r="A43" s="499"/>
      <c r="B43" s="96" t="s">
        <v>358</v>
      </c>
      <c r="C43" s="95" t="s">
        <v>62</v>
      </c>
      <c r="D43" s="94">
        <v>174.54</v>
      </c>
      <c r="E43" s="94">
        <v>250</v>
      </c>
      <c r="F43" s="94">
        <v>80.336669999999998</v>
      </c>
      <c r="G43" s="94">
        <v>0.5</v>
      </c>
      <c r="H43" s="73">
        <f t="shared" si="2"/>
        <v>40.168334999999999</v>
      </c>
      <c r="I43" s="73">
        <f t="shared" si="20"/>
        <v>209.83166499999999</v>
      </c>
      <c r="J43" s="299">
        <f t="shared" si="21"/>
        <v>16.067333999999999</v>
      </c>
      <c r="K43" s="301" t="s">
        <v>357</v>
      </c>
      <c r="L43" s="92">
        <v>811.21</v>
      </c>
      <c r="M43" s="92">
        <v>150</v>
      </c>
      <c r="N43" s="106">
        <f t="shared" si="19"/>
        <v>80.336669999999998</v>
      </c>
      <c r="O43" s="119">
        <v>0.5</v>
      </c>
      <c r="P43" s="119">
        <f t="shared" si="5"/>
        <v>40.168334999999999</v>
      </c>
      <c r="Q43" s="309">
        <f t="shared" si="22"/>
        <v>109.831665</v>
      </c>
      <c r="R43" s="303">
        <f t="shared" si="12"/>
        <v>150</v>
      </c>
      <c r="S43" s="296">
        <f t="shared" si="23"/>
        <v>0</v>
      </c>
      <c r="T43" s="297">
        <f t="shared" si="8"/>
        <v>0</v>
      </c>
      <c r="U43" s="321"/>
      <c r="W43" s="18"/>
      <c r="X43" s="330"/>
      <c r="Y43" s="18"/>
      <c r="Z43" s="330"/>
      <c r="AA43" s="330"/>
      <c r="AB43" s="333"/>
      <c r="AC43" s="330"/>
      <c r="AE43" s="331"/>
      <c r="AF43" s="331"/>
      <c r="AG43" s="5"/>
    </row>
    <row r="44" spans="1:36" ht="15.75" thickBot="1">
      <c r="A44" s="288" t="s">
        <v>355</v>
      </c>
      <c r="B44" s="87" t="s">
        <v>356</v>
      </c>
      <c r="C44" s="86" t="s">
        <v>355</v>
      </c>
      <c r="D44" s="85">
        <v>517.28</v>
      </c>
      <c r="E44" s="85">
        <v>200</v>
      </c>
      <c r="F44" s="85">
        <v>67.241829999999993</v>
      </c>
      <c r="G44" s="85">
        <v>0.5</v>
      </c>
      <c r="H44" s="184">
        <f t="shared" si="2"/>
        <v>33.620914999999997</v>
      </c>
      <c r="I44" s="94">
        <f t="shared" si="20"/>
        <v>166.379085</v>
      </c>
      <c r="J44" s="93">
        <f t="shared" si="21"/>
        <v>16.810457499999998</v>
      </c>
      <c r="K44" s="100" t="s">
        <v>354</v>
      </c>
      <c r="L44" s="83">
        <v>607.995</v>
      </c>
      <c r="M44" s="83">
        <v>150</v>
      </c>
      <c r="N44" s="83">
        <f t="shared" si="19"/>
        <v>67.241829999999993</v>
      </c>
      <c r="O44" s="91">
        <v>0.5</v>
      </c>
      <c r="P44" s="91">
        <f t="shared" si="5"/>
        <v>33.620914999999997</v>
      </c>
      <c r="Q44" s="310">
        <f t="shared" si="22"/>
        <v>116.379085</v>
      </c>
      <c r="R44" s="301">
        <f t="shared" si="12"/>
        <v>150</v>
      </c>
      <c r="S44" s="296">
        <f t="shared" si="23"/>
        <v>0</v>
      </c>
      <c r="T44" s="298">
        <f t="shared" si="8"/>
        <v>0</v>
      </c>
      <c r="U44" s="321"/>
      <c r="W44" s="18"/>
      <c r="X44" s="330"/>
      <c r="Y44" s="18"/>
      <c r="Z44" s="330"/>
      <c r="AA44" s="330"/>
      <c r="AB44" s="330"/>
      <c r="AC44" s="330"/>
      <c r="AE44" s="331"/>
      <c r="AF44" s="331"/>
      <c r="AG44" s="5"/>
    </row>
    <row r="45" spans="1:36" ht="15.75" thickBot="1">
      <c r="A45" s="497" t="s">
        <v>349</v>
      </c>
      <c r="B45" s="87" t="s">
        <v>353</v>
      </c>
      <c r="C45" s="86" t="s">
        <v>342</v>
      </c>
      <c r="D45" s="85">
        <v>592.98500000000001</v>
      </c>
      <c r="E45" s="85">
        <v>150</v>
      </c>
      <c r="F45" s="85">
        <v>175.91919999999999</v>
      </c>
      <c r="G45" s="85">
        <v>0.5</v>
      </c>
      <c r="H45" s="85">
        <f t="shared" si="2"/>
        <v>87.959599999999995</v>
      </c>
      <c r="I45" s="85">
        <f t="shared" si="20"/>
        <v>62.040400000000005</v>
      </c>
      <c r="J45" s="84">
        <f t="shared" si="21"/>
        <v>58.639733333333332</v>
      </c>
      <c r="K45" s="100" t="s">
        <v>352</v>
      </c>
      <c r="L45" s="83">
        <v>1051.23</v>
      </c>
      <c r="M45" s="83">
        <v>150</v>
      </c>
      <c r="N45" s="83">
        <f t="shared" si="19"/>
        <v>175.91919999999999</v>
      </c>
      <c r="O45" s="82">
        <v>0.5</v>
      </c>
      <c r="P45" s="82">
        <f t="shared" si="5"/>
        <v>87.959599999999995</v>
      </c>
      <c r="Q45" s="220">
        <f t="shared" si="22"/>
        <v>62.040400000000005</v>
      </c>
      <c r="R45" s="306">
        <f t="shared" si="12"/>
        <v>150</v>
      </c>
      <c r="S45" s="296">
        <f t="shared" si="23"/>
        <v>0</v>
      </c>
      <c r="T45" s="296">
        <f t="shared" si="8"/>
        <v>0</v>
      </c>
      <c r="U45" s="321"/>
      <c r="W45" s="18"/>
      <c r="X45" s="330"/>
      <c r="Y45" s="330"/>
      <c r="Z45" s="330"/>
      <c r="AA45" s="330"/>
      <c r="AB45" s="330"/>
      <c r="AC45" s="330"/>
      <c r="AE45" s="331"/>
      <c r="AF45" s="331"/>
      <c r="AG45" s="5"/>
    </row>
    <row r="46" spans="1:36" ht="15.75" thickBot="1">
      <c r="A46" s="499"/>
      <c r="B46" s="96" t="s">
        <v>350</v>
      </c>
      <c r="C46" s="95" t="s">
        <v>349</v>
      </c>
      <c r="D46" s="108">
        <v>374.84</v>
      </c>
      <c r="E46" s="108">
        <v>200</v>
      </c>
      <c r="F46" s="108">
        <v>115.1143</v>
      </c>
      <c r="G46" s="108">
        <v>0.5</v>
      </c>
      <c r="H46" s="94">
        <f t="shared" si="2"/>
        <v>57.55715</v>
      </c>
      <c r="I46" s="94">
        <f t="shared" si="20"/>
        <v>142.44284999999999</v>
      </c>
      <c r="J46" s="93">
        <f t="shared" si="21"/>
        <v>28.778575</v>
      </c>
      <c r="K46" s="302" t="s">
        <v>348</v>
      </c>
      <c r="L46" s="106">
        <v>838.745</v>
      </c>
      <c r="M46" s="106">
        <v>150</v>
      </c>
      <c r="N46" s="106">
        <f t="shared" si="19"/>
        <v>115.1143</v>
      </c>
      <c r="O46" s="91">
        <v>0.5</v>
      </c>
      <c r="P46" s="91">
        <f t="shared" si="5"/>
        <v>57.55715</v>
      </c>
      <c r="Q46" s="310">
        <f t="shared" si="22"/>
        <v>92.442849999999993</v>
      </c>
      <c r="R46" s="307">
        <f t="shared" si="12"/>
        <v>150</v>
      </c>
      <c r="S46" s="296">
        <f t="shared" si="23"/>
        <v>0</v>
      </c>
      <c r="T46" s="298">
        <f t="shared" si="8"/>
        <v>0</v>
      </c>
      <c r="U46" s="321"/>
      <c r="W46" s="267"/>
      <c r="X46" s="267"/>
      <c r="Y46" s="267"/>
      <c r="Z46" s="267"/>
      <c r="AA46" s="267"/>
      <c r="AB46" s="267"/>
      <c r="AC46" s="267"/>
      <c r="AE46" s="331"/>
      <c r="AF46" s="331"/>
      <c r="AG46" s="5"/>
    </row>
    <row r="47" spans="1:36" ht="15.75" thickBot="1">
      <c r="A47" s="499"/>
      <c r="B47" s="96" t="s">
        <v>347</v>
      </c>
      <c r="C47" s="95" t="s">
        <v>335</v>
      </c>
      <c r="D47" s="108">
        <v>675.17499999999995</v>
      </c>
      <c r="E47" s="108">
        <v>150</v>
      </c>
      <c r="F47" s="108">
        <v>87.5685</v>
      </c>
      <c r="G47" s="108">
        <v>0.5</v>
      </c>
      <c r="H47" s="94">
        <f t="shared" si="2"/>
        <v>43.78425</v>
      </c>
      <c r="I47" s="94">
        <f t="shared" si="20"/>
        <v>106.21575</v>
      </c>
      <c r="J47" s="93">
        <f t="shared" si="21"/>
        <v>29.189500000000002</v>
      </c>
      <c r="K47" s="302" t="s">
        <v>346</v>
      </c>
      <c r="L47" s="106">
        <v>792.93499999999995</v>
      </c>
      <c r="M47" s="106">
        <v>150</v>
      </c>
      <c r="N47" s="106">
        <f t="shared" si="19"/>
        <v>87.5685</v>
      </c>
      <c r="O47" s="91">
        <v>0.5</v>
      </c>
      <c r="P47" s="91">
        <f t="shared" si="5"/>
        <v>43.78425</v>
      </c>
      <c r="Q47" s="310">
        <f t="shared" si="22"/>
        <v>106.21575</v>
      </c>
      <c r="R47" s="307">
        <f t="shared" si="12"/>
        <v>150</v>
      </c>
      <c r="S47" s="296">
        <f t="shared" si="23"/>
        <v>0</v>
      </c>
      <c r="T47" s="298">
        <f t="shared" si="8"/>
        <v>0</v>
      </c>
      <c r="U47" s="321"/>
      <c r="W47" s="320"/>
      <c r="X47" s="320"/>
      <c r="Y47" s="320"/>
      <c r="Z47" s="320"/>
      <c r="AA47" s="320"/>
      <c r="AB47" s="330"/>
      <c r="AC47" s="330"/>
      <c r="AE47" s="331"/>
      <c r="AF47" s="331"/>
      <c r="AG47" s="5"/>
    </row>
    <row r="48" spans="1:36" ht="15.75" thickBot="1">
      <c r="A48" s="499"/>
      <c r="B48" s="96" t="s">
        <v>339</v>
      </c>
      <c r="C48" s="95" t="s">
        <v>338</v>
      </c>
      <c r="D48" s="94">
        <v>768.38499999999999</v>
      </c>
      <c r="E48" s="94">
        <v>150</v>
      </c>
      <c r="F48" s="94">
        <v>46.164000000000001</v>
      </c>
      <c r="G48" s="94">
        <v>0.5</v>
      </c>
      <c r="H48" s="73">
        <f t="shared" si="2"/>
        <v>23.082000000000001</v>
      </c>
      <c r="I48" s="73">
        <f t="shared" si="20"/>
        <v>126.91800000000001</v>
      </c>
      <c r="J48" s="299">
        <f t="shared" si="21"/>
        <v>15.388000000000002</v>
      </c>
      <c r="K48" s="301" t="s">
        <v>345</v>
      </c>
      <c r="L48" s="92">
        <v>934.80499999999995</v>
      </c>
      <c r="M48" s="92">
        <v>150</v>
      </c>
      <c r="N48" s="92">
        <f t="shared" si="19"/>
        <v>46.164000000000001</v>
      </c>
      <c r="O48" s="119">
        <v>0.5</v>
      </c>
      <c r="P48" s="119">
        <f t="shared" si="5"/>
        <v>23.082000000000001</v>
      </c>
      <c r="Q48" s="309">
        <f t="shared" si="22"/>
        <v>126.91800000000001</v>
      </c>
      <c r="R48" s="308">
        <f t="shared" si="12"/>
        <v>150</v>
      </c>
      <c r="S48" s="296">
        <f t="shared" si="23"/>
        <v>0</v>
      </c>
      <c r="T48" s="297">
        <f t="shared" si="8"/>
        <v>0</v>
      </c>
      <c r="U48" s="321"/>
      <c r="W48" s="534"/>
      <c r="X48" s="534"/>
      <c r="Y48" s="534"/>
      <c r="Z48" s="330"/>
      <c r="AA48" s="330"/>
      <c r="AB48" s="330"/>
      <c r="AC48" s="330"/>
      <c r="AE48" s="286"/>
      <c r="AF48" s="286"/>
    </row>
    <row r="49" spans="1:32" ht="15.75" thickBot="1">
      <c r="A49" s="497" t="s">
        <v>344</v>
      </c>
      <c r="B49" s="87" t="s">
        <v>343</v>
      </c>
      <c r="C49" s="86" t="s">
        <v>342</v>
      </c>
      <c r="D49" s="85">
        <v>592.98500000000001</v>
      </c>
      <c r="E49" s="85">
        <v>150</v>
      </c>
      <c r="F49" s="85">
        <v>175.91919999999999</v>
      </c>
      <c r="G49" s="85">
        <v>0.5</v>
      </c>
      <c r="H49" s="85">
        <f t="shared" si="2"/>
        <v>87.959599999999995</v>
      </c>
      <c r="I49" s="94">
        <f t="shared" si="20"/>
        <v>62.040400000000005</v>
      </c>
      <c r="J49" s="93">
        <f t="shared" si="21"/>
        <v>58.639733333333332</v>
      </c>
      <c r="K49" s="100" t="s">
        <v>341</v>
      </c>
      <c r="L49" s="83">
        <v>992.44500000000005</v>
      </c>
      <c r="M49" s="83">
        <v>150</v>
      </c>
      <c r="N49" s="83">
        <f t="shared" si="19"/>
        <v>175.91919999999999</v>
      </c>
      <c r="O49" s="91">
        <v>0.5</v>
      </c>
      <c r="P49" s="91">
        <f t="shared" si="5"/>
        <v>87.959599999999995</v>
      </c>
      <c r="Q49" s="310">
        <f t="shared" si="22"/>
        <v>62.040400000000005</v>
      </c>
      <c r="R49" s="301">
        <f t="shared" si="12"/>
        <v>150</v>
      </c>
      <c r="S49" s="296">
        <f t="shared" si="23"/>
        <v>0</v>
      </c>
      <c r="T49" s="298">
        <f t="shared" si="8"/>
        <v>0</v>
      </c>
      <c r="U49" s="321"/>
      <c r="W49" s="330"/>
      <c r="X49" s="330"/>
      <c r="Y49" s="330"/>
      <c r="Z49" s="534"/>
      <c r="AA49" s="534"/>
      <c r="AB49" s="330"/>
      <c r="AC49" s="330"/>
      <c r="AE49" s="286"/>
      <c r="AF49" s="286"/>
    </row>
    <row r="50" spans="1:32" ht="15.75" thickBot="1">
      <c r="A50" s="499"/>
      <c r="B50" s="96" t="s">
        <v>339</v>
      </c>
      <c r="C50" s="95" t="s">
        <v>338</v>
      </c>
      <c r="D50" s="94">
        <v>768.38499999999999</v>
      </c>
      <c r="E50" s="94">
        <v>150</v>
      </c>
      <c r="F50" s="94">
        <v>46.164000000000001</v>
      </c>
      <c r="G50" s="94">
        <v>0.5</v>
      </c>
      <c r="H50" s="73">
        <f t="shared" si="2"/>
        <v>23.082000000000001</v>
      </c>
      <c r="I50" s="94">
        <f t="shared" si="20"/>
        <v>126.91800000000001</v>
      </c>
      <c r="J50" s="93">
        <f t="shared" si="21"/>
        <v>15.388000000000002</v>
      </c>
      <c r="K50" s="301" t="s">
        <v>337</v>
      </c>
      <c r="L50" s="92">
        <v>817.04499999999996</v>
      </c>
      <c r="M50" s="92">
        <v>150</v>
      </c>
      <c r="N50" s="92">
        <f t="shared" si="19"/>
        <v>46.164000000000001</v>
      </c>
      <c r="O50" s="91">
        <v>0.5</v>
      </c>
      <c r="P50" s="91">
        <f t="shared" si="5"/>
        <v>23.082000000000001</v>
      </c>
      <c r="Q50" s="310">
        <f t="shared" si="22"/>
        <v>126.91800000000001</v>
      </c>
      <c r="R50" s="301">
        <f t="shared" si="12"/>
        <v>150</v>
      </c>
      <c r="S50" s="296">
        <f t="shared" si="23"/>
        <v>0</v>
      </c>
      <c r="T50" s="298">
        <f t="shared" si="8"/>
        <v>0</v>
      </c>
      <c r="U50" s="321"/>
      <c r="W50" s="329"/>
      <c r="X50" s="329"/>
      <c r="Y50" s="329"/>
      <c r="Z50" s="329"/>
      <c r="AA50" s="329"/>
      <c r="AB50" s="330"/>
      <c r="AC50" s="330"/>
      <c r="AE50" s="564"/>
      <c r="AF50" s="564"/>
    </row>
    <row r="51" spans="1:32" ht="15.75" thickBot="1">
      <c r="A51" s="497" t="s">
        <v>340</v>
      </c>
      <c r="B51" s="87" t="s">
        <v>339</v>
      </c>
      <c r="C51" s="86" t="s">
        <v>338</v>
      </c>
      <c r="D51" s="85">
        <v>768.38499999999999</v>
      </c>
      <c r="E51" s="85">
        <v>150</v>
      </c>
      <c r="F51" s="85">
        <v>46.164000000000001</v>
      </c>
      <c r="G51" s="85">
        <v>0.5</v>
      </c>
      <c r="H51" s="85">
        <f t="shared" si="2"/>
        <v>23.082000000000001</v>
      </c>
      <c r="I51" s="85">
        <f t="shared" si="20"/>
        <v>126.91800000000001</v>
      </c>
      <c r="J51" s="84">
        <f t="shared" si="21"/>
        <v>15.388000000000002</v>
      </c>
      <c r="K51" s="100" t="s">
        <v>337</v>
      </c>
      <c r="L51" s="83">
        <v>817.04499999999996</v>
      </c>
      <c r="M51" s="83">
        <v>150</v>
      </c>
      <c r="N51" s="83">
        <f t="shared" si="19"/>
        <v>46.164000000000001</v>
      </c>
      <c r="O51" s="82">
        <v>0.5</v>
      </c>
      <c r="P51" s="82">
        <f t="shared" si="5"/>
        <v>23.082000000000001</v>
      </c>
      <c r="Q51" s="220">
        <f t="shared" si="22"/>
        <v>126.91800000000001</v>
      </c>
      <c r="R51" s="100">
        <f t="shared" si="12"/>
        <v>150</v>
      </c>
      <c r="S51" s="296">
        <f t="shared" si="23"/>
        <v>0</v>
      </c>
      <c r="T51" s="296">
        <f t="shared" si="8"/>
        <v>0</v>
      </c>
      <c r="U51" s="321"/>
      <c r="W51" s="330"/>
      <c r="X51" s="330"/>
      <c r="Y51" s="18"/>
      <c r="Z51" s="330"/>
      <c r="AA51" s="330"/>
      <c r="AB51" s="330"/>
      <c r="AC51" s="330"/>
      <c r="AE51" s="328"/>
      <c r="AF51" s="328"/>
    </row>
    <row r="52" spans="1:32" ht="15.75" thickBot="1">
      <c r="A52" s="499"/>
      <c r="B52" s="96" t="s">
        <v>30</v>
      </c>
      <c r="C52" s="95" t="s">
        <v>326</v>
      </c>
      <c r="D52" s="94">
        <v>317.27</v>
      </c>
      <c r="E52" s="94">
        <v>200</v>
      </c>
      <c r="F52" s="94">
        <v>136.87530000000001</v>
      </c>
      <c r="G52" s="94">
        <v>0.5</v>
      </c>
      <c r="H52" s="73">
        <f t="shared" si="2"/>
        <v>68.437650000000005</v>
      </c>
      <c r="I52" s="73">
        <f t="shared" si="20"/>
        <v>131.56234999999998</v>
      </c>
      <c r="J52" s="299">
        <f t="shared" si="21"/>
        <v>34.218825000000002</v>
      </c>
      <c r="K52" s="301" t="s">
        <v>325</v>
      </c>
      <c r="L52" s="92">
        <v>518.48</v>
      </c>
      <c r="M52" s="92">
        <v>200</v>
      </c>
      <c r="N52" s="92">
        <f t="shared" si="19"/>
        <v>136.87530000000001</v>
      </c>
      <c r="O52" s="119">
        <v>0.5</v>
      </c>
      <c r="P52" s="119">
        <f t="shared" si="5"/>
        <v>68.437650000000005</v>
      </c>
      <c r="Q52" s="309">
        <f t="shared" si="22"/>
        <v>131.56234999999998</v>
      </c>
      <c r="R52" s="303">
        <f t="shared" si="12"/>
        <v>200</v>
      </c>
      <c r="S52" s="296">
        <f t="shared" si="23"/>
        <v>0</v>
      </c>
      <c r="T52" s="297">
        <f t="shared" si="8"/>
        <v>0</v>
      </c>
      <c r="U52" s="321"/>
      <c r="W52" s="330"/>
      <c r="X52" s="330"/>
      <c r="Y52" s="18"/>
      <c r="Z52" s="330"/>
      <c r="AA52" s="330"/>
      <c r="AB52" s="330"/>
      <c r="AC52" s="330"/>
      <c r="AE52" s="331"/>
      <c r="AF52" s="331"/>
    </row>
    <row r="53" spans="1:32" ht="15.75" thickBot="1">
      <c r="A53" s="497" t="s">
        <v>336</v>
      </c>
      <c r="B53" s="87" t="s">
        <v>28</v>
      </c>
      <c r="C53" s="86" t="s">
        <v>335</v>
      </c>
      <c r="D53" s="85">
        <v>675.17499999999995</v>
      </c>
      <c r="E53" s="85">
        <v>150</v>
      </c>
      <c r="F53" s="85">
        <v>87.5685</v>
      </c>
      <c r="G53" s="85">
        <v>0.5</v>
      </c>
      <c r="H53" s="85">
        <f t="shared" si="2"/>
        <v>43.78425</v>
      </c>
      <c r="I53" s="94">
        <f t="shared" si="20"/>
        <v>106.21575</v>
      </c>
      <c r="J53" s="93">
        <f t="shared" si="21"/>
        <v>29.189500000000002</v>
      </c>
      <c r="K53" s="100" t="s">
        <v>334</v>
      </c>
      <c r="L53" s="83">
        <v>792.93499999999995</v>
      </c>
      <c r="M53" s="83">
        <v>150</v>
      </c>
      <c r="N53" s="83">
        <f t="shared" si="19"/>
        <v>87.5685</v>
      </c>
      <c r="O53" s="91">
        <v>0.5</v>
      </c>
      <c r="P53" s="91">
        <f t="shared" si="5"/>
        <v>43.78425</v>
      </c>
      <c r="Q53" s="310">
        <f t="shared" si="22"/>
        <v>106.21575</v>
      </c>
      <c r="R53" s="301">
        <f t="shared" si="12"/>
        <v>150</v>
      </c>
      <c r="S53" s="296">
        <f t="shared" si="23"/>
        <v>0</v>
      </c>
      <c r="T53" s="298">
        <f t="shared" si="8"/>
        <v>0</v>
      </c>
      <c r="U53" s="321"/>
      <c r="W53" s="330"/>
      <c r="X53" s="330"/>
      <c r="Y53" s="18"/>
      <c r="Z53" s="330"/>
      <c r="AA53" s="330"/>
      <c r="AB53" s="330"/>
      <c r="AC53" s="330"/>
      <c r="AE53" s="332"/>
      <c r="AF53" s="332"/>
    </row>
    <row r="54" spans="1:32" ht="15.75" thickBot="1">
      <c r="A54" s="499"/>
      <c r="B54" s="96" t="s">
        <v>333</v>
      </c>
      <c r="C54" s="95" t="s">
        <v>332</v>
      </c>
      <c r="D54" s="94">
        <v>300.33499999999998</v>
      </c>
      <c r="E54" s="94">
        <v>200</v>
      </c>
      <c r="F54" s="94">
        <v>33.29833</v>
      </c>
      <c r="G54" s="94">
        <v>0.5</v>
      </c>
      <c r="H54" s="73">
        <f t="shared" si="2"/>
        <v>16.649165</v>
      </c>
      <c r="I54" s="94">
        <f t="shared" si="20"/>
        <v>183.35083499999999</v>
      </c>
      <c r="J54" s="93">
        <f t="shared" si="21"/>
        <v>8.3245825</v>
      </c>
      <c r="K54" s="301" t="s">
        <v>331</v>
      </c>
      <c r="L54" s="92">
        <v>524.75</v>
      </c>
      <c r="M54" s="92">
        <v>200</v>
      </c>
      <c r="N54" s="92">
        <f t="shared" si="19"/>
        <v>33.29833</v>
      </c>
      <c r="O54" s="91">
        <v>0.5</v>
      </c>
      <c r="P54" s="91">
        <f t="shared" si="5"/>
        <v>16.649165</v>
      </c>
      <c r="Q54" s="310">
        <f t="shared" si="22"/>
        <v>183.35083499999999</v>
      </c>
      <c r="R54" s="301">
        <f t="shared" si="12"/>
        <v>200</v>
      </c>
      <c r="S54" s="296">
        <f t="shared" si="23"/>
        <v>0</v>
      </c>
      <c r="T54" s="298">
        <f t="shared" si="8"/>
        <v>0</v>
      </c>
      <c r="U54" s="321"/>
      <c r="W54" s="330"/>
      <c r="X54" s="323"/>
      <c r="Y54" s="330"/>
      <c r="Z54" s="330"/>
      <c r="AA54" s="330"/>
      <c r="AB54" s="320"/>
      <c r="AC54" s="320"/>
      <c r="AE54" s="331"/>
      <c r="AF54" s="331"/>
    </row>
    <row r="55" spans="1:32" ht="15.75" thickBot="1">
      <c r="A55" s="497" t="s">
        <v>330</v>
      </c>
      <c r="B55" s="87" t="s">
        <v>329</v>
      </c>
      <c r="C55" s="86" t="s">
        <v>61</v>
      </c>
      <c r="D55" s="85">
        <v>381.34</v>
      </c>
      <c r="E55" s="85">
        <v>200</v>
      </c>
      <c r="F55" s="85">
        <v>233.80699999999999</v>
      </c>
      <c r="G55" s="85">
        <v>0.5</v>
      </c>
      <c r="H55" s="85">
        <f t="shared" si="2"/>
        <v>116.90349999999999</v>
      </c>
      <c r="I55" s="85">
        <f t="shared" si="20"/>
        <v>83.096500000000006</v>
      </c>
      <c r="J55" s="84">
        <f t="shared" si="21"/>
        <v>58.451750000000004</v>
      </c>
      <c r="K55" s="100" t="s">
        <v>328</v>
      </c>
      <c r="L55" s="83">
        <v>673.16499999999996</v>
      </c>
      <c r="M55" s="83">
        <v>200</v>
      </c>
      <c r="N55" s="83">
        <f t="shared" si="19"/>
        <v>233.80699999999999</v>
      </c>
      <c r="O55" s="82">
        <v>0.5</v>
      </c>
      <c r="P55" s="82">
        <f t="shared" si="5"/>
        <v>116.90349999999999</v>
      </c>
      <c r="Q55" s="220">
        <f t="shared" si="22"/>
        <v>83.096500000000006</v>
      </c>
      <c r="R55" s="100">
        <f t="shared" si="12"/>
        <v>150</v>
      </c>
      <c r="S55" s="296">
        <f t="shared" si="23"/>
        <v>0</v>
      </c>
      <c r="T55" s="296">
        <f t="shared" si="8"/>
        <v>0</v>
      </c>
      <c r="U55" s="321"/>
      <c r="W55" s="18"/>
      <c r="X55" s="330"/>
      <c r="Y55" s="18"/>
      <c r="Z55" s="330"/>
      <c r="AA55" s="330"/>
      <c r="AB55" s="333"/>
      <c r="AC55" s="330"/>
      <c r="AE55" s="331"/>
      <c r="AF55" s="331"/>
    </row>
    <row r="56" spans="1:32" ht="15.75" thickBot="1">
      <c r="A56" s="498"/>
      <c r="B56" s="75" t="s">
        <v>30</v>
      </c>
      <c r="C56" s="74" t="s">
        <v>326</v>
      </c>
      <c r="D56" s="73">
        <v>317.27</v>
      </c>
      <c r="E56" s="73">
        <v>200</v>
      </c>
      <c r="F56" s="73">
        <v>136.87530000000001</v>
      </c>
      <c r="G56" s="73">
        <v>0.5</v>
      </c>
      <c r="H56" s="73">
        <f t="shared" si="2"/>
        <v>68.437650000000005</v>
      </c>
      <c r="I56" s="73">
        <f t="shared" si="20"/>
        <v>131.56234999999998</v>
      </c>
      <c r="J56" s="299">
        <f t="shared" si="21"/>
        <v>34.218825000000002</v>
      </c>
      <c r="K56" s="303" t="s">
        <v>325</v>
      </c>
      <c r="L56" s="72">
        <v>518.48</v>
      </c>
      <c r="M56" s="72">
        <v>200</v>
      </c>
      <c r="N56" s="156">
        <f t="shared" si="19"/>
        <v>136.87530000000001</v>
      </c>
      <c r="O56" s="119">
        <v>0.5</v>
      </c>
      <c r="P56" s="119">
        <f t="shared" si="5"/>
        <v>68.437650000000005</v>
      </c>
      <c r="Q56" s="309">
        <f t="shared" si="22"/>
        <v>131.56234999999998</v>
      </c>
      <c r="R56" s="303">
        <f t="shared" si="12"/>
        <v>200</v>
      </c>
      <c r="S56" s="296">
        <f t="shared" si="23"/>
        <v>0</v>
      </c>
      <c r="T56" s="297">
        <f t="shared" si="8"/>
        <v>0</v>
      </c>
      <c r="U56" s="321"/>
      <c r="W56" s="18"/>
      <c r="X56" s="330"/>
      <c r="Y56" s="18"/>
      <c r="Z56" s="330"/>
      <c r="AA56" s="330"/>
      <c r="AB56" s="330"/>
      <c r="AC56" s="330"/>
      <c r="AE56" s="331"/>
      <c r="AF56" s="331"/>
    </row>
    <row r="57" spans="1:32">
      <c r="D57" t="s">
        <v>369</v>
      </c>
      <c r="E57">
        <f>SUM(E3:E56)</f>
        <v>13150</v>
      </c>
      <c r="G57" s="10"/>
      <c r="H57" s="11"/>
      <c r="W57" s="18"/>
      <c r="X57" s="330"/>
      <c r="Y57" s="330"/>
      <c r="Z57" s="330"/>
      <c r="AA57" s="330"/>
      <c r="AB57" s="330"/>
      <c r="AC57" s="330"/>
      <c r="AE57" s="331"/>
      <c r="AF57" s="331"/>
    </row>
    <row r="58" spans="1:32">
      <c r="G58" s="10"/>
      <c r="H58" s="11"/>
      <c r="AE58" s="331"/>
      <c r="AF58" s="331"/>
    </row>
    <row r="59" spans="1:32">
      <c r="AE59" s="331"/>
      <c r="AF59" s="331"/>
    </row>
    <row r="60" spans="1:32">
      <c r="AE60" s="331"/>
      <c r="AF60" s="331"/>
    </row>
    <row r="61" spans="1:32">
      <c r="AE61" s="331"/>
      <c r="AF61" s="331"/>
    </row>
    <row r="62" spans="1:32">
      <c r="AE62" s="331"/>
      <c r="AF62" s="331"/>
    </row>
    <row r="63" spans="1:32">
      <c r="AE63" s="331"/>
      <c r="AF63" s="331"/>
    </row>
    <row r="64" spans="1:32">
      <c r="AE64" s="331"/>
      <c r="AF64" s="331"/>
    </row>
  </sheetData>
  <mergeCells count="27">
    <mergeCell ref="Z49:AA49"/>
    <mergeCell ref="C1:I1"/>
    <mergeCell ref="K1:T1"/>
    <mergeCell ref="A4:A5"/>
    <mergeCell ref="A6:A8"/>
    <mergeCell ref="A9:A13"/>
    <mergeCell ref="W4:AB4"/>
    <mergeCell ref="W25:X25"/>
    <mergeCell ref="W36:Y36"/>
    <mergeCell ref="Z37:AA37"/>
    <mergeCell ref="W48:Y48"/>
    <mergeCell ref="AI4:AN4"/>
    <mergeCell ref="AD25:AI25"/>
    <mergeCell ref="A53:A54"/>
    <mergeCell ref="A55:A56"/>
    <mergeCell ref="A21:A24"/>
    <mergeCell ref="A26:A27"/>
    <mergeCell ref="A28:A32"/>
    <mergeCell ref="A33:A35"/>
    <mergeCell ref="A36:A37"/>
    <mergeCell ref="A39:A40"/>
    <mergeCell ref="A41:A43"/>
    <mergeCell ref="A45:A48"/>
    <mergeCell ref="A49:A50"/>
    <mergeCell ref="A51:A52"/>
    <mergeCell ref="AE50:AF50"/>
    <mergeCell ref="A15:A20"/>
  </mergeCells>
  <conditionalFormatting sqref="S3:T56">
    <cfRule type="cellIs" dxfId="47" priority="7" operator="greaterThan">
      <formula>0</formula>
    </cfRule>
  </conditionalFormatting>
  <conditionalFormatting sqref="Q3:Q56">
    <cfRule type="cellIs" dxfId="46" priority="5" operator="lessThan">
      <formula>0</formula>
    </cfRule>
  </conditionalFormatting>
  <conditionalFormatting sqref="M3:M56">
    <cfRule type="expression" dxfId="45" priority="4">
      <formula>(M3&lt;E3)</formula>
    </cfRule>
  </conditionalFormatting>
  <conditionalFormatting sqref="X6:AC17">
    <cfRule type="cellIs" dxfId="44" priority="3" operator="greaterThan">
      <formula>0</formula>
    </cfRule>
  </conditionalFormatting>
  <conditionalFormatting sqref="AJ6:AO17">
    <cfRule type="cellIs" dxfId="43" priority="2" operator="greaterThan">
      <formula>0</formula>
    </cfRule>
  </conditionalFormatting>
  <conditionalFormatting sqref="AE27:AJ38">
    <cfRule type="cellIs" dxfId="42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MPLS_Demands</vt:lpstr>
      <vt:lpstr>Failure-free</vt:lpstr>
      <vt:lpstr>Shut-off lambda</vt:lpstr>
      <vt:lpstr>Multiple-path Reroute</vt:lpstr>
      <vt:lpstr>Selective 0&lt;alpha&lt;1</vt:lpstr>
      <vt:lpstr>BDF</vt:lpstr>
      <vt:lpstr>SDF</vt:lpstr>
      <vt:lpstr>Single-hop Reroute</vt:lpstr>
      <vt:lpstr>No-Rerouting</vt:lpstr>
      <vt:lpstr>ES-EP</vt:lpstr>
      <vt:lpstr>US-EP</vt:lpstr>
      <vt:lpstr>US-UP</vt:lpstr>
      <vt:lpstr>US</vt:lpstr>
      <vt:lpstr>Simulation</vt:lpstr>
      <vt:lpstr>FlowThinning</vt:lpstr>
      <vt:lpstr>FlowThinningModularCapacities</vt:lpstr>
      <vt:lpstr>AffineFlowThinning</vt:lpstr>
      <vt:lpstr>AffineFlowThinningModularCapaci</vt:lpstr>
      <vt:lpstr>conclusion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user</cp:lastModifiedBy>
  <dcterms:created xsi:type="dcterms:W3CDTF">2017-06-09T11:14:50Z</dcterms:created>
  <dcterms:modified xsi:type="dcterms:W3CDTF">2021-01-07T17:21:24Z</dcterms:modified>
</cp:coreProperties>
</file>