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umptions Capital Investment " sheetId="1" r:id="rId4"/>
    <sheet state="visible" name="Income Statement" sheetId="2" r:id="rId5"/>
    <sheet state="visible" name="cash flow" sheetId="3" r:id="rId6"/>
    <sheet state="visible" name="dcf valuation &amp; pre and post mo" sheetId="4" r:id="rId7"/>
    <sheet state="visible" name="Funds Required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62">
      <text>
        <t xml:space="preserve">in year 1
	-Deepesh Kumar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4">
      <text>
        <t xml:space="preserve">6 months rents as security deposit &amp; Rs 250 per sq Ft for warehouse setup
	-Deepesh Kumar</t>
      </text>
    </comment>
  </commentList>
</comments>
</file>

<file path=xl/sharedStrings.xml><?xml version="1.0" encoding="utf-8"?>
<sst xmlns="http://schemas.openxmlformats.org/spreadsheetml/2006/main" count="242" uniqueCount="198">
  <si>
    <t>Total Revenue Breakdown for Year 1:</t>
  </si>
  <si>
    <t>Year 1 → Year 2</t>
  </si>
  <si>
    <t>Year 2 → Year 3</t>
  </si>
  <si>
    <t>Year 3 → 4</t>
  </si>
  <si>
    <t>Year 4 → 5</t>
  </si>
  <si>
    <t>References:</t>
  </si>
  <si>
    <t>https://www.google.com/search?q=startup+grants+in+india+range&amp;sca_esv=b657747ebb3c27f5&amp;rlz=1C1BNSD_enQA971QA971&amp;ei=UWfsZ4PuC6Op2roPuoii4Qo&amp;ved=0ahUKEwjD2vrb77eMAxWjlFYBHTqEKKwQ4dUDCBA&amp;uact=5&amp;oq=startup+grants+in+india+range&amp;gs_lp=Egxnd3Mtd2l6LXNlcnAiHXN0YXJ0dXAgZ3JhbnRzIGluIGluZGlhIHJhbmdlMgYQABgWGB4yCxAAGIAEGIYDGIoFMgsQABiABBiGAxiKBTIFEAAY7wUyCBAAGIAEGKIEMggQABiiBBiJBUjvElDWAVj1EXABeAGQAQCYAZICoAGvCKoBAzItNLgBA8gBAPgBAZgCBaACwAjCAgoQABiwAxjWBBhHmAMAiAYBkAYIkgcFMS4wLjSgB_gU&amp;sclient=gws-wiz-serp</t>
  </si>
  <si>
    <t>Commission/Markup on Sales:</t>
  </si>
  <si>
    <t>Commission Revenue</t>
  </si>
  <si>
    <t>https://www.google.com/search?q=cost+to+host+a+website+per+month+for+500+users&amp;sca_esv=0a8d1f523c448617&amp;rlz=1C1BNSD_enQA971QA971&amp;ei=A_XrZ4OxOLL81e8P6d3EqAg&amp;oq=cost+to+host+a+website+per+month+for+500+&amp;gs_lp=Egxnd3Mtd2l6LXNlcnAiKWNvc3QgdG8gaG9zdCBhIHdlYnNpdGUgcGVyIG1vbnRoIGZvciA1MDAgKgIIADIFECEYoAEyBRAhGKABMgUQIRigAUiwjAFQxA1YkIIBcAZ4AJABAJgBhQKgAewfqgEGMC4yMi4yuAEDyAEA-AEBmAIcoAKUHsICChAAGLADGNYEGEfCAgQQIRgVwgIHECEYoAEYCsICBRAhGJ8FwgILEAAYgAQYkQIYigXCAgUQABiABMICBhAAGBYYHsICCxAAGIAEGIYDGIoFwgIIEAAYgAQYogTCAggQABgWGAoYHsICBRAAGO8FmAMA4gMFEgExIECIBgGQBgiSBwY2LjE4LjSgB_enAQ&amp;sclient=gws-wiz-serp</t>
  </si>
  <si>
    <t>Users per Year</t>
  </si>
  <si>
    <t xml:space="preserve">Commission Revenue in year 1 = 264*300*12 = 9,50,400 </t>
  </si>
  <si>
    <t xml:space="preserve">Commission Revenue in year 2 = 264*900*12 = 28,51,200 </t>
  </si>
  <si>
    <t xml:space="preserve">Commission Revenue in year 4 = 264*0.2*11000*12 = 69,69,600  </t>
  </si>
  <si>
    <t xml:space="preserve">Commission Revenue in year 4 = 264*0.2*19000*12 = 1,20,38,400  </t>
  </si>
  <si>
    <t>https://www.99acres.com/warehouse-for-rent-lease-in-okhla-industrial-area-south-delhi-1450-sq-ft-spid-Y79186161</t>
  </si>
  <si>
    <t xml:space="preserve">Commission Revenue in year 3 = 264*0.2*10000*12 = 63,36,000  </t>
  </si>
  <si>
    <t xml:space="preserve">₹63,36,000 → ₹69,69,600 </t>
  </si>
  <si>
    <t xml:space="preserve">₹69,69,600 → ₹1,20,38,400 </t>
  </si>
  <si>
    <t>Year 1:</t>
  </si>
  <si>
    <t>Premium Listings</t>
  </si>
  <si>
    <t>Total Premium Listing Revenue for Year 1: 225×₹499=₹1,12,475.</t>
  </si>
  <si>
    <t xml:space="preserve">Total Premium Listing Revenue for Year 2: 675×₹549 = ₹3,70,575.00 </t>
  </si>
  <si>
    <t xml:space="preserve">Total Premium Listing Revenue for Year 4: 0.15*11000×₹549 = ₹9,05,850.00 </t>
  </si>
  <si>
    <t xml:space="preserve">Total Premium Listing Revenue for Year 5: 0.15*19000×₹549 = ₹15,64,650.00 </t>
  </si>
  <si>
    <t>Year 2:</t>
  </si>
  <si>
    <t xml:space="preserve">Total Premium Listing Revenue for Year 3: 1500×₹549 = ₹8,23,500.00 </t>
  </si>
  <si>
    <t>Storage Fees (Seasonal)</t>
  </si>
  <si>
    <t>Year 3:</t>
  </si>
  <si>
    <t xml:space="preserve">Storage fees in year 1 = 3*2000*0.4*150 = 3,60,000 </t>
  </si>
  <si>
    <t xml:space="preserve">Storage fees in year 2 = 3*6250*0.4*150 = 11,25,000 </t>
  </si>
  <si>
    <t xml:space="preserve">Annual: ₹4,125,000 → ₹4,537,500 </t>
  </si>
  <si>
    <t>Annual: ₹4,537,500 → ₹8,167,500</t>
  </si>
  <si>
    <t xml:space="preserve">Storage fees in year 3 = 3*13750*0.4*250 = 41,25,000 </t>
  </si>
  <si>
    <t>Year 4:</t>
  </si>
  <si>
    <t>Warehouse Rent</t>
  </si>
  <si>
    <t>• Monthly rent: ₹50,000 → ₹156,250</t>
  </si>
  <si>
    <t>• Monthly rent: ₹156,250 → ₹343,750</t>
  </si>
  <si>
    <t>• Monthly rent: ₹4,537,500 ÷ 12 = ₹378,125</t>
  </si>
  <si>
    <t>• Monthly rent: ₹8,167,500 ÷ 12 = ₹680,625</t>
  </si>
  <si>
    <t xml:space="preserve">Year 5: </t>
  </si>
  <si>
    <t>• Annual rent: ₹600,000 → ₹1,875,000</t>
  </si>
  <si>
    <t>• Annual rent: ₹1,875,000 → ₹4,125,000</t>
  </si>
  <si>
    <t>• Annual rent: ₹41,25,000 → ₹ ₹4,537,500.00</t>
  </si>
  <si>
    <t>• Annual rent: ₹4,537,500.00 → ₹8,167,500.00</t>
  </si>
  <si>
    <t>Sales per User</t>
  </si>
  <si>
    <t>Server &amp; AppStore/Playstore Fees</t>
  </si>
  <si>
    <t>Year 1 baseline: 300 sales/mo ÷ 1,500 users = 0.20 sales per user per month</t>
  </si>
  <si>
    <t xml:space="preserve">₹30,000 → ₹35,000 </t>
  </si>
  <si>
    <t xml:space="preserve">₹35,000 → ₹55,000 </t>
  </si>
  <si>
    <t xml:space="preserve">₹55,000 → ₹60,500 </t>
  </si>
  <si>
    <t xml:space="preserve">₹60,500 → ₹90,750 </t>
  </si>
  <si>
    <t>Warehouse Staff Salaries</t>
  </si>
  <si>
    <t>We assume that stays constant in Years 2–5, this implies sale per user factor remains same, as users 
increase, sales get impacted proporotionately</t>
  </si>
  <si>
    <t xml:space="preserve">₹400,000 → ₹500,000 </t>
  </si>
  <si>
    <t xml:space="preserve">₹500,000 → ₹600,000 </t>
  </si>
  <si>
    <t xml:space="preserve">₹600,000 → ₹700,000 </t>
  </si>
  <si>
    <t xml:space="preserve">₹700,000 → ₹800,000 </t>
  </si>
  <si>
    <t>Category Mix of Sales</t>
  </si>
  <si>
    <t>Storage for Seasonal:</t>
  </si>
  <si>
    <t>App Development &amp; Maintenance</t>
  </si>
  <si>
    <t>₹300,000 → ₹400,000</t>
  </si>
  <si>
    <t xml:space="preserve">₹500,000 → ₹650,000 </t>
  </si>
  <si>
    <t>₹650,000 → ₹800,000</t>
  </si>
  <si>
    <t>Category C (“&lt; ₹1,000”): 40% of all sales</t>
  </si>
  <si>
    <t>Warehouse Size (total area):</t>
  </si>
  <si>
    <t>Marketing &amp; Outreach</t>
  </si>
  <si>
    <t>Category B (“₹1,000–₹5,000”): 40%</t>
  </si>
  <si>
    <t>Year 1: 2,000 sqft</t>
  </si>
  <si>
    <t xml:space="preserve">₹1,00,000 → ₹1,50,000 </t>
  </si>
  <si>
    <t xml:space="preserve">₹1,50,000 → ₹2,00,000 </t>
  </si>
  <si>
    <t xml:space="preserve">₹200,000 → ₹250,000 </t>
  </si>
  <si>
    <t xml:space="preserve">₹2,50,000 → ₹3,00,000 </t>
  </si>
  <si>
    <t>Category A (“&gt; ₹5,000”): 20%</t>
  </si>
  <si>
    <t>Year 2: 6,250 sqft</t>
  </si>
  <si>
    <t>Quality Control &amp; Support</t>
  </si>
  <si>
    <t xml:space="preserve">₹400,000 → ₹450,000 </t>
  </si>
  <si>
    <t xml:space="preserve">₹450,000 → ₹5,00,000 </t>
  </si>
  <si>
    <t xml:space="preserve">₹500,000 → ₹550,000 </t>
  </si>
  <si>
    <t>₹550,000 → ₹600,000</t>
  </si>
  <si>
    <t>Average Commission per Sale</t>
  </si>
  <si>
    <t>Year 3: 13,750 sqft</t>
  </si>
  <si>
    <t>Office Supplies</t>
  </si>
  <si>
    <t>C: 12%×₹1,000 = ₹120</t>
  </si>
  <si>
    <t>Year 4: 15,125 sqft</t>
  </si>
  <si>
    <t>₹1,00,000 -&gt; ₹1,50,000</t>
  </si>
  <si>
    <t>₹1,50,000 -&gt; ₹2,50,000</t>
  </si>
  <si>
    <t xml:space="preserve">₹250,000 → ₹275,000 </t>
  </si>
  <si>
    <t xml:space="preserve">₹275,000 → ₹300,000 </t>
  </si>
  <si>
    <t>B: 10%×₹3,000 = ₹300</t>
  </si>
  <si>
    <t>Year 5: 27,225 sqft</t>
  </si>
  <si>
    <t>A: 8%×₹6,000 = ₹480</t>
  </si>
  <si>
    <t>Available to rent for summer(3mo):</t>
  </si>
  <si>
    <t>Weighted avg: 0.4×120 + 0.4×300 + 0.2×480 = ₹264 per sale</t>
  </si>
  <si>
    <t>40% of total warehouse area each year is rented for seasonal storage.</t>
  </si>
  <si>
    <t>Storage Fee per Month:</t>
  </si>
  <si>
    <t>Premium Listings (15% of Users)</t>
  </si>
  <si>
    <t>Years 1–2: ₹150 per sqft per month</t>
  </si>
  <si>
    <t>Premium Listing Fee: ₹499 per user per year.</t>
  </si>
  <si>
    <t>Premium Users in Year 1: 15% of 1,500 total users = 225 users.</t>
  </si>
  <si>
    <t>Years 3–5: ₹250 per sqft per month</t>
  </si>
  <si>
    <t>Premium Listing Fee: ₹549 per user per year in year 2</t>
  </si>
  <si>
    <t>Premium Users in Year 2: 15% of 4,500 total users = 675 users.</t>
  </si>
  <si>
    <t>Deepesh(CTO) +2 developers- 30k per person per month(60k per month)</t>
  </si>
  <si>
    <t>Non‑Dilutive Grants</t>
  </si>
  <si>
    <t>– Government Startup Fund: ₹10 L in Year 1, ₹15 L in Year 2, ₹20 L in Year 3, 
₹25L in year 4 and ₹30L in year 5</t>
  </si>
  <si>
    <t>– (These do not factor into investor IRR.)</t>
  </si>
  <si>
    <t>Founder Contributions</t>
  </si>
  <si>
    <t>– ₹2 L per founder → ₹8 L</t>
  </si>
  <si>
    <t>– (No required return; non‑repayable in first three years.)</t>
  </si>
  <si>
    <t>CampusYaar Income Statement</t>
  </si>
  <si>
    <t>LEGEND: All marked green are calculated values from non colour marked fixed variables</t>
  </si>
  <si>
    <t>Revenue</t>
  </si>
  <si>
    <t>YEAR 1</t>
  </si>
  <si>
    <t>YEAR 2</t>
  </si>
  <si>
    <t>YEAR 3</t>
  </si>
  <si>
    <t>YEAR 4</t>
  </si>
  <si>
    <t>YEAR 5</t>
  </si>
  <si>
    <t>Commission</t>
  </si>
  <si>
    <t>Storage Fees(Seasonal)</t>
  </si>
  <si>
    <t>Total Revenue</t>
  </si>
  <si>
    <t>Direct Operating Costs</t>
  </si>
  <si>
    <t>Server and AppStore/Playstore Fees</t>
  </si>
  <si>
    <t>App Development Cost &amp; maintenance</t>
  </si>
  <si>
    <t>Total</t>
  </si>
  <si>
    <t>Gross Profit</t>
  </si>
  <si>
    <t>Indirect Operating Costs</t>
  </si>
  <si>
    <t>Other Operational Costs(Office Supplies)</t>
  </si>
  <si>
    <t>Total Indirect Costs</t>
  </si>
  <si>
    <t>Operating Profit (EBIT)</t>
  </si>
  <si>
    <t>CASH FLOW STATEMENT</t>
  </si>
  <si>
    <t>ASSUMPTIONS</t>
  </si>
  <si>
    <t>CASH FLOW FROM OPERATING ACTIVITIES</t>
  </si>
  <si>
    <t># opening cash balance has been taken to be 3,00,000 INR</t>
  </si>
  <si>
    <t>Net Income</t>
  </si>
  <si>
    <t xml:space="preserve">Less: Accounts Receivable </t>
  </si>
  <si>
    <t># 20% of the sales/revenues will be in accounts receivable</t>
  </si>
  <si>
    <t>Plus: Accounts Payable</t>
  </si>
  <si>
    <t xml:space="preserve"># 30% of operating costs will be accounts payable </t>
  </si>
  <si>
    <t>Cash from Operations</t>
  </si>
  <si>
    <t>Investing Cash Flow</t>
  </si>
  <si>
    <t>Investments in Equipment</t>
  </si>
  <si>
    <t>office space, data storage and security systems will comprise of equipment cost</t>
  </si>
  <si>
    <t>Cash from Investing</t>
  </si>
  <si>
    <t>office space for 15-20 people in co-working for 3 years, data storage servers.
12,00,000 + 2,00,000 for year 1
15,00,000 + 3,00,000 for year 2
18,00,000 + 5,00,000 for year 3
20,00,000 + 10,00,000 for year 4
25,00,000 + 15,00,000 for year 5</t>
  </si>
  <si>
    <t>Financing Cash Flow</t>
  </si>
  <si>
    <t>Issuance (repayment) of Equity</t>
  </si>
  <si>
    <t>Founders pool in 8 lakhs and 25% equity with each founder</t>
  </si>
  <si>
    <t>Govt Grants</t>
  </si>
  <si>
    <t>Cash from Financing</t>
  </si>
  <si>
    <t>Net increase (decrease) in Cash</t>
  </si>
  <si>
    <t>Opening Cash Balance</t>
  </si>
  <si>
    <t>Closing Cash Balance</t>
  </si>
  <si>
    <t>Discounted Cash Flow Model</t>
  </si>
  <si>
    <t>First Five Years</t>
  </si>
  <si>
    <t>After Year 5 (Going Concern Principle)</t>
  </si>
  <si>
    <t>Discount Rate:</t>
  </si>
  <si>
    <t>Growth Rate:</t>
  </si>
  <si>
    <t>Year 1</t>
  </si>
  <si>
    <t>Year 2</t>
  </si>
  <si>
    <t>Year 3</t>
  </si>
  <si>
    <t>Year 4</t>
  </si>
  <si>
    <t>Year 5</t>
  </si>
  <si>
    <t>Value in Perpetuity =</t>
  </si>
  <si>
    <t>Year 5 EBITDA</t>
  </si>
  <si>
    <t>EBITDA:</t>
  </si>
  <si>
    <t>(Discount Rate - Growth Rate)</t>
  </si>
  <si>
    <t>Discount Factor:</t>
  </si>
  <si>
    <t>5 Year Present Value:</t>
  </si>
  <si>
    <t>Present Value:</t>
  </si>
  <si>
    <t>Value in Perpetuity:</t>
  </si>
  <si>
    <t>Total Present Value of the Company:</t>
  </si>
  <si>
    <t>Pre-money Valuation(Seed Round):</t>
  </si>
  <si>
    <t>% Equity With Founder Before Investment</t>
  </si>
  <si>
    <t>Present Value of the Company</t>
  </si>
  <si>
    <t>Round up</t>
  </si>
  <si>
    <t>Investor Contribution</t>
  </si>
  <si>
    <t>Post-money Valuation</t>
  </si>
  <si>
    <t>% Equity to Investor</t>
  </si>
  <si>
    <t>% Equity to Founders</t>
  </si>
  <si>
    <t>Funds Raising</t>
  </si>
  <si>
    <t>(when starting the Venture)</t>
  </si>
  <si>
    <t>6 months rents as security deposit</t>
  </si>
  <si>
    <t>Use of Funds</t>
  </si>
  <si>
    <t xml:space="preserve"> Rs 250 per sq Ft for warehouse setup</t>
  </si>
  <si>
    <t>Capital Investments</t>
  </si>
  <si>
    <t>warehouse Security deposits, Pre-operating expenses,legals,warehouse setup etc.</t>
  </si>
  <si>
    <t>Fund Operating Losses</t>
  </si>
  <si>
    <t>from cash flow</t>
  </si>
  <si>
    <t>TOTAL USE OF FUNDS</t>
  </si>
  <si>
    <t>Sources of Funds</t>
  </si>
  <si>
    <t>Founders' Contribution</t>
  </si>
  <si>
    <t>from assumptions</t>
  </si>
  <si>
    <t>GOVT startup fund</t>
  </si>
  <si>
    <t>TOTAL SOURCES OF FUNDS</t>
  </si>
  <si>
    <t>Excess/Shortfall (check)</t>
  </si>
  <si>
    <t>*green colour show Excess</t>
  </si>
  <si>
    <t>*red colour show shortfall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</si>
</sst>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₹]#,##0.00"/>
  </numFmts>
  <fonts count="26">
    <font>
      <sz val="10.0"/>
      <color rgb="FF000000"/>
      <name val="Arial"/>
      <scheme val="minor"/>
    </font>
    <font>
      <b/>
      <sz val="14.0"/>
      <color theme="1"/>
      <name val="Average"/>
    </font>
    <font>
      <sz val="14.0"/>
      <color theme="1"/>
      <name val="Average"/>
    </font>
    <font>
      <u/>
      <sz val="14.0"/>
      <color rgb="FF1155CC"/>
      <name val="Average"/>
    </font>
    <font>
      <color theme="1"/>
      <name val="Arial"/>
      <scheme val="minor"/>
    </font>
    <font>
      <b/>
      <sz val="16.0"/>
      <color theme="1"/>
      <name val="Arial"/>
      <scheme val="minor"/>
    </font>
    <font>
      <b/>
      <sz val="13.0"/>
      <color theme="1"/>
      <name val="Arial"/>
      <scheme val="minor"/>
    </font>
    <font>
      <b/>
      <color theme="1"/>
      <name val="Arial"/>
      <scheme val="minor"/>
    </font>
    <font>
      <color rgb="FF434343"/>
      <name val="Roboto"/>
    </font>
    <font>
      <b/>
      <sz val="20.0"/>
      <color theme="1"/>
      <name val="Average"/>
    </font>
    <font>
      <color theme="1"/>
      <name val="Average"/>
    </font>
    <font>
      <b/>
      <color theme="1"/>
      <name val="Average"/>
    </font>
    <font>
      <sz val="12.0"/>
      <color rgb="FF000000"/>
      <name val="Average"/>
    </font>
    <font>
      <b/>
      <sz val="12.0"/>
      <color rgb="FF000000"/>
      <name val="Average"/>
    </font>
    <font>
      <u/>
      <sz val="12.0"/>
      <color rgb="FF000000"/>
      <name val="Calibri"/>
    </font>
    <font>
      <u/>
      <sz val="12.0"/>
      <color rgb="FF000000"/>
      <name val="Calibri"/>
    </font>
    <font/>
    <font>
      <sz val="12.0"/>
      <color rgb="FF000000"/>
      <name val="Calibri"/>
    </font>
    <font>
      <sz val="12.0"/>
      <color rgb="FFFFFFFF"/>
      <name val="Calibri"/>
    </font>
    <font>
      <u/>
      <sz val="12.0"/>
      <color rgb="FF000000"/>
      <name val="Calibri"/>
    </font>
    <font>
      <b/>
      <sz val="15.0"/>
      <color rgb="FF000000"/>
      <name val="Calibri"/>
    </font>
    <font>
      <sz val="11.0"/>
      <color rgb="FF000000"/>
      <name val="Calibri"/>
    </font>
    <font>
      <sz val="14.0"/>
      <color rgb="FF000000"/>
      <name val="Calibri"/>
    </font>
    <font>
      <sz val="15.0"/>
      <color rgb="FF000000"/>
      <name val="Calibri"/>
    </font>
    <font>
      <sz val="11.0"/>
      <color rgb="FF1F1F1F"/>
      <name val="&quot;Google Sans&quot;"/>
    </font>
    <font>
      <sz val="15.0"/>
      <color rgb="FF00FF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DBE5F1"/>
        <bgColor rgb="FFDBE5F1"/>
      </patternFill>
    </fill>
    <fill>
      <patternFill patternType="solid">
        <fgColor rgb="FFD8D8D8"/>
        <bgColor rgb="FFD8D8D8"/>
      </patternFill>
    </fill>
    <fill>
      <patternFill patternType="solid">
        <fgColor rgb="FFC4BD97"/>
        <bgColor rgb="FFC4BD97"/>
      </patternFill>
    </fill>
    <fill>
      <patternFill patternType="solid">
        <fgColor rgb="FFE69138"/>
        <bgColor rgb="FFE6913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41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B6D7A8"/>
      </right>
      <top style="thin">
        <color rgb="FFB6D7A8"/>
      </top>
      <bottom style="thin">
        <color rgb="FFB6D7A8"/>
      </bottom>
    </border>
    <border>
      <left style="thin">
        <color rgb="FFB6D7A8"/>
      </left>
      <right style="thin">
        <color rgb="FFB6D7A8"/>
      </right>
      <top style="thin">
        <color rgb="FFB6D7A8"/>
      </top>
      <bottom style="thin">
        <color rgb="FFB6D7A8"/>
      </bottom>
    </border>
    <border>
      <left style="thin">
        <color rgb="FFB6D7A8"/>
      </left>
      <right style="thin">
        <color rgb="FF284E3F"/>
      </right>
      <top style="thin">
        <color rgb="FFB6D7A8"/>
      </top>
      <bottom style="thin">
        <color rgb="FFB6D7A8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B6D7A8"/>
      </right>
      <top style="thin">
        <color rgb="FFB6D7A8"/>
      </top>
      <bottom style="thin">
        <color rgb="FF284E3F"/>
      </bottom>
    </border>
    <border>
      <left style="thin">
        <color rgb="FFB6D7A8"/>
      </left>
      <right style="thin">
        <color rgb="FFB6D7A8"/>
      </right>
      <top style="thin">
        <color rgb="FFB6D7A8"/>
      </top>
      <bottom style="thin">
        <color rgb="FF284E3F"/>
      </bottom>
    </border>
    <border>
      <left style="thin">
        <color rgb="FFB6D7A8"/>
      </left>
      <right style="thin">
        <color rgb="FF284E3F"/>
      </right>
      <top style="thin">
        <color rgb="FFB6D7A8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284E3F"/>
      </right>
      <top style="thin">
        <color rgb="FFEFEFEF"/>
      </top>
      <bottom style="thin">
        <color rgb="FFEFEFEF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right style="thin">
        <color rgb="FF000000"/>
      </right>
      <bottom style="thin">
        <color rgb="FFFFFFFF"/>
      </bottom>
    </border>
    <border>
      <left style="thin">
        <color rgb="FFFFFFFF"/>
      </left>
      <right style="thin">
        <color rgb="FFFFFFFF"/>
      </right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</border>
    <border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Font="1"/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0" fillId="2" fontId="2" numFmtId="0" xfId="0" applyAlignment="1" applyFill="1" applyFont="1">
      <alignment horizontal="center" readingOrder="0" vertical="center"/>
    </xf>
    <xf borderId="0" fillId="3" fontId="2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0" fillId="4" fontId="2" numFmtId="0" xfId="0" applyAlignment="1" applyFill="1" applyFont="1">
      <alignment horizontal="center" vertical="center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1" fillId="0" fontId="7" numFmtId="0" xfId="0" applyAlignment="1" applyBorder="1" applyFont="1">
      <alignment horizontal="center" readingOrder="0" shrinkToFit="0" vertical="center" wrapText="0"/>
    </xf>
    <xf borderId="2" fillId="0" fontId="4" numFmtId="0" xfId="0" applyAlignment="1" applyBorder="1" applyFont="1">
      <alignment horizontal="center" readingOrder="0" shrinkToFit="0" vertical="center" wrapText="0"/>
    </xf>
    <xf borderId="2" fillId="0" fontId="4" numFmtId="0" xfId="0" applyAlignment="1" applyBorder="1" applyFont="1">
      <alignment horizontal="left" readingOrder="0" shrinkToFit="0" vertical="center" wrapText="0"/>
    </xf>
    <xf borderId="3" fillId="0" fontId="4" numFmtId="0" xfId="0" applyAlignment="1" applyBorder="1" applyFont="1">
      <alignment horizontal="left" readingOrder="0" shrinkToFit="0" vertical="center" wrapText="0"/>
    </xf>
    <xf borderId="4" fillId="0" fontId="4" numFmtId="0" xfId="0" applyAlignment="1" applyBorder="1" applyFont="1">
      <alignment readingOrder="0" shrinkToFit="0" vertical="center" wrapText="0"/>
    </xf>
    <xf borderId="5" fillId="0" fontId="4" numFmtId="164" xfId="0" applyAlignment="1" applyBorder="1" applyFont="1" applyNumberFormat="1">
      <alignment readingOrder="0" shrinkToFit="0" vertical="center" wrapText="0"/>
    </xf>
    <xf borderId="6" fillId="0" fontId="4" numFmtId="164" xfId="0" applyAlignment="1" applyBorder="1" applyFont="1" applyNumberFormat="1">
      <alignment readingOrder="0" shrinkToFit="0" vertical="center" wrapText="0"/>
    </xf>
    <xf borderId="7" fillId="5" fontId="4" numFmtId="0" xfId="0" applyAlignment="1" applyBorder="1" applyFill="1" applyFont="1">
      <alignment readingOrder="0" shrinkToFit="0" vertical="center" wrapText="0"/>
    </xf>
    <xf borderId="8" fillId="5" fontId="4" numFmtId="164" xfId="0" applyAlignment="1" applyBorder="1" applyFont="1" applyNumberFormat="1">
      <alignment readingOrder="0" shrinkToFit="0" vertical="center" wrapText="0"/>
    </xf>
    <xf borderId="9" fillId="5" fontId="4" numFmtId="164" xfId="0" applyAlignment="1" applyBorder="1" applyFont="1" applyNumberFormat="1">
      <alignment readingOrder="0" shrinkToFit="0" vertical="center" wrapText="0"/>
    </xf>
    <xf borderId="8" fillId="5" fontId="4" numFmtId="164" xfId="0" applyAlignment="1" applyBorder="1" applyFont="1" applyNumberFormat="1">
      <alignment shrinkToFit="0" vertical="center" wrapText="0"/>
    </xf>
    <xf borderId="9" fillId="5" fontId="4" numFmtId="164" xfId="0" applyAlignment="1" applyBorder="1" applyFont="1" applyNumberFormat="1">
      <alignment shrinkToFit="0" vertical="center" wrapText="0"/>
    </xf>
    <xf borderId="4" fillId="0" fontId="7" numFmtId="0" xfId="0" applyAlignment="1" applyBorder="1" applyFont="1">
      <alignment readingOrder="0" shrinkToFit="0" vertical="center" wrapText="0"/>
    </xf>
    <xf borderId="5" fillId="0" fontId="4" numFmtId="164" xfId="0" applyAlignment="1" applyBorder="1" applyFont="1" applyNumberFormat="1">
      <alignment shrinkToFit="0" vertical="center" wrapText="0"/>
    </xf>
    <xf borderId="5" fillId="0" fontId="4" numFmtId="164" xfId="0" applyAlignment="1" applyBorder="1" applyFont="1" applyNumberFormat="1">
      <alignment shrinkToFit="0" vertical="center" wrapText="0"/>
    </xf>
    <xf borderId="6" fillId="0" fontId="4" numFmtId="164" xfId="0" applyAlignment="1" applyBorder="1" applyFont="1" applyNumberFormat="1">
      <alignment shrinkToFit="0" vertical="center" wrapText="0"/>
    </xf>
    <xf borderId="10" fillId="0" fontId="4" numFmtId="0" xfId="0" applyAlignment="1" applyBorder="1" applyFont="1">
      <alignment readingOrder="0" shrinkToFit="0" vertical="center" wrapText="0"/>
    </xf>
    <xf borderId="11" fillId="0" fontId="4" numFmtId="164" xfId="0" applyAlignment="1" applyBorder="1" applyFont="1" applyNumberFormat="1">
      <alignment readingOrder="0" shrinkToFit="0" vertical="center" wrapText="0"/>
    </xf>
    <xf borderId="12" fillId="0" fontId="4" numFmtId="164" xfId="0" applyAlignment="1" applyBorder="1" applyFont="1" applyNumberFormat="1">
      <alignment readingOrder="0" shrinkToFit="0" vertical="center" wrapText="0"/>
    </xf>
    <xf borderId="10" fillId="0" fontId="7" numFmtId="0" xfId="0" applyAlignment="1" applyBorder="1" applyFont="1">
      <alignment readingOrder="0" shrinkToFit="0" vertical="center" wrapText="0"/>
    </xf>
    <xf borderId="11" fillId="0" fontId="4" numFmtId="164" xfId="0" applyAlignment="1" applyBorder="1" applyFont="1" applyNumberFormat="1">
      <alignment shrinkToFit="0" vertical="center" wrapText="0"/>
    </xf>
    <xf borderId="11" fillId="0" fontId="4" numFmtId="164" xfId="0" applyAlignment="1" applyBorder="1" applyFont="1" applyNumberFormat="1">
      <alignment shrinkToFit="0" vertical="center" wrapText="0"/>
    </xf>
    <xf borderId="12" fillId="0" fontId="4" numFmtId="164" xfId="0" applyAlignment="1" applyBorder="1" applyFont="1" applyNumberFormat="1">
      <alignment shrinkToFit="0" vertical="center" wrapText="0"/>
    </xf>
    <xf borderId="13" fillId="5" fontId="7" numFmtId="0" xfId="0" applyAlignment="1" applyBorder="1" applyFont="1">
      <alignment readingOrder="0" shrinkToFit="0" vertical="center" wrapText="0"/>
    </xf>
    <xf borderId="14" fillId="5" fontId="8" numFmtId="164" xfId="0" applyAlignment="1" applyBorder="1" applyFont="1" applyNumberFormat="1">
      <alignment horizontal="right" shrinkToFit="0" vertical="center" wrapText="0"/>
    </xf>
    <xf borderId="15" fillId="5" fontId="8" numFmtId="164" xfId="0" applyAlignment="1" applyBorder="1" applyFont="1" applyNumberFormat="1">
      <alignment horizontal="right" shrinkToFit="0" vertical="center" wrapText="0"/>
    </xf>
    <xf borderId="0" fillId="0" fontId="9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left" readingOrder="0" shrinkToFit="0" wrapText="1"/>
    </xf>
    <xf borderId="0" fillId="0" fontId="9" numFmtId="0" xfId="0" applyAlignment="1" applyFont="1">
      <alignment horizontal="center" readingOrder="0" vertical="center"/>
    </xf>
    <xf borderId="0" fillId="0" fontId="10" numFmtId="0" xfId="0" applyFont="1"/>
    <xf borderId="1" fillId="0" fontId="10" numFmtId="0" xfId="0" applyAlignment="1" applyBorder="1" applyFont="1">
      <alignment horizontal="left" readingOrder="0" shrinkToFit="0" vertical="center" wrapText="1"/>
    </xf>
    <xf borderId="2" fillId="0" fontId="10" numFmtId="0" xfId="0" applyAlignment="1" applyBorder="1" applyFont="1">
      <alignment horizontal="center" readingOrder="0" shrinkToFit="0" vertical="center" wrapText="0"/>
    </xf>
    <xf borderId="3" fillId="0" fontId="10" numFmtId="0" xfId="0" applyAlignment="1" applyBorder="1" applyFont="1">
      <alignment horizontal="center" readingOrder="0" shrinkToFit="0" vertical="center" wrapText="0"/>
    </xf>
    <xf borderId="4" fillId="0" fontId="10" numFmtId="0" xfId="0" applyAlignment="1" applyBorder="1" applyFont="1">
      <alignment shrinkToFit="0" vertical="center" wrapText="0"/>
    </xf>
    <xf borderId="5" fillId="0" fontId="10" numFmtId="164" xfId="0" applyAlignment="1" applyBorder="1" applyFont="1" applyNumberFormat="1">
      <alignment shrinkToFit="0" vertical="center" wrapText="0"/>
    </xf>
    <xf borderId="6" fillId="0" fontId="10" numFmtId="164" xfId="0" applyAlignment="1" applyBorder="1" applyFont="1" applyNumberFormat="1">
      <alignment shrinkToFit="0" vertical="center" wrapText="0"/>
    </xf>
    <xf borderId="0" fillId="0" fontId="11" numFmtId="0" xfId="0" applyAlignment="1" applyFont="1">
      <alignment readingOrder="0"/>
    </xf>
    <xf borderId="16" fillId="0" fontId="10" numFmtId="0" xfId="0" applyAlignment="1" applyBorder="1" applyFont="1">
      <alignment shrinkToFit="0" vertical="center" wrapText="0"/>
    </xf>
    <xf borderId="17" fillId="0" fontId="10" numFmtId="164" xfId="0" applyAlignment="1" applyBorder="1" applyFont="1" applyNumberFormat="1">
      <alignment shrinkToFit="0" vertical="center" wrapText="0"/>
    </xf>
    <xf borderId="18" fillId="0" fontId="10" numFmtId="164" xfId="0" applyAlignment="1" applyBorder="1" applyFont="1" applyNumberFormat="1">
      <alignment shrinkToFit="0" vertical="center" wrapText="0"/>
    </xf>
    <xf borderId="0" fillId="0" fontId="10" numFmtId="0" xfId="0" applyAlignment="1" applyFont="1">
      <alignment readingOrder="0"/>
    </xf>
    <xf borderId="19" fillId="0" fontId="12" numFmtId="0" xfId="0" applyAlignment="1" applyBorder="1" applyFont="1">
      <alignment horizontal="center" readingOrder="0" shrinkToFit="0" vertical="center" wrapText="0"/>
    </xf>
    <xf borderId="20" fillId="6" fontId="10" numFmtId="164" xfId="0" applyAlignment="1" applyBorder="1" applyFill="1" applyFont="1" applyNumberFormat="1">
      <alignment readingOrder="0" shrinkToFit="0" vertical="center" wrapText="0"/>
    </xf>
    <xf borderId="21" fillId="6" fontId="10" numFmtId="164" xfId="0" applyAlignment="1" applyBorder="1" applyFont="1" applyNumberFormat="1">
      <alignment readingOrder="0" shrinkToFit="0" vertical="center" wrapText="0"/>
    </xf>
    <xf borderId="5" fillId="3" fontId="10" numFmtId="164" xfId="0" applyAlignment="1" applyBorder="1" applyFont="1" applyNumberFormat="1">
      <alignment readingOrder="0" shrinkToFit="0" vertical="center" wrapText="0"/>
    </xf>
    <xf borderId="6" fillId="3" fontId="10" numFmtId="164" xfId="0" applyAlignment="1" applyBorder="1" applyFont="1" applyNumberFormat="1">
      <alignment readingOrder="0" shrinkToFit="0" vertical="center" wrapText="0"/>
    </xf>
    <xf borderId="19" fillId="0" fontId="13" numFmtId="0" xfId="0" applyAlignment="1" applyBorder="1" applyFont="1">
      <alignment horizontal="center" readingOrder="0" shrinkToFit="0" vertical="center" wrapText="0"/>
    </xf>
    <xf borderId="8" fillId="5" fontId="10" numFmtId="164" xfId="0" applyAlignment="1" applyBorder="1" applyFont="1" applyNumberFormat="1">
      <alignment shrinkToFit="0" vertical="center" wrapText="0"/>
    </xf>
    <xf borderId="9" fillId="5" fontId="10" numFmtId="164" xfId="0" applyAlignment="1" applyBorder="1" applyFont="1" applyNumberFormat="1">
      <alignment shrinkToFit="0" vertical="center" wrapText="0"/>
    </xf>
    <xf borderId="5" fillId="0" fontId="10" numFmtId="164" xfId="0" applyAlignment="1" applyBorder="1" applyFont="1" applyNumberFormat="1">
      <alignment readingOrder="0" shrinkToFit="0" vertical="center" wrapText="0"/>
    </xf>
    <xf borderId="6" fillId="0" fontId="10" numFmtId="164" xfId="0" applyAlignment="1" applyBorder="1" applyFont="1" applyNumberFormat="1">
      <alignment readingOrder="0" shrinkToFit="0" vertical="center" wrapText="0"/>
    </xf>
    <xf borderId="8" fillId="5" fontId="10" numFmtId="164" xfId="0" applyAlignment="1" applyBorder="1" applyFont="1" applyNumberFormat="1">
      <alignment readingOrder="0" shrinkToFit="0" vertical="center" wrapText="0"/>
    </xf>
    <xf borderId="9" fillId="5" fontId="10" numFmtId="164" xfId="0" applyAlignment="1" applyBorder="1" applyFont="1" applyNumberFormat="1">
      <alignment readingOrder="0" shrinkToFit="0" vertical="center" wrapText="0"/>
    </xf>
    <xf borderId="19" fillId="0" fontId="12" numFmtId="0" xfId="0" applyAlignment="1" applyBorder="1" applyFont="1">
      <alignment horizontal="center" shrinkToFit="0" vertical="center" wrapText="0"/>
    </xf>
    <xf borderId="17" fillId="0" fontId="10" numFmtId="164" xfId="0" applyAlignment="1" applyBorder="1" applyFont="1" applyNumberFormat="1">
      <alignment readingOrder="0" shrinkToFit="0" vertical="center" wrapText="0"/>
    </xf>
    <xf borderId="18" fillId="0" fontId="10" numFmtId="164" xfId="0" applyAlignment="1" applyBorder="1" applyFont="1" applyNumberFormat="1">
      <alignment readingOrder="0" shrinkToFit="0" vertical="center" wrapText="0"/>
    </xf>
    <xf borderId="14" fillId="5" fontId="10" numFmtId="164" xfId="0" applyAlignment="1" applyBorder="1" applyFont="1" applyNumberFormat="1">
      <alignment shrinkToFit="0" vertical="center" wrapText="0"/>
    </xf>
    <xf borderId="15" fillId="5" fontId="10" numFmtId="164" xfId="0" applyAlignment="1" applyBorder="1" applyFont="1" applyNumberFormat="1">
      <alignment shrinkToFit="0" vertical="center" wrapText="0"/>
    </xf>
    <xf borderId="0" fillId="0" fontId="14" numFmtId="0" xfId="0" applyAlignment="1" applyFont="1">
      <alignment readingOrder="0" shrinkToFit="0" vertical="bottom" wrapText="0"/>
    </xf>
    <xf borderId="22" fillId="0" fontId="15" numFmtId="0" xfId="0" applyAlignment="1" applyBorder="1" applyFont="1">
      <alignment readingOrder="0" shrinkToFit="0" vertical="bottom" wrapText="0"/>
    </xf>
    <xf borderId="23" fillId="0" fontId="16" numFmtId="0" xfId="0" applyBorder="1" applyFont="1"/>
    <xf borderId="23" fillId="0" fontId="17" numFmtId="0" xfId="0" applyAlignment="1" applyBorder="1" applyFont="1">
      <alignment shrinkToFit="0" vertical="bottom" wrapText="0"/>
    </xf>
    <xf borderId="24" fillId="0" fontId="17" numFmtId="0" xfId="0" applyAlignment="1" applyBorder="1" applyFont="1">
      <alignment shrinkToFit="0" vertical="bottom" wrapText="0"/>
    </xf>
    <xf borderId="0" fillId="0" fontId="17" numFmtId="0" xfId="0" applyAlignment="1" applyFont="1">
      <alignment shrinkToFit="0" vertical="bottom" wrapText="0"/>
    </xf>
    <xf borderId="25" fillId="0" fontId="17" numFmtId="0" xfId="0" applyAlignment="1" applyBorder="1" applyFont="1">
      <alignment shrinkToFit="0" vertical="bottom" wrapText="0"/>
    </xf>
    <xf borderId="26" fillId="0" fontId="17" numFmtId="0" xfId="0" applyAlignment="1" applyBorder="1" applyFont="1">
      <alignment shrinkToFit="0" vertical="bottom" wrapText="0"/>
    </xf>
    <xf borderId="0" fillId="0" fontId="17" numFmtId="0" xfId="0" applyAlignment="1" applyFont="1">
      <alignment readingOrder="0" shrinkToFit="0" vertical="bottom" wrapText="0"/>
    </xf>
    <xf borderId="25" fillId="0" fontId="17" numFmtId="0" xfId="0" applyAlignment="1" applyBorder="1" applyFont="1">
      <alignment readingOrder="0" shrinkToFit="0" vertical="bottom" wrapText="0"/>
    </xf>
    <xf borderId="22" fillId="7" fontId="17" numFmtId="0" xfId="0" applyAlignment="1" applyBorder="1" applyFill="1" applyFont="1">
      <alignment readingOrder="0" shrinkToFit="0" vertical="bottom" wrapText="0"/>
    </xf>
    <xf borderId="24" fillId="7" fontId="17" numFmtId="0" xfId="0" applyAlignment="1" applyBorder="1" applyFont="1">
      <alignment shrinkToFit="0" vertical="bottom" wrapText="0"/>
    </xf>
    <xf borderId="0" fillId="8" fontId="17" numFmtId="0" xfId="0" applyAlignment="1" applyFill="1" applyFont="1">
      <alignment readingOrder="0" shrinkToFit="0" vertical="bottom" wrapText="0"/>
    </xf>
    <xf borderId="27" fillId="8" fontId="17" numFmtId="0" xfId="0" applyAlignment="1" applyBorder="1" applyFont="1">
      <alignment readingOrder="0" shrinkToFit="0" vertical="bottom" wrapText="0"/>
    </xf>
    <xf borderId="28" fillId="8" fontId="17" numFmtId="0" xfId="0" applyAlignment="1" applyBorder="1" applyFont="1">
      <alignment shrinkToFit="0" vertical="bottom" wrapText="0"/>
    </xf>
    <xf borderId="29" fillId="8" fontId="17" numFmtId="10" xfId="0" applyAlignment="1" applyBorder="1" applyFont="1" applyNumberFormat="1">
      <alignment horizontal="right" readingOrder="0" shrinkToFit="0" vertical="bottom" wrapText="0"/>
    </xf>
    <xf borderId="25" fillId="8" fontId="17" numFmtId="0" xfId="0" applyAlignment="1" applyBorder="1" applyFont="1">
      <alignment readingOrder="0" shrinkToFit="0" vertical="bottom" wrapText="0"/>
    </xf>
    <xf borderId="0" fillId="8" fontId="17" numFmtId="9" xfId="0" applyAlignment="1" applyFont="1" applyNumberFormat="1">
      <alignment horizontal="right" readingOrder="0" shrinkToFit="0" vertical="bottom" wrapText="0"/>
    </xf>
    <xf borderId="0" fillId="8" fontId="17" numFmtId="0" xfId="0" applyAlignment="1" applyFont="1">
      <alignment shrinkToFit="0" vertical="bottom" wrapText="0"/>
    </xf>
    <xf borderId="26" fillId="8" fontId="17" numFmtId="0" xfId="0" applyAlignment="1" applyBorder="1" applyFont="1">
      <alignment shrinkToFit="0" vertical="bottom" wrapText="0"/>
    </xf>
    <xf borderId="0" fillId="0" fontId="18" numFmtId="0" xfId="0" applyAlignment="1" applyFont="1">
      <alignment horizontal="right" readingOrder="0" shrinkToFit="0" vertical="bottom" wrapText="0"/>
    </xf>
    <xf borderId="30" fillId="8" fontId="17" numFmtId="0" xfId="0" applyAlignment="1" applyBorder="1" applyFont="1">
      <alignment readingOrder="0" shrinkToFit="0" vertical="bottom" wrapText="0"/>
    </xf>
    <xf borderId="31" fillId="8" fontId="17" numFmtId="9" xfId="0" applyAlignment="1" applyBorder="1" applyFont="1" applyNumberFormat="1">
      <alignment horizontal="right" readingOrder="0" shrinkToFit="0" vertical="bottom" wrapText="0"/>
    </xf>
    <xf borderId="31" fillId="8" fontId="17" numFmtId="0" xfId="0" applyAlignment="1" applyBorder="1" applyFont="1">
      <alignment shrinkToFit="0" vertical="bottom" wrapText="0"/>
    </xf>
    <xf borderId="32" fillId="8" fontId="17" numFmtId="0" xfId="0" applyAlignment="1" applyBorder="1" applyFont="1">
      <alignment shrinkToFit="0" vertical="bottom" wrapText="0"/>
    </xf>
    <xf borderId="22" fillId="0" fontId="17" numFmtId="0" xfId="0" applyAlignment="1" applyBorder="1" applyFont="1">
      <alignment shrinkToFit="0" vertical="bottom" wrapText="0"/>
    </xf>
    <xf borderId="28" fillId="0" fontId="17" numFmtId="0" xfId="0" applyAlignment="1" applyBorder="1" applyFont="1">
      <alignment readingOrder="0" shrinkToFit="0" vertical="bottom" wrapText="0"/>
    </xf>
    <xf borderId="29" fillId="0" fontId="17" numFmtId="0" xfId="0" applyAlignment="1" applyBorder="1" applyFont="1">
      <alignment readingOrder="0" shrinkToFit="0" vertical="bottom" wrapText="0"/>
    </xf>
    <xf borderId="22" fillId="9" fontId="17" numFmtId="0" xfId="0" applyAlignment="1" applyBorder="1" applyFill="1" applyFont="1">
      <alignment readingOrder="0" shrinkToFit="0" vertical="bottom" wrapText="0"/>
    </xf>
    <xf borderId="23" fillId="9" fontId="19" numFmtId="0" xfId="0" applyAlignment="1" applyBorder="1" applyFont="1">
      <alignment horizontal="center" readingOrder="0" shrinkToFit="0" vertical="bottom" wrapText="0"/>
    </xf>
    <xf borderId="24" fillId="0" fontId="16" numFmtId="0" xfId="0" applyBorder="1" applyFont="1"/>
    <xf borderId="33" fillId="10" fontId="17" numFmtId="164" xfId="0" applyAlignment="1" applyBorder="1" applyFill="1" applyFont="1" applyNumberFormat="1">
      <alignment horizontal="right" readingOrder="0" shrinkToFit="0" vertical="bottom" wrapText="0"/>
    </xf>
    <xf borderId="34" fillId="10" fontId="17" numFmtId="164" xfId="0" applyAlignment="1" applyBorder="1" applyFont="1" applyNumberFormat="1">
      <alignment horizontal="right" readingOrder="0" shrinkToFit="0" vertical="bottom" wrapText="0"/>
    </xf>
    <xf borderId="34" fillId="10" fontId="17" numFmtId="164" xfId="0" applyAlignment="1" applyBorder="1" applyFont="1" applyNumberFormat="1">
      <alignment horizontal="center" readingOrder="0" shrinkToFit="0" vertical="bottom" wrapText="0"/>
    </xf>
    <xf borderId="30" fillId="9" fontId="17" numFmtId="0" xfId="0" applyAlignment="1" applyBorder="1" applyFont="1">
      <alignment shrinkToFit="0" vertical="bottom" wrapText="0"/>
    </xf>
    <xf borderId="31" fillId="9" fontId="17" numFmtId="0" xfId="0" applyAlignment="1" applyBorder="1" applyFont="1">
      <alignment shrinkToFit="0" vertical="bottom" wrapText="0"/>
    </xf>
    <xf borderId="31" fillId="9" fontId="17" numFmtId="0" xfId="0" applyAlignment="1" applyBorder="1" applyFont="1">
      <alignment readingOrder="0" shrinkToFit="0" vertical="bottom" wrapText="0"/>
    </xf>
    <xf borderId="32" fillId="0" fontId="16" numFmtId="0" xfId="0" applyBorder="1" applyFont="1"/>
    <xf borderId="33" fillId="10" fontId="17" numFmtId="0" xfId="0" applyAlignment="1" applyBorder="1" applyFont="1">
      <alignment horizontal="right" readingOrder="0" shrinkToFit="0" vertical="bottom" wrapText="0"/>
    </xf>
    <xf borderId="34" fillId="10" fontId="17" numFmtId="0" xfId="0" applyAlignment="1" applyBorder="1" applyFont="1">
      <alignment horizontal="right" readingOrder="0" shrinkToFit="0" vertical="bottom" wrapText="0"/>
    </xf>
    <xf borderId="35" fillId="10" fontId="17" numFmtId="0" xfId="0" applyAlignment="1" applyBorder="1" applyFont="1">
      <alignment horizontal="right" readingOrder="0" shrinkToFit="0" vertical="bottom" wrapText="0"/>
    </xf>
    <xf borderId="36" fillId="0" fontId="17" numFmtId="0" xfId="0" applyAlignment="1" applyBorder="1" applyFont="1">
      <alignment shrinkToFit="0" vertical="bottom" wrapText="0"/>
    </xf>
    <xf borderId="37" fillId="0" fontId="17" numFmtId="0" xfId="0" applyAlignment="1" applyBorder="1" applyFont="1">
      <alignment shrinkToFit="0" vertical="bottom" wrapText="0"/>
    </xf>
    <xf borderId="22" fillId="0" fontId="17" numFmtId="0" xfId="0" applyAlignment="1" applyBorder="1" applyFont="1">
      <alignment readingOrder="0" shrinkToFit="0" vertical="bottom" wrapText="0"/>
    </xf>
    <xf borderId="23" fillId="10" fontId="17" numFmtId="164" xfId="0" applyAlignment="1" applyBorder="1" applyFont="1" applyNumberFormat="1">
      <alignment horizontal="right" readingOrder="0" shrinkToFit="0" vertical="bottom" wrapText="0"/>
    </xf>
    <xf borderId="24" fillId="10" fontId="17" numFmtId="0" xfId="0" applyAlignment="1" applyBorder="1" applyFont="1">
      <alignment shrinkToFit="0" vertical="bottom" wrapText="0"/>
    </xf>
    <xf borderId="38" fillId="8" fontId="17" numFmtId="164" xfId="0" applyAlignment="1" applyBorder="1" applyFont="1" applyNumberFormat="1">
      <alignment horizontal="right" readingOrder="0" shrinkToFit="0" vertical="bottom" wrapText="0"/>
    </xf>
    <xf borderId="39" fillId="8" fontId="17" numFmtId="164" xfId="0" applyAlignment="1" applyBorder="1" applyFont="1" applyNumberFormat="1">
      <alignment horizontal="right" readingOrder="0" shrinkToFit="0" vertical="bottom" wrapText="0"/>
    </xf>
    <xf borderId="39" fillId="8" fontId="17" numFmtId="164" xfId="0" applyAlignment="1" applyBorder="1" applyFont="1" applyNumberFormat="1">
      <alignment horizontal="center" readingOrder="0" shrinkToFit="0" vertical="bottom" wrapText="0"/>
    </xf>
    <xf borderId="29" fillId="8" fontId="17" numFmtId="164" xfId="0" applyAlignment="1" applyBorder="1" applyFont="1" applyNumberFormat="1">
      <alignment horizontal="right" readingOrder="0" shrinkToFit="0" vertical="bottom" wrapText="0"/>
    </xf>
    <xf borderId="30" fillId="0" fontId="17" numFmtId="0" xfId="0" applyAlignment="1" applyBorder="1" applyFont="1">
      <alignment readingOrder="0" shrinkToFit="0" vertical="bottom" wrapText="0"/>
    </xf>
    <xf borderId="31" fillId="0" fontId="16" numFmtId="0" xfId="0" applyBorder="1" applyFont="1"/>
    <xf borderId="31" fillId="10" fontId="17" numFmtId="164" xfId="0" applyAlignment="1" applyBorder="1" applyFont="1" applyNumberFormat="1">
      <alignment horizontal="right" readingOrder="0" shrinkToFit="0" vertical="bottom" wrapText="0"/>
    </xf>
    <xf borderId="32" fillId="10" fontId="17" numFmtId="0" xfId="0" applyAlignment="1" applyBorder="1" applyFont="1">
      <alignment shrinkToFit="0" vertical="bottom" wrapText="0"/>
    </xf>
    <xf borderId="30" fillId="0" fontId="17" numFmtId="0" xfId="0" applyAlignment="1" applyBorder="1" applyFont="1">
      <alignment shrinkToFit="0" vertical="bottom" wrapText="0"/>
    </xf>
    <xf borderId="31" fillId="0" fontId="17" numFmtId="0" xfId="0" applyAlignment="1" applyBorder="1" applyFont="1">
      <alignment shrinkToFit="0" vertical="bottom" wrapText="0"/>
    </xf>
    <xf borderId="32" fillId="0" fontId="17" numFmtId="0" xfId="0" applyAlignment="1" applyBorder="1" applyFont="1">
      <alignment shrinkToFit="0" vertical="bottom" wrapText="0"/>
    </xf>
    <xf borderId="22" fillId="0" fontId="17" numFmtId="0" xfId="0" applyAlignment="1" applyBorder="1" applyFont="1">
      <alignment horizontal="center" readingOrder="0"/>
    </xf>
    <xf borderId="23" fillId="8" fontId="17" numFmtId="164" xfId="0" applyAlignment="1" applyBorder="1" applyFont="1" applyNumberFormat="1">
      <alignment horizontal="center" readingOrder="0" shrinkToFit="0" wrapText="0"/>
    </xf>
    <xf borderId="25" fillId="0" fontId="16" numFmtId="0" xfId="0" applyBorder="1" applyFont="1"/>
    <xf borderId="26" fillId="0" fontId="16" numFmtId="0" xfId="0" applyBorder="1" applyFont="1"/>
    <xf borderId="30" fillId="0" fontId="16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0" fillId="8" fontId="20" numFmtId="0" xfId="0" applyAlignment="1" applyFont="1">
      <alignment horizontal="left" readingOrder="0" shrinkToFit="0" vertical="bottom" wrapText="0"/>
    </xf>
    <xf borderId="27" fillId="8" fontId="20" numFmtId="0" xfId="0" applyAlignment="1" applyBorder="1" applyFont="1">
      <alignment horizontal="left" readingOrder="0" shrinkToFit="0" vertical="bottom" wrapText="0"/>
    </xf>
    <xf borderId="29" fillId="0" fontId="16" numFmtId="0" xfId="0" applyBorder="1" applyFont="1"/>
    <xf borderId="0" fillId="0" fontId="21" numFmtId="0" xfId="0" applyAlignment="1" applyFont="1">
      <alignment shrinkToFit="0" vertical="bottom" wrapText="0"/>
    </xf>
    <xf borderId="26" fillId="0" fontId="21" numFmtId="0" xfId="0" applyAlignment="1" applyBorder="1" applyFont="1">
      <alignment shrinkToFit="0" vertical="bottom" wrapText="0"/>
    </xf>
    <xf borderId="25" fillId="0" fontId="21" numFmtId="0" xfId="0" applyAlignment="1" applyBorder="1" applyFont="1">
      <alignment shrinkToFit="0" vertical="bottom" wrapText="0"/>
    </xf>
    <xf borderId="0" fillId="0" fontId="22" numFmtId="0" xfId="0" applyAlignment="1" applyFont="1">
      <alignment readingOrder="0" shrinkToFit="0" vertical="bottom" wrapText="0"/>
    </xf>
    <xf borderId="19" fillId="0" fontId="22" numFmtId="0" xfId="0" applyAlignment="1" applyBorder="1" applyFont="1">
      <alignment readingOrder="0" shrinkToFit="0" vertical="bottom" wrapText="0"/>
    </xf>
    <xf borderId="29" fillId="0" fontId="22" numFmtId="0" xfId="0" applyAlignment="1" applyBorder="1" applyFont="1">
      <alignment shrinkToFit="0" vertical="bottom" wrapText="0"/>
    </xf>
    <xf borderId="29" fillId="8" fontId="22" numFmtId="10" xfId="0" applyAlignment="1" applyBorder="1" applyFont="1" applyNumberFormat="1">
      <alignment horizontal="right" readingOrder="0" shrinkToFit="0" vertical="bottom" wrapText="0"/>
    </xf>
    <xf borderId="0" fillId="0" fontId="22" numFmtId="0" xfId="0" applyAlignment="1" applyFont="1">
      <alignment shrinkToFit="0" vertical="bottom" wrapText="0"/>
    </xf>
    <xf borderId="25" fillId="0" fontId="22" numFmtId="0" xfId="0" applyAlignment="1" applyBorder="1" applyFont="1">
      <alignment shrinkToFit="0" vertical="bottom" wrapText="0"/>
    </xf>
    <xf borderId="28" fillId="0" fontId="22" numFmtId="0" xfId="0" applyAlignment="1" applyBorder="1" applyFont="1">
      <alignment shrinkToFit="0" vertical="bottom" wrapText="0"/>
    </xf>
    <xf borderId="22" fillId="0" fontId="22" numFmtId="0" xfId="0" applyAlignment="1" applyBorder="1" applyFont="1">
      <alignment horizontal="center" shrinkToFit="0" vertical="bottom" wrapText="0"/>
    </xf>
    <xf borderId="23" fillId="10" fontId="22" numFmtId="164" xfId="0" applyAlignment="1" applyBorder="1" applyFont="1" applyNumberFormat="1">
      <alignment horizontal="center" readingOrder="0" shrinkToFit="0" vertical="bottom" wrapText="0"/>
    </xf>
    <xf borderId="23" fillId="0" fontId="22" numFmtId="0" xfId="0" applyAlignment="1" applyBorder="1" applyFont="1">
      <alignment horizontal="center" shrinkToFit="0" vertical="bottom" wrapText="0"/>
    </xf>
    <xf borderId="23" fillId="0" fontId="22" numFmtId="0" xfId="0" applyAlignment="1" applyBorder="1" applyFont="1">
      <alignment horizontal="center" readingOrder="0" shrinkToFit="0" vertical="bottom" wrapText="0"/>
    </xf>
    <xf borderId="22" fillId="10" fontId="22" numFmtId="164" xfId="0" applyAlignment="1" applyBorder="1" applyFont="1" applyNumberFormat="1">
      <alignment horizontal="center" readingOrder="0" shrinkToFit="0" vertical="bottom" wrapText="0"/>
    </xf>
    <xf borderId="40" fillId="0" fontId="22" numFmtId="0" xfId="0" applyAlignment="1" applyBorder="1" applyFont="1">
      <alignment readingOrder="0" shrinkToFit="0" vertical="bottom" wrapText="0"/>
    </xf>
    <xf borderId="31" fillId="0" fontId="22" numFmtId="0" xfId="0" applyAlignment="1" applyBorder="1" applyFont="1">
      <alignment shrinkToFit="0" vertical="bottom" wrapText="0"/>
    </xf>
    <xf borderId="30" fillId="0" fontId="22" numFmtId="0" xfId="0" applyAlignment="1" applyBorder="1" applyFont="1">
      <alignment horizontal="center" shrinkToFit="0" vertical="bottom" wrapText="0"/>
    </xf>
    <xf borderId="31" fillId="10" fontId="22" numFmtId="164" xfId="0" applyAlignment="1" applyBorder="1" applyFont="1" applyNumberFormat="1">
      <alignment horizontal="center" readingOrder="0" shrinkToFit="0" vertical="bottom" wrapText="0"/>
    </xf>
    <xf borderId="31" fillId="0" fontId="22" numFmtId="0" xfId="0" applyAlignment="1" applyBorder="1" applyFont="1">
      <alignment horizontal="center" shrinkToFit="0" vertical="bottom" wrapText="0"/>
    </xf>
    <xf borderId="27" fillId="10" fontId="22" numFmtId="164" xfId="0" applyAlignment="1" applyBorder="1" applyFont="1" applyNumberFormat="1">
      <alignment horizontal="center" readingOrder="0" shrinkToFit="0" vertical="bottom" wrapText="0"/>
    </xf>
    <xf borderId="0" fillId="8" fontId="20" numFmtId="0" xfId="0" applyAlignment="1" applyFont="1">
      <alignment readingOrder="0" shrinkToFit="0" vertical="bottom" wrapText="0"/>
    </xf>
    <xf borderId="27" fillId="8" fontId="20" numFmtId="0" xfId="0" applyAlignment="1" applyBorder="1" applyFont="1">
      <alignment readingOrder="0" shrinkToFit="0" vertical="bottom" wrapText="0"/>
    </xf>
    <xf borderId="28" fillId="0" fontId="16" numFmtId="0" xfId="0" applyBorder="1" applyFont="1"/>
    <xf borderId="27" fillId="8" fontId="23" numFmtId="164" xfId="0" applyAlignment="1" applyBorder="1" applyFont="1" applyNumberFormat="1">
      <alignment horizontal="left" readingOrder="0" shrinkToFit="0" vertical="bottom" wrapText="0"/>
    </xf>
    <xf borderId="22" fillId="8" fontId="23" numFmtId="10" xfId="0" applyAlignment="1" applyBorder="1" applyFont="1" applyNumberFormat="1">
      <alignment horizontal="right" readingOrder="0" shrinkToFit="0" vertical="bottom" wrapText="0"/>
    </xf>
    <xf borderId="32" fillId="0" fontId="22" numFmtId="0" xfId="0" applyAlignment="1" applyBorder="1" applyFont="1">
      <alignment shrinkToFit="0" vertical="bottom" wrapText="0"/>
    </xf>
    <xf borderId="31" fillId="0" fontId="21" numFmtId="0" xfId="0" applyAlignment="1" applyBorder="1" applyFont="1">
      <alignment shrinkToFit="0" vertical="bottom" wrapText="0"/>
    </xf>
    <xf borderId="30" fillId="8" fontId="23" numFmtId="10" xfId="0" applyAlignment="1" applyBorder="1" applyFont="1" applyNumberFormat="1">
      <alignment horizontal="right" readingOrder="0" shrinkToFit="0" vertical="bottom" wrapText="0"/>
    </xf>
    <xf borderId="30" fillId="0" fontId="21" numFmtId="0" xfId="0" applyAlignment="1" applyBorder="1" applyFont="1">
      <alignment shrinkToFit="0" vertical="bottom" wrapText="0"/>
    </xf>
    <xf borderId="32" fillId="0" fontId="21" numFmtId="0" xfId="0" applyAlignment="1" applyBorder="1" applyFont="1">
      <alignment shrinkToFit="0" vertical="bottom" wrapText="0"/>
    </xf>
    <xf borderId="30" fillId="11" fontId="20" numFmtId="0" xfId="0" applyAlignment="1" applyBorder="1" applyFill="1" applyFont="1">
      <alignment horizontal="center" readingOrder="0" shrinkToFit="0" wrapText="0"/>
    </xf>
    <xf borderId="32" fillId="11" fontId="20" numFmtId="0" xfId="0" applyAlignment="1" applyBorder="1" applyFont="1">
      <alignment horizontal="center" readingOrder="0"/>
    </xf>
    <xf borderId="25" fillId="0" fontId="23" numFmtId="0" xfId="0" applyAlignment="1" applyBorder="1" applyFont="1">
      <alignment shrinkToFit="0" vertical="bottom" wrapText="0"/>
    </xf>
    <xf borderId="26" fillId="0" fontId="23" numFmtId="0" xfId="0" applyAlignment="1" applyBorder="1" applyFont="1">
      <alignment shrinkToFit="0" vertical="bottom" wrapText="0"/>
    </xf>
    <xf borderId="0" fillId="12" fontId="24" numFmtId="0" xfId="0" applyAlignment="1" applyFill="1" applyFont="1">
      <alignment readingOrder="0"/>
    </xf>
    <xf borderId="25" fillId="0" fontId="20" numFmtId="0" xfId="0" applyAlignment="1" applyBorder="1" applyFont="1">
      <alignment readingOrder="0" shrinkToFit="0" vertical="bottom" wrapText="0"/>
    </xf>
    <xf borderId="0" fillId="12" fontId="4" numFmtId="0" xfId="0" applyAlignment="1" applyFont="1">
      <alignment readingOrder="0"/>
    </xf>
    <xf borderId="19" fillId="0" fontId="23" numFmtId="0" xfId="0" applyAlignment="1" applyBorder="1" applyFont="1">
      <alignment readingOrder="0" shrinkToFit="0" vertical="bottom" wrapText="0"/>
    </xf>
    <xf borderId="29" fillId="13" fontId="23" numFmtId="164" xfId="0" applyAlignment="1" applyBorder="1" applyFill="1" applyFont="1" applyNumberFormat="1">
      <alignment horizontal="right" readingOrder="0" shrinkToFit="0" vertical="bottom" wrapText="0"/>
    </xf>
    <xf borderId="40" fillId="0" fontId="23" numFmtId="0" xfId="0" applyAlignment="1" applyBorder="1" applyFont="1">
      <alignment shrinkToFit="0" vertical="bottom" wrapText="0"/>
    </xf>
    <xf borderId="32" fillId="13" fontId="23" numFmtId="164" xfId="0" applyAlignment="1" applyBorder="1" applyFont="1" applyNumberFormat="1">
      <alignment shrinkToFit="0" vertical="bottom" wrapText="0"/>
    </xf>
    <xf borderId="40" fillId="0" fontId="23" numFmtId="0" xfId="0" applyAlignment="1" applyBorder="1" applyFont="1">
      <alignment readingOrder="0" shrinkToFit="0" vertical="bottom" wrapText="0"/>
    </xf>
    <xf borderId="32" fillId="13" fontId="23" numFmtId="164" xfId="0" applyAlignment="1" applyBorder="1" applyFont="1" applyNumberFormat="1">
      <alignment horizontal="right" readingOrder="0" shrinkToFit="0" vertical="bottom" wrapText="0"/>
    </xf>
    <xf borderId="26" fillId="0" fontId="23" numFmtId="164" xfId="0" applyAlignment="1" applyBorder="1" applyFont="1" applyNumberFormat="1">
      <alignment shrinkToFit="0" vertical="bottom" wrapText="0"/>
    </xf>
    <xf borderId="19" fillId="0" fontId="20" numFmtId="0" xfId="0" applyAlignment="1" applyBorder="1" applyFont="1">
      <alignment readingOrder="0" shrinkToFit="0" vertical="bottom" wrapText="0"/>
    </xf>
    <xf borderId="29" fillId="8" fontId="23" numFmtId="164" xfId="0" applyAlignment="1" applyBorder="1" applyFont="1" applyNumberFormat="1">
      <alignment horizontal="right" readingOrder="0" shrinkToFit="0" vertical="bottom" wrapText="0"/>
    </xf>
    <xf borderId="25" fillId="0" fontId="20" numFmtId="0" xfId="0" applyAlignment="1" applyBorder="1" applyFont="1">
      <alignment shrinkToFit="0" vertical="bottom" wrapText="0"/>
    </xf>
    <xf borderId="25" fillId="0" fontId="23" numFmtId="0" xfId="0" applyAlignment="1" applyBorder="1" applyFont="1">
      <alignment readingOrder="0" shrinkToFit="0" vertical="bottom" wrapText="0"/>
    </xf>
    <xf borderId="26" fillId="13" fontId="23" numFmtId="164" xfId="0" applyAlignment="1" applyBorder="1" applyFont="1" applyNumberFormat="1">
      <alignment horizontal="right" readingOrder="0" shrinkToFit="0" vertical="bottom" wrapText="0"/>
    </xf>
    <xf borderId="19" fillId="0" fontId="25" numFmtId="0" xfId="0" applyAlignment="1" applyBorder="1" applyFont="1">
      <alignment readingOrder="0" shrinkToFit="0" vertical="bottom" wrapText="0"/>
    </xf>
    <xf borderId="29" fillId="13" fontId="25" numFmtId="164" xfId="0" applyAlignment="1" applyBorder="1" applyFont="1" applyNumberFormat="1">
      <alignment horizontal="right" readingOrder="0" shrinkToFit="0" vertical="bottom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">
    <tableStyle count="2" pivot="0" name="Assumptions Capital Investment -style">
      <tableStyleElement dxfId="1" type="firstRowStripe"/>
      <tableStyleElement dxfId="2" type="secondRowStripe"/>
    </tableStyle>
    <tableStyle count="3" pivot="0" name="Income Statement-style">
      <tableStyleElement dxfId="3" type="headerRow"/>
      <tableStyleElement dxfId="2" type="firstRowStripe"/>
      <tableStyleElement dxfId="1" type="secondRowStripe"/>
    </tableStyle>
    <tableStyle count="3" pivot="0" name="cash flow-style">
      <tableStyleElement dxfId="3" type="headerRow"/>
      <tableStyleElement dxfId="2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Revenue V EBIT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Revenue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'Income Statement'!$B$7:$F$7</c:f>
            </c:strRef>
          </c:cat>
          <c:val>
            <c:numRef>
              <c:f>'Income Statement'!$B$11:$F$11</c:f>
              <c:numCache/>
            </c:numRef>
          </c:val>
        </c:ser>
        <c:ser>
          <c:idx val="1"/>
          <c:order val="1"/>
          <c:tx>
            <c:v>EBITA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'Income Statement'!$B$7:$F$7</c:f>
            </c:strRef>
          </c:cat>
          <c:val>
            <c:numRef>
              <c:f>'Income Statement'!$B$24:$F$24</c:f>
              <c:numCache/>
            </c:numRef>
          </c:val>
        </c:ser>
        <c:axId val="466065090"/>
        <c:axId val="2067353236"/>
      </c:barChart>
      <c:catAx>
        <c:axId val="46606509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7353236"/>
      </c:catAx>
      <c:valAx>
        <c:axId val="20673532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606509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866775</xdr:colOff>
      <xdr:row>4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E14:F14" displayName="Table_1" name="Table_1" id="1">
  <tableColumns count="2">
    <tableColumn name="Column1" id="1"/>
    <tableColumn name="Column2" id="2"/>
  </tableColumns>
  <tableStyleInfo name="Assumptions Capital Investment -style" showColumnStripes="0" showFirstColumn="1" showLastColumn="1" showRowStripes="1"/>
</table>
</file>

<file path=xl/tables/table2.xml><?xml version="1.0" encoding="utf-8"?>
<table xmlns="http://schemas.openxmlformats.org/spreadsheetml/2006/main" ref="A7:F24" displayName="Income_Statement" name="Income_Statement" id="2">
  <tableColumns count="6">
    <tableColumn name="Revenue" id="1"/>
    <tableColumn name="YEAR 1" id="2"/>
    <tableColumn name="YEAR 2" id="3"/>
    <tableColumn name="YEAR 3" id="4"/>
    <tableColumn name="YEAR 4" id="5"/>
    <tableColumn name="YEAR 5" id="6"/>
  </tableColumns>
  <tableStyleInfo name="Income Statement-style" showColumnStripes="0" showFirstColumn="1" showLastColumn="1" showRowStripes="1"/>
</table>
</file>

<file path=xl/tables/table3.xml><?xml version="1.0" encoding="utf-8"?>
<table xmlns="http://schemas.openxmlformats.org/spreadsheetml/2006/main" ref="A6:F25" displayName="CASH_FLOW_STATEMENT" name="CASH_FLOW_STATEMENT" id="3">
  <tableColumns count="6">
    <tableColumn name="CASH FLOW FROM OPERATING ACTIVITIES" id="1"/>
    <tableColumn name="YEAR 1" id="2"/>
    <tableColumn name="YEAR 2" id="3"/>
    <tableColumn name="YEAR 3" id="4"/>
    <tableColumn name="YEAR 4" id="5"/>
    <tableColumn name="YEAR 5" id="6"/>
  </tableColumns>
  <tableStyleInfo name="cash flow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google.com/search?q=startup+grants+in+india+range&amp;sca_esv=b657747ebb3c27f5&amp;rlz=1C1BNSD_enQA971QA971&amp;ei=UWfsZ4PuC6Op2roPuoii4Qo&amp;ved=0ahUKEwjD2vrb77eMAxWjlFYBHTqEKKwQ4dUDCBA&amp;uact=5&amp;oq=startup+grants+in+india+range&amp;gs_lp=Egxnd3Mtd2l6LXNlcnAiHXN0YXJ0dXAgZ3JhbnRzIGluIGluZGlhIHJhbmdlMgYQABgWGB4yCxAAGIAEGIYDGIoFMgsQABiABBiGAxiKBTIFEAAY7wUyCBAAGIAEGKIEMggQABiiBBiJBUjvElDWAVj1EXABeAGQAQCYAZICoAGvCKoBAzItNLgBA8gBAPgBAZgCBaACwAjCAgoQABiwAxjWBBhHmAMAiAYBkAYIkgcFMS4wLjSgB_gU&amp;sclient=gws-wiz-serp" TargetMode="External"/><Relationship Id="rId3" Type="http://schemas.openxmlformats.org/officeDocument/2006/relationships/hyperlink" Target="https://www.google.com/search?q=cost+to+host+a+website+per+month+for+500+users&amp;sca_esv=0a8d1f523c448617&amp;rlz=1C1BNSD_enQA971QA971&amp;ei=A_XrZ4OxOLL81e8P6d3EqAg&amp;oq=cost+to+host+a+website+per+month+for+500+&amp;gs_lp=Egxnd3Mtd2l6LXNlcnAiKWNvc3QgdG8gaG9zdCBhIHdlYnNpdGUgcGVyIG1vbnRoIGZvciA1MDAgKgIIADIFECEYoAEyBRAhGKABMgUQIRigAUiwjAFQxA1YkIIBcAZ4AJABAJgBhQKgAewfqgEGMC4yMi4yuAEDyAEA-AEBmAIcoAKUHsICChAAGLADGNYEGEfCAgQQIRgVwgIHECEYoAEYCsICBRAhGJ8FwgILEAAYgAQYkQIYigXCAgUQABiABMICBhAAGBYYHsICCxAAGIAEGIYDGIoFwgIIEAAYgAQYogTCAggQABgWGAoYHsICBRAAGO8FmAMA4gMFEgExIECIBgGQBgiSBwY2LjE4LjSgB_enAQ&amp;sclient=gws-wiz-serp" TargetMode="External"/><Relationship Id="rId4" Type="http://schemas.openxmlformats.org/officeDocument/2006/relationships/hyperlink" Target="https://www.99acres.com/warehouse-for-rent-lease-in-okhla-industrial-area-south-delhi-1450-sq-ft-spid-Y79186161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Relationship Id="rId8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5.0"/>
    <col customWidth="1" min="2" max="2" width="68.0"/>
    <col customWidth="1" min="3" max="3" width="66.13"/>
    <col customWidth="1" min="4" max="4" width="72.13"/>
    <col customWidth="1" min="5" max="5" width="83.0"/>
    <col customWidth="1" min="6" max="6" width="76.75"/>
    <col customWidth="1" min="8" max="8" width="64.63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4"/>
      <c r="H1" s="4" t="s">
        <v>5</v>
      </c>
      <c r="I1" s="4"/>
      <c r="J1" s="4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/>
      <c r="B2" s="2"/>
      <c r="C2" s="4"/>
      <c r="D2" s="4"/>
      <c r="E2" s="4"/>
      <c r="F2" s="5"/>
      <c r="G2" s="4"/>
      <c r="H2" s="6" t="s">
        <v>6</v>
      </c>
      <c r="I2" s="4"/>
      <c r="J2" s="4"/>
      <c r="K2" s="4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3" t="s">
        <v>7</v>
      </c>
      <c r="B3" s="2"/>
      <c r="C3" s="7" t="s">
        <v>8</v>
      </c>
      <c r="D3" s="7" t="s">
        <v>8</v>
      </c>
      <c r="E3" s="7" t="s">
        <v>8</v>
      </c>
      <c r="F3" s="7" t="s">
        <v>8</v>
      </c>
      <c r="G3" s="4"/>
      <c r="H3" s="6" t="s">
        <v>9</v>
      </c>
      <c r="I3" s="4"/>
      <c r="J3" s="4"/>
      <c r="K3" s="4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4"/>
      <c r="B4" s="3" t="s">
        <v>10</v>
      </c>
      <c r="C4" s="8" t="s">
        <v>11</v>
      </c>
      <c r="D4" s="8" t="s">
        <v>12</v>
      </c>
      <c r="E4" s="8" t="s">
        <v>13</v>
      </c>
      <c r="F4" s="8" t="s">
        <v>14</v>
      </c>
      <c r="G4" s="4"/>
      <c r="H4" s="6" t="s">
        <v>15</v>
      </c>
      <c r="I4" s="4"/>
      <c r="J4" s="4"/>
      <c r="K4" s="4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4"/>
      <c r="B5" s="3"/>
      <c r="C5" s="5"/>
      <c r="D5" s="8" t="s">
        <v>16</v>
      </c>
      <c r="E5" s="3" t="s">
        <v>17</v>
      </c>
      <c r="F5" s="3" t="s">
        <v>18</v>
      </c>
      <c r="G5" s="4"/>
      <c r="H5" s="4"/>
      <c r="I5" s="4"/>
      <c r="J5" s="4"/>
      <c r="K5" s="4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3" t="s">
        <v>19</v>
      </c>
      <c r="B6" s="3">
        <v>1500.0</v>
      </c>
      <c r="C6" s="7" t="s">
        <v>20</v>
      </c>
      <c r="D6" s="7" t="s">
        <v>20</v>
      </c>
      <c r="E6" s="7" t="s">
        <v>20</v>
      </c>
      <c r="F6" s="7" t="s">
        <v>20</v>
      </c>
      <c r="G6" s="4"/>
      <c r="H6" s="4"/>
      <c r="I6" s="4"/>
      <c r="J6" s="4"/>
      <c r="K6" s="4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4"/>
      <c r="B7" s="3"/>
      <c r="C7" s="3" t="s">
        <v>21</v>
      </c>
      <c r="D7" s="3" t="s">
        <v>22</v>
      </c>
      <c r="E7" s="3" t="s">
        <v>23</v>
      </c>
      <c r="F7" s="3" t="s">
        <v>24</v>
      </c>
      <c r="G7" s="4"/>
      <c r="H7" s="4"/>
      <c r="I7" s="4"/>
      <c r="J7" s="4"/>
      <c r="K7" s="4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3" t="s">
        <v>25</v>
      </c>
      <c r="B8" s="3">
        <v>4500.0</v>
      </c>
      <c r="C8" s="3"/>
      <c r="D8" s="3" t="s">
        <v>26</v>
      </c>
      <c r="E8" s="3"/>
      <c r="F8" s="5"/>
      <c r="G8" s="4"/>
      <c r="H8" s="4"/>
      <c r="I8" s="4"/>
      <c r="J8" s="4"/>
      <c r="K8" s="4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4"/>
      <c r="B9" s="3"/>
      <c r="C9" s="7" t="s">
        <v>27</v>
      </c>
      <c r="D9" s="7" t="s">
        <v>27</v>
      </c>
      <c r="E9" s="7" t="s">
        <v>27</v>
      </c>
      <c r="F9" s="7" t="s">
        <v>27</v>
      </c>
      <c r="G9" s="4"/>
      <c r="H9" s="4"/>
      <c r="I9" s="4"/>
      <c r="J9" s="4"/>
      <c r="K9" s="4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3" t="s">
        <v>28</v>
      </c>
      <c r="B10" s="3">
        <v>10000.0</v>
      </c>
      <c r="C10" s="9" t="s">
        <v>29</v>
      </c>
      <c r="D10" s="9" t="s">
        <v>30</v>
      </c>
      <c r="E10" s="3" t="s">
        <v>31</v>
      </c>
      <c r="F10" s="3" t="s">
        <v>32</v>
      </c>
      <c r="G10" s="4"/>
      <c r="H10" s="4"/>
      <c r="I10" s="4"/>
      <c r="J10" s="4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4"/>
      <c r="B11" s="3"/>
      <c r="C11" s="4"/>
      <c r="D11" s="9" t="s">
        <v>33</v>
      </c>
      <c r="E11" s="5"/>
      <c r="F11" s="5"/>
      <c r="G11" s="4"/>
      <c r="H11" s="4"/>
      <c r="I11" s="4"/>
      <c r="J11" s="4"/>
      <c r="K11" s="4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3" t="s">
        <v>34</v>
      </c>
      <c r="B12" s="3">
        <v>11000.0</v>
      </c>
      <c r="C12" s="7" t="s">
        <v>35</v>
      </c>
      <c r="D12" s="7" t="s">
        <v>35</v>
      </c>
      <c r="E12" s="7" t="s">
        <v>35</v>
      </c>
      <c r="F12" s="7" t="s">
        <v>35</v>
      </c>
      <c r="G12" s="4"/>
      <c r="H12" s="4"/>
      <c r="I12" s="4"/>
      <c r="J12" s="4"/>
      <c r="K12" s="4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4"/>
      <c r="B13" s="3"/>
      <c r="C13" s="3" t="s">
        <v>36</v>
      </c>
      <c r="D13" s="3" t="s">
        <v>37</v>
      </c>
      <c r="E13" s="3" t="s">
        <v>38</v>
      </c>
      <c r="F13" s="3" t="s">
        <v>39</v>
      </c>
      <c r="G13" s="4"/>
      <c r="H13" s="4"/>
      <c r="I13" s="4"/>
      <c r="J13" s="4"/>
      <c r="K13" s="4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3" t="s">
        <v>40</v>
      </c>
      <c r="B14" s="3">
        <v>19000.0</v>
      </c>
      <c r="C14" s="3" t="s">
        <v>41</v>
      </c>
      <c r="D14" s="3" t="s">
        <v>42</v>
      </c>
      <c r="E14" s="3" t="s">
        <v>43</v>
      </c>
      <c r="F14" s="3" t="s">
        <v>44</v>
      </c>
      <c r="G14" s="4"/>
      <c r="H14" s="4"/>
      <c r="I14" s="4"/>
      <c r="J14" s="4"/>
      <c r="K14" s="4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4"/>
      <c r="B15" s="3"/>
      <c r="C15" s="2"/>
      <c r="D15" s="2"/>
      <c r="E15" s="5"/>
      <c r="F15" s="5"/>
      <c r="G15" s="4"/>
      <c r="H15" s="4"/>
      <c r="I15" s="4"/>
      <c r="J15" s="4"/>
      <c r="K15" s="4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4" t="s">
        <v>45</v>
      </c>
      <c r="B16" s="3"/>
      <c r="C16" s="7" t="s">
        <v>46</v>
      </c>
      <c r="D16" s="7" t="s">
        <v>46</v>
      </c>
      <c r="E16" s="7" t="s">
        <v>46</v>
      </c>
      <c r="F16" s="7" t="s">
        <v>46</v>
      </c>
      <c r="G16" s="4"/>
      <c r="H16" s="4"/>
      <c r="I16" s="4"/>
      <c r="J16" s="4"/>
      <c r="K16" s="4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0" t="s">
        <v>47</v>
      </c>
      <c r="B17" s="3"/>
      <c r="C17" s="3" t="s">
        <v>48</v>
      </c>
      <c r="D17" s="3" t="s">
        <v>49</v>
      </c>
      <c r="E17" s="3" t="s">
        <v>50</v>
      </c>
      <c r="F17" s="3" t="s">
        <v>51</v>
      </c>
      <c r="G17" s="4"/>
      <c r="H17" s="4"/>
      <c r="I17" s="4"/>
      <c r="J17" s="4"/>
      <c r="K17" s="4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2"/>
      <c r="B18" s="3"/>
      <c r="C18" s="5"/>
      <c r="D18" s="5"/>
      <c r="E18" s="5"/>
      <c r="F18" s="5"/>
      <c r="G18" s="4"/>
      <c r="H18" s="4"/>
      <c r="I18" s="4"/>
      <c r="J18" s="4"/>
      <c r="K18" s="4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4"/>
      <c r="B19" s="3"/>
      <c r="C19" s="7" t="s">
        <v>52</v>
      </c>
      <c r="D19" s="7" t="s">
        <v>52</v>
      </c>
      <c r="E19" s="7" t="s">
        <v>52</v>
      </c>
      <c r="F19" s="7" t="s">
        <v>52</v>
      </c>
      <c r="G19" s="4"/>
      <c r="H19" s="4"/>
      <c r="I19" s="4"/>
      <c r="J19" s="4"/>
      <c r="K19" s="4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3" t="s">
        <v>53</v>
      </c>
      <c r="B20" s="3"/>
      <c r="C20" s="3" t="s">
        <v>54</v>
      </c>
      <c r="D20" s="3" t="s">
        <v>55</v>
      </c>
      <c r="E20" s="3" t="s">
        <v>56</v>
      </c>
      <c r="F20" s="3" t="s">
        <v>57</v>
      </c>
      <c r="G20" s="4"/>
      <c r="H20" s="4"/>
      <c r="I20" s="4"/>
      <c r="J20" s="4"/>
      <c r="K20" s="4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4"/>
      <c r="B21" s="3"/>
      <c r="C21" s="5"/>
      <c r="D21" s="5"/>
      <c r="E21" s="5"/>
      <c r="F21" s="5"/>
      <c r="G21" s="4"/>
      <c r="H21" s="4"/>
      <c r="I21" s="4"/>
      <c r="J21" s="4"/>
      <c r="K21" s="4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4" t="s">
        <v>58</v>
      </c>
      <c r="B22" s="3" t="s">
        <v>59</v>
      </c>
      <c r="C22" s="7" t="s">
        <v>60</v>
      </c>
      <c r="D22" s="7" t="s">
        <v>60</v>
      </c>
      <c r="E22" s="7" t="s">
        <v>60</v>
      </c>
      <c r="F22" s="7" t="s">
        <v>60</v>
      </c>
      <c r="G22" s="4"/>
      <c r="H22" s="4"/>
      <c r="I22" s="4"/>
      <c r="J22" s="4"/>
      <c r="K22" s="4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4"/>
      <c r="B23" s="5"/>
      <c r="C23" s="3" t="s">
        <v>61</v>
      </c>
      <c r="D23" s="3" t="s">
        <v>54</v>
      </c>
      <c r="E23" s="3" t="s">
        <v>62</v>
      </c>
      <c r="F23" s="3" t="s">
        <v>63</v>
      </c>
      <c r="G23" s="4"/>
      <c r="H23" s="4"/>
      <c r="I23" s="4"/>
      <c r="J23" s="4"/>
      <c r="K23" s="4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4" t="s">
        <v>64</v>
      </c>
      <c r="B24" s="3" t="s">
        <v>65</v>
      </c>
      <c r="C24" s="2"/>
      <c r="D24" s="4"/>
      <c r="E24" s="5"/>
      <c r="F24" s="5"/>
      <c r="G24" s="4"/>
      <c r="H24" s="4"/>
      <c r="I24" s="4"/>
      <c r="J24" s="4"/>
      <c r="K24" s="4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4"/>
      <c r="B25" s="5"/>
      <c r="C25" s="7" t="s">
        <v>66</v>
      </c>
      <c r="D25" s="7" t="s">
        <v>66</v>
      </c>
      <c r="E25" s="7" t="s">
        <v>66</v>
      </c>
      <c r="F25" s="7" t="s">
        <v>66</v>
      </c>
      <c r="G25" s="4"/>
      <c r="H25" s="4"/>
      <c r="I25" s="4"/>
      <c r="J25" s="4"/>
      <c r="K25" s="4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4" t="s">
        <v>67</v>
      </c>
      <c r="B26" s="3" t="s">
        <v>68</v>
      </c>
      <c r="C26" s="3" t="s">
        <v>69</v>
      </c>
      <c r="D26" s="3" t="s">
        <v>70</v>
      </c>
      <c r="E26" s="3" t="s">
        <v>71</v>
      </c>
      <c r="F26" s="3" t="s">
        <v>72</v>
      </c>
      <c r="G26" s="4"/>
      <c r="H26" s="4"/>
      <c r="I26" s="4"/>
      <c r="J26" s="4"/>
      <c r="K26" s="4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4"/>
      <c r="B27" s="5"/>
      <c r="C27" s="5"/>
      <c r="D27" s="5"/>
      <c r="E27" s="5"/>
      <c r="F27" s="5"/>
      <c r="G27" s="4"/>
      <c r="H27" s="4"/>
      <c r="I27" s="4"/>
      <c r="J27" s="4"/>
      <c r="K27" s="4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4" t="s">
        <v>73</v>
      </c>
      <c r="B28" s="3" t="s">
        <v>74</v>
      </c>
      <c r="C28" s="7" t="s">
        <v>75</v>
      </c>
      <c r="D28" s="7" t="s">
        <v>75</v>
      </c>
      <c r="E28" s="7" t="s">
        <v>75</v>
      </c>
      <c r="F28" s="7" t="s">
        <v>75</v>
      </c>
      <c r="G28" s="4"/>
      <c r="H28" s="4"/>
      <c r="I28" s="4"/>
      <c r="J28" s="4"/>
      <c r="K28" s="4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4"/>
      <c r="B29" s="5"/>
      <c r="C29" s="3" t="s">
        <v>76</v>
      </c>
      <c r="D29" s="3" t="s">
        <v>77</v>
      </c>
      <c r="E29" s="3" t="s">
        <v>78</v>
      </c>
      <c r="F29" s="3" t="s">
        <v>79</v>
      </c>
      <c r="G29" s="4"/>
      <c r="H29" s="4"/>
      <c r="I29" s="4"/>
      <c r="J29" s="4"/>
      <c r="K29" s="4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4" t="s">
        <v>80</v>
      </c>
      <c r="B30" s="3" t="s">
        <v>81</v>
      </c>
      <c r="C30" s="2"/>
      <c r="D30" s="4"/>
      <c r="E30" s="5"/>
      <c r="F30" s="5"/>
      <c r="G30" s="4"/>
      <c r="H30" s="4"/>
      <c r="I30" s="4"/>
      <c r="J30" s="4"/>
      <c r="K30" s="4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4"/>
      <c r="B31" s="5"/>
      <c r="C31" s="7" t="s">
        <v>82</v>
      </c>
      <c r="D31" s="7" t="s">
        <v>82</v>
      </c>
      <c r="E31" s="7" t="s">
        <v>82</v>
      </c>
      <c r="F31" s="7" t="s">
        <v>82</v>
      </c>
      <c r="G31" s="4"/>
      <c r="H31" s="4"/>
      <c r="I31" s="4"/>
      <c r="J31" s="4"/>
      <c r="K31" s="4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4" t="s">
        <v>83</v>
      </c>
      <c r="B32" s="3" t="s">
        <v>84</v>
      </c>
      <c r="C32" s="3" t="s">
        <v>85</v>
      </c>
      <c r="D32" s="3" t="s">
        <v>86</v>
      </c>
      <c r="E32" s="3" t="s">
        <v>87</v>
      </c>
      <c r="F32" s="3" t="s">
        <v>88</v>
      </c>
      <c r="G32" s="4"/>
      <c r="H32" s="4"/>
      <c r="I32" s="4"/>
      <c r="J32" s="4"/>
      <c r="K32" s="4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4"/>
      <c r="B33" s="5"/>
      <c r="C33" s="2"/>
      <c r="D33" s="4"/>
      <c r="E33" s="4"/>
      <c r="F33" s="4"/>
      <c r="G33" s="4"/>
      <c r="H33" s="4"/>
      <c r="I33" s="4"/>
      <c r="J33" s="4"/>
      <c r="K33" s="4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4" t="s">
        <v>89</v>
      </c>
      <c r="B34" s="3" t="s">
        <v>90</v>
      </c>
      <c r="C34" s="2"/>
      <c r="D34" s="4"/>
      <c r="E34" s="4"/>
      <c r="F34" s="4"/>
      <c r="G34" s="4"/>
      <c r="H34" s="4"/>
      <c r="I34" s="4"/>
      <c r="J34" s="4"/>
      <c r="K34" s="4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4"/>
      <c r="B35" s="3"/>
      <c r="C35" s="2"/>
      <c r="D35" s="4"/>
      <c r="E35" s="5"/>
      <c r="F35" s="4"/>
      <c r="G35" s="4"/>
      <c r="H35" s="4"/>
      <c r="I35" s="4"/>
      <c r="J35" s="4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4" t="s">
        <v>91</v>
      </c>
      <c r="B36" s="3"/>
      <c r="C36" s="2"/>
      <c r="D36" s="4"/>
      <c r="E36" s="5"/>
      <c r="F36" s="4"/>
      <c r="G36" s="4"/>
      <c r="H36" s="4"/>
      <c r="I36" s="4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4"/>
      <c r="B37" s="3" t="s">
        <v>92</v>
      </c>
      <c r="C37" s="2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4" t="s">
        <v>93</v>
      </c>
      <c r="B38" s="7" t="s">
        <v>94</v>
      </c>
      <c r="C38" s="2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2"/>
      <c r="B39" s="5"/>
      <c r="C39" s="2"/>
      <c r="D39" s="3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3"/>
      <c r="B40" s="5" t="s">
        <v>95</v>
      </c>
      <c r="C40" s="2"/>
      <c r="D40" s="3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7" t="s">
        <v>96</v>
      </c>
      <c r="B41" s="5"/>
      <c r="C41" s="2"/>
      <c r="D41" s="3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3"/>
      <c r="B42" s="5" t="s">
        <v>97</v>
      </c>
      <c r="C42" s="2"/>
      <c r="D42" s="3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3" t="s">
        <v>98</v>
      </c>
      <c r="B43" s="5"/>
      <c r="C43" s="2"/>
      <c r="D43" s="3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3" t="s">
        <v>99</v>
      </c>
      <c r="B44" s="5" t="s">
        <v>100</v>
      </c>
      <c r="C44" s="2"/>
      <c r="D44" s="3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B45" s="2"/>
      <c r="C45" s="2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3" t="s">
        <v>101</v>
      </c>
      <c r="B46" s="2"/>
      <c r="C46" s="2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3" t="s">
        <v>102</v>
      </c>
      <c r="B47" s="2"/>
      <c r="C47" s="2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3"/>
      <c r="B48" s="2"/>
      <c r="C48" s="2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3" t="s">
        <v>103</v>
      </c>
      <c r="B49" s="2"/>
      <c r="C49" s="2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3" t="s">
        <v>104</v>
      </c>
      <c r="B50" s="2"/>
      <c r="C50" s="2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3" t="s">
        <v>105</v>
      </c>
      <c r="B51" s="2"/>
      <c r="C51" s="2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3" t="s">
        <v>106</v>
      </c>
      <c r="B52" s="2"/>
      <c r="C52" s="2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4"/>
      <c r="B53" s="2"/>
      <c r="C53" s="2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3" t="s">
        <v>107</v>
      </c>
      <c r="B54" s="2"/>
      <c r="C54" s="2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3" t="s">
        <v>108</v>
      </c>
      <c r="B55" s="2"/>
      <c r="C55" s="2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3" t="s">
        <v>109</v>
      </c>
      <c r="B56" s="2"/>
      <c r="C56" s="2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3"/>
      <c r="B57" s="2"/>
      <c r="C57" s="2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3"/>
      <c r="B58" s="2"/>
      <c r="C58" s="2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3"/>
      <c r="B59" s="2"/>
      <c r="C59" s="2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B60" s="2"/>
      <c r="C60" s="2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3"/>
      <c r="B61" s="2"/>
      <c r="C61" s="2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3"/>
      <c r="C62" s="2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3"/>
      <c r="B63" s="3"/>
      <c r="C63" s="2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3"/>
      <c r="B64" s="3"/>
      <c r="C64" s="2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3"/>
      <c r="B65" s="3"/>
      <c r="C65" s="2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B66" s="3"/>
      <c r="C66" s="2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3"/>
      <c r="B67" s="3"/>
      <c r="C67" s="2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2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3"/>
      <c r="B70" s="5"/>
      <c r="C70" s="2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9"/>
      <c r="B71" s="3"/>
      <c r="C71" s="3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2"/>
      <c r="B72" s="5"/>
      <c r="C72" s="2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2"/>
      <c r="B73" s="3"/>
      <c r="C73" s="3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2"/>
      <c r="B74" s="3"/>
      <c r="C74" s="3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2"/>
      <c r="B75" s="3"/>
      <c r="C75" s="3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2"/>
      <c r="B76" s="3"/>
      <c r="C76" s="3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2"/>
      <c r="B77" s="5"/>
      <c r="C77" s="2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2"/>
      <c r="B78" s="5"/>
      <c r="C78" s="2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2"/>
      <c r="B79" s="5"/>
      <c r="C79" s="2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2"/>
      <c r="B80" s="5"/>
      <c r="C80" s="2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2"/>
      <c r="B81" s="5"/>
      <c r="C81" s="2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2"/>
      <c r="B82" s="5"/>
      <c r="C82" s="2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2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2"/>
      <c r="B84" s="5"/>
      <c r="C84" s="2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2"/>
      <c r="B85" s="5"/>
      <c r="C85" s="2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2"/>
      <c r="B86" s="5"/>
      <c r="C86" s="2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2"/>
      <c r="B87" s="5"/>
      <c r="C87" s="2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2"/>
      <c r="B88" s="5"/>
      <c r="C88" s="2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2"/>
      <c r="B89" s="5"/>
      <c r="C89" s="2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2"/>
      <c r="B90" s="5"/>
      <c r="C90" s="2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2"/>
      <c r="B91" s="5"/>
      <c r="C91" s="2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2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2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2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2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2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3"/>
      <c r="B97" s="5"/>
      <c r="C97" s="2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2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3"/>
      <c r="B99" s="5"/>
      <c r="C99" s="2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2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3"/>
      <c r="B101" s="5"/>
      <c r="C101" s="2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3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3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3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3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3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3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3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3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3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3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3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3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3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3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3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2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2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2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2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2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2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2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2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2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2"/>
      <c r="B999" s="5"/>
      <c r="C999" s="5"/>
      <c r="D999" s="5"/>
      <c r="E999" s="2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2"/>
      <c r="B1000" s="5"/>
      <c r="C1000" s="5"/>
      <c r="D1000" s="5"/>
      <c r="E1000" s="2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hyperlinks>
    <hyperlink r:id="rId2" ref="H2"/>
    <hyperlink r:id="rId3" ref="H3"/>
    <hyperlink r:id="rId4" ref="H4"/>
  </hyperlinks>
  <drawing r:id="rId5"/>
  <legacyDrawing r:id="rId6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13"/>
    <col customWidth="1" min="2" max="2" width="21.0"/>
    <col customWidth="1" min="3" max="3" width="19.63"/>
    <col customWidth="1" min="4" max="4" width="19.5"/>
    <col customWidth="1" min="5" max="6" width="14.13"/>
  </cols>
  <sheetData>
    <row r="1">
      <c r="A1" s="11"/>
      <c r="B1" s="12" t="s">
        <v>110</v>
      </c>
    </row>
    <row r="2">
      <c r="A2" s="11"/>
    </row>
    <row r="3">
      <c r="A3" s="11"/>
      <c r="B3" s="11"/>
      <c r="C3" s="11"/>
      <c r="D3" s="11"/>
    </row>
    <row r="4">
      <c r="A4" s="11"/>
      <c r="B4" s="11"/>
      <c r="C4" s="11"/>
      <c r="D4" s="11"/>
    </row>
    <row r="5">
      <c r="B5" s="13"/>
      <c r="C5" s="13"/>
      <c r="D5" s="13"/>
    </row>
    <row r="6">
      <c r="E6" s="14" t="s">
        <v>111</v>
      </c>
    </row>
    <row r="7">
      <c r="A7" s="15" t="s">
        <v>112</v>
      </c>
      <c r="B7" s="16" t="s">
        <v>113</v>
      </c>
      <c r="C7" s="16" t="s">
        <v>114</v>
      </c>
      <c r="D7" s="16" t="s">
        <v>115</v>
      </c>
      <c r="E7" s="17" t="s">
        <v>116</v>
      </c>
      <c r="F7" s="18" t="s">
        <v>117</v>
      </c>
    </row>
    <row r="8">
      <c r="A8" s="19" t="s">
        <v>118</v>
      </c>
      <c r="B8" s="20">
        <v>950400.0</v>
      </c>
      <c r="C8" s="20">
        <v>2851200.0</v>
      </c>
      <c r="D8" s="20">
        <v>6336000.0</v>
      </c>
      <c r="E8" s="20">
        <v>6969600.0</v>
      </c>
      <c r="F8" s="21">
        <v>1.254528E7</v>
      </c>
    </row>
    <row r="9">
      <c r="A9" s="22" t="s">
        <v>20</v>
      </c>
      <c r="B9" s="23">
        <f>MULTIPLY(225,499)</f>
        <v>112275</v>
      </c>
      <c r="C9" s="23">
        <v>617625.0</v>
      </c>
      <c r="D9" s="23">
        <v>1647000.0</v>
      </c>
      <c r="E9" s="23">
        <v>1976400.0</v>
      </c>
      <c r="F9" s="24">
        <v>2964600.0</v>
      </c>
    </row>
    <row r="10">
      <c r="A10" s="19" t="s">
        <v>119</v>
      </c>
      <c r="B10" s="20">
        <v>360000.0</v>
      </c>
      <c r="C10" s="20">
        <v>1125000.0</v>
      </c>
      <c r="D10" s="20">
        <v>4125000.0</v>
      </c>
      <c r="E10" s="20">
        <v>4537500.0</v>
      </c>
      <c r="F10" s="21">
        <v>8167500.0</v>
      </c>
    </row>
    <row r="11">
      <c r="A11" s="22" t="s">
        <v>120</v>
      </c>
      <c r="B11" s="23">
        <f t="shared" ref="B11:F11" si="1">SUM(B8:B10)</f>
        <v>1422675</v>
      </c>
      <c r="C11" s="23">
        <f t="shared" si="1"/>
        <v>4593825</v>
      </c>
      <c r="D11" s="23">
        <f t="shared" si="1"/>
        <v>12108000</v>
      </c>
      <c r="E11" s="25">
        <f t="shared" si="1"/>
        <v>13483500</v>
      </c>
      <c r="F11" s="26">
        <f t="shared" si="1"/>
        <v>23677380</v>
      </c>
    </row>
    <row r="12">
      <c r="A12" s="27" t="s">
        <v>121</v>
      </c>
      <c r="B12" s="28"/>
      <c r="C12" s="28"/>
      <c r="D12" s="28"/>
      <c r="E12" s="29"/>
      <c r="F12" s="30"/>
    </row>
    <row r="13">
      <c r="A13" s="31" t="s">
        <v>35</v>
      </c>
      <c r="B13" s="32">
        <v>600000.0</v>
      </c>
      <c r="C13" s="32">
        <v>1875000.0</v>
      </c>
      <c r="D13" s="32">
        <v>4125000.0</v>
      </c>
      <c r="E13" s="32">
        <v>4537500.0</v>
      </c>
      <c r="F13" s="33">
        <v>8167500.0</v>
      </c>
    </row>
    <row r="14">
      <c r="A14" s="19" t="s">
        <v>122</v>
      </c>
      <c r="B14" s="20">
        <v>30000.0</v>
      </c>
      <c r="C14" s="20">
        <v>35000.0</v>
      </c>
      <c r="D14" s="20">
        <v>55000.0</v>
      </c>
      <c r="E14" s="20">
        <v>60500.0</v>
      </c>
      <c r="F14" s="21">
        <v>90750.0</v>
      </c>
    </row>
    <row r="15">
      <c r="A15" s="31" t="s">
        <v>52</v>
      </c>
      <c r="B15" s="32">
        <v>400000.0</v>
      </c>
      <c r="C15" s="32">
        <v>500000.0</v>
      </c>
      <c r="D15" s="32">
        <v>600000.0</v>
      </c>
      <c r="E15" s="32">
        <v>700000.0</v>
      </c>
      <c r="F15" s="33">
        <v>800000.0</v>
      </c>
    </row>
    <row r="16">
      <c r="A16" s="19" t="s">
        <v>123</v>
      </c>
      <c r="B16" s="20">
        <v>300000.0</v>
      </c>
      <c r="C16" s="20">
        <v>400000.0</v>
      </c>
      <c r="D16" s="20">
        <v>500000.0</v>
      </c>
      <c r="E16" s="20">
        <v>650000.0</v>
      </c>
      <c r="F16" s="21">
        <v>800000.0</v>
      </c>
    </row>
    <row r="17">
      <c r="A17" s="22" t="s">
        <v>124</v>
      </c>
      <c r="B17" s="23">
        <f t="shared" ref="B17:F17" si="2">SUM(B13:B16)</f>
        <v>1330000</v>
      </c>
      <c r="C17" s="23">
        <f t="shared" si="2"/>
        <v>2810000</v>
      </c>
      <c r="D17" s="23">
        <f t="shared" si="2"/>
        <v>5280000</v>
      </c>
      <c r="E17" s="25">
        <f t="shared" si="2"/>
        <v>5948000</v>
      </c>
      <c r="F17" s="26">
        <f t="shared" si="2"/>
        <v>9858250</v>
      </c>
    </row>
    <row r="18">
      <c r="A18" s="22" t="s">
        <v>125</v>
      </c>
      <c r="B18" s="23">
        <f t="shared" ref="B18:F18" si="3">MINUS(B11,B17)</f>
        <v>92675</v>
      </c>
      <c r="C18" s="23">
        <f t="shared" si="3"/>
        <v>1783825</v>
      </c>
      <c r="D18" s="23">
        <f t="shared" si="3"/>
        <v>6828000</v>
      </c>
      <c r="E18" s="23">
        <f t="shared" si="3"/>
        <v>7535500</v>
      </c>
      <c r="F18" s="26">
        <f t="shared" si="3"/>
        <v>13819130</v>
      </c>
    </row>
    <row r="19">
      <c r="A19" s="34" t="s">
        <v>126</v>
      </c>
      <c r="B19" s="35"/>
      <c r="C19" s="35"/>
      <c r="D19" s="35"/>
      <c r="E19" s="36"/>
      <c r="F19" s="37"/>
    </row>
    <row r="20">
      <c r="A20" s="19" t="s">
        <v>66</v>
      </c>
      <c r="B20" s="20">
        <v>100000.0</v>
      </c>
      <c r="C20" s="20">
        <v>150000.0</v>
      </c>
      <c r="D20" s="20">
        <v>200000.0</v>
      </c>
      <c r="E20" s="20">
        <v>250000.0</v>
      </c>
      <c r="F20" s="21">
        <v>300000.0</v>
      </c>
    </row>
    <row r="21">
      <c r="A21" s="31" t="s">
        <v>75</v>
      </c>
      <c r="B21" s="32">
        <v>400000.0</v>
      </c>
      <c r="C21" s="32">
        <v>450000.0</v>
      </c>
      <c r="D21" s="32">
        <v>500000.0</v>
      </c>
      <c r="E21" s="32">
        <v>550000.0</v>
      </c>
      <c r="F21" s="33">
        <v>600000.0</v>
      </c>
    </row>
    <row r="22">
      <c r="A22" s="19" t="s">
        <v>127</v>
      </c>
      <c r="B22" s="20">
        <v>100000.0</v>
      </c>
      <c r="C22" s="20">
        <v>150000.0</v>
      </c>
      <c r="D22" s="20">
        <v>250000.0</v>
      </c>
      <c r="E22" s="20">
        <v>275000.0</v>
      </c>
      <c r="F22" s="21">
        <v>300000.0</v>
      </c>
    </row>
    <row r="23">
      <c r="A23" s="22" t="s">
        <v>128</v>
      </c>
      <c r="B23" s="23">
        <f t="shared" ref="B23:F23" si="4">SUM(B20:B22)</f>
        <v>600000</v>
      </c>
      <c r="C23" s="23">
        <f t="shared" si="4"/>
        <v>750000</v>
      </c>
      <c r="D23" s="23">
        <f t="shared" si="4"/>
        <v>950000</v>
      </c>
      <c r="E23" s="25">
        <f t="shared" si="4"/>
        <v>1075000</v>
      </c>
      <c r="F23" s="26">
        <f t="shared" si="4"/>
        <v>1200000</v>
      </c>
    </row>
    <row r="24">
      <c r="A24" s="38" t="s">
        <v>129</v>
      </c>
      <c r="B24" s="39">
        <f t="shared" ref="B24:F24" si="5">MINUS(B18,B23)</f>
        <v>-507325</v>
      </c>
      <c r="C24" s="39">
        <f t="shared" si="5"/>
        <v>1033825</v>
      </c>
      <c r="D24" s="39">
        <f t="shared" si="5"/>
        <v>5878000</v>
      </c>
      <c r="E24" s="39">
        <f t="shared" si="5"/>
        <v>6460500</v>
      </c>
      <c r="F24" s="40">
        <f t="shared" si="5"/>
        <v>12619130</v>
      </c>
    </row>
  </sheetData>
  <mergeCells count="1">
    <mergeCell ref="B1:D2"/>
  </mergeCells>
  <dataValidations>
    <dataValidation type="custom" allowBlank="1" showDropDown="1" sqref="B8:F24">
      <formula1>AND(ISNUMBER(B8),(NOT(OR(NOT(ISERROR(DATEVALUE(B8))), AND(ISNUMBER(B8), LEFT(CELL("format", B8))="D")))))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50.88"/>
    <col customWidth="1" min="2" max="6" width="22.63"/>
    <col customWidth="1" min="7" max="7" width="122.38"/>
  </cols>
  <sheetData>
    <row r="1">
      <c r="A1" s="41" t="s">
        <v>130</v>
      </c>
      <c r="D1" s="42"/>
      <c r="E1" s="42"/>
      <c r="F1" s="42"/>
      <c r="G1" s="43" t="s">
        <v>131</v>
      </c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>
      <c r="D2" s="42"/>
      <c r="E2" s="42"/>
      <c r="F2" s="42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</row>
    <row r="3">
      <c r="A3" s="42"/>
      <c r="B3" s="42"/>
      <c r="C3" s="42"/>
      <c r="D3" s="42"/>
      <c r="E3" s="42"/>
      <c r="F3" s="42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</row>
    <row r="4">
      <c r="A4" s="42"/>
      <c r="B4" s="42"/>
      <c r="C4" s="42"/>
      <c r="D4" s="42"/>
      <c r="E4" s="42"/>
      <c r="F4" s="42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</row>
    <row r="5">
      <c r="A5" s="42"/>
      <c r="B5" s="42"/>
      <c r="C5" s="42"/>
      <c r="D5" s="42"/>
      <c r="E5" s="42"/>
      <c r="F5" s="42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</row>
    <row r="6">
      <c r="A6" s="45" t="s">
        <v>132</v>
      </c>
      <c r="B6" s="46" t="s">
        <v>113</v>
      </c>
      <c r="C6" s="46" t="s">
        <v>114</v>
      </c>
      <c r="D6" s="46" t="s">
        <v>115</v>
      </c>
      <c r="E6" s="46" t="s">
        <v>116</v>
      </c>
      <c r="F6" s="47" t="s">
        <v>117</v>
      </c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</row>
    <row r="7">
      <c r="A7" s="48"/>
      <c r="B7" s="49"/>
      <c r="C7" s="49"/>
      <c r="D7" s="49"/>
      <c r="E7" s="49"/>
      <c r="F7" s="50"/>
      <c r="G7" s="51" t="s">
        <v>133</v>
      </c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</row>
    <row r="8">
      <c r="A8" s="52"/>
      <c r="B8" s="53"/>
      <c r="C8" s="53"/>
      <c r="D8" s="53"/>
      <c r="E8" s="53"/>
      <c r="F8" s="54"/>
      <c r="G8" s="55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</row>
    <row r="9">
      <c r="A9" s="56" t="s">
        <v>134</v>
      </c>
      <c r="B9" s="57">
        <f>'Income Statement'!B24</f>
        <v>-507325</v>
      </c>
      <c r="C9" s="57">
        <f>'Income Statement'!C24</f>
        <v>1033825</v>
      </c>
      <c r="D9" s="57">
        <f>'Income Statement'!D24</f>
        <v>5878000</v>
      </c>
      <c r="E9" s="57">
        <f>'Income Statement'!E24</f>
        <v>6460500</v>
      </c>
      <c r="F9" s="58">
        <f>'Income Statement'!F24</f>
        <v>12619130</v>
      </c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</row>
    <row r="10">
      <c r="A10" s="56" t="s">
        <v>135</v>
      </c>
      <c r="B10" s="59">
        <f>20%*'Income Statement'!B11</f>
        <v>284535</v>
      </c>
      <c r="C10" s="59">
        <f>20%*'Income Statement'!C11</f>
        <v>918765</v>
      </c>
      <c r="D10" s="59">
        <f>20%*'Income Statement'!D11</f>
        <v>2421600</v>
      </c>
      <c r="E10" s="59">
        <f>20%*'Income Statement'!E11</f>
        <v>2696700</v>
      </c>
      <c r="F10" s="60">
        <f>20%*'Income Statement'!F11</f>
        <v>4735476</v>
      </c>
      <c r="G10" s="55" t="s">
        <v>136</v>
      </c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</row>
    <row r="11">
      <c r="A11" s="56" t="s">
        <v>137</v>
      </c>
      <c r="B11" s="59">
        <f>30%*('Income Statement'!B17)</f>
        <v>399000</v>
      </c>
      <c r="C11" s="59">
        <f>30%*('Income Statement'!C17)</f>
        <v>843000</v>
      </c>
      <c r="D11" s="59">
        <f>30%*('Income Statement'!D17)</f>
        <v>1584000</v>
      </c>
      <c r="E11" s="59">
        <f>30%*('Income Statement'!E17)</f>
        <v>1784400</v>
      </c>
      <c r="F11" s="60">
        <f>30%*('Income Statement'!F17)</f>
        <v>2957475</v>
      </c>
      <c r="G11" s="55" t="s">
        <v>138</v>
      </c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</row>
    <row r="12">
      <c r="A12" s="61" t="s">
        <v>139</v>
      </c>
      <c r="B12" s="62">
        <f t="shared" ref="B12:F12" si="1">B9-B10+B11</f>
        <v>-392860</v>
      </c>
      <c r="C12" s="62">
        <f t="shared" si="1"/>
        <v>958060</v>
      </c>
      <c r="D12" s="62">
        <f t="shared" si="1"/>
        <v>5040400</v>
      </c>
      <c r="E12" s="62">
        <f t="shared" si="1"/>
        <v>5548200</v>
      </c>
      <c r="F12" s="63">
        <f t="shared" si="1"/>
        <v>10841129</v>
      </c>
      <c r="G12" s="55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</row>
    <row r="13">
      <c r="A13" s="48"/>
      <c r="B13" s="49"/>
      <c r="C13" s="49"/>
      <c r="D13" s="49"/>
      <c r="E13" s="49"/>
      <c r="F13" s="50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</row>
    <row r="14">
      <c r="A14" s="61" t="s">
        <v>140</v>
      </c>
      <c r="B14" s="53"/>
      <c r="C14" s="53" t="str">
        <f>'Income Statement'!C25</f>
        <v/>
      </c>
      <c r="D14" s="53"/>
      <c r="E14" s="53"/>
      <c r="F14" s="5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</row>
    <row r="15">
      <c r="A15" s="56" t="s">
        <v>141</v>
      </c>
      <c r="B15" s="64">
        <v>1400000.0</v>
      </c>
      <c r="C15" s="64">
        <v>1800000.0</v>
      </c>
      <c r="D15" s="64">
        <v>2300000.0</v>
      </c>
      <c r="E15" s="64">
        <v>3000000.0</v>
      </c>
      <c r="F15" s="65">
        <v>4000000.0</v>
      </c>
      <c r="G15" s="55" t="s">
        <v>142</v>
      </c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</row>
    <row r="16">
      <c r="A16" s="61" t="s">
        <v>143</v>
      </c>
      <c r="B16" s="66">
        <f t="shared" ref="B16:F16" si="2">-B15</f>
        <v>-1400000</v>
      </c>
      <c r="C16" s="66">
        <f t="shared" si="2"/>
        <v>-1800000</v>
      </c>
      <c r="D16" s="66">
        <f t="shared" si="2"/>
        <v>-2300000</v>
      </c>
      <c r="E16" s="66">
        <f t="shared" si="2"/>
        <v>-3000000</v>
      </c>
      <c r="F16" s="67">
        <f t="shared" si="2"/>
        <v>-4000000</v>
      </c>
      <c r="G16" s="55" t="s">
        <v>144</v>
      </c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</row>
    <row r="17">
      <c r="A17" s="68"/>
      <c r="B17" s="49"/>
      <c r="C17" s="49" t="str">
        <f>'Income Statement'!C28</f>
        <v/>
      </c>
      <c r="D17" s="49"/>
      <c r="E17" s="49"/>
      <c r="F17" s="50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</row>
    <row r="18">
      <c r="A18" s="61" t="s">
        <v>145</v>
      </c>
      <c r="B18" s="53"/>
      <c r="C18" s="53" t="str">
        <f>'Income Statement'!C29</f>
        <v/>
      </c>
      <c r="D18" s="53"/>
      <c r="E18" s="53"/>
      <c r="F18" s="5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</row>
    <row r="19">
      <c r="A19" s="56" t="s">
        <v>146</v>
      </c>
      <c r="B19" s="64">
        <f>800000 </f>
        <v>800000</v>
      </c>
      <c r="C19" s="64">
        <v>0.0</v>
      </c>
      <c r="D19" s="64">
        <v>0.0</v>
      </c>
      <c r="E19" s="64">
        <v>0.0</v>
      </c>
      <c r="F19" s="65">
        <v>0.0</v>
      </c>
      <c r="G19" s="55" t="s">
        <v>147</v>
      </c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</row>
    <row r="20">
      <c r="A20" s="56" t="s">
        <v>148</v>
      </c>
      <c r="B20" s="69">
        <v>1000000.0</v>
      </c>
      <c r="C20" s="69">
        <v>1500000.0</v>
      </c>
      <c r="D20" s="69">
        <v>2000000.0</v>
      </c>
      <c r="E20" s="69">
        <v>2500000.0</v>
      </c>
      <c r="F20" s="70">
        <v>3000000.0</v>
      </c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</row>
    <row r="21">
      <c r="A21" s="61" t="s">
        <v>149</v>
      </c>
      <c r="B21" s="62">
        <f t="shared" ref="B21:F21" si="3">SUM(B19:B20)</f>
        <v>1800000</v>
      </c>
      <c r="C21" s="62">
        <f t="shared" si="3"/>
        <v>1500000</v>
      </c>
      <c r="D21" s="62">
        <f t="shared" si="3"/>
        <v>2000000</v>
      </c>
      <c r="E21" s="62">
        <f t="shared" si="3"/>
        <v>2500000</v>
      </c>
      <c r="F21" s="63">
        <f t="shared" si="3"/>
        <v>3000000</v>
      </c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</row>
    <row r="22">
      <c r="A22" s="68"/>
      <c r="B22" s="53"/>
      <c r="C22" s="53" t="str">
        <f>'Income Statement'!C33</f>
        <v/>
      </c>
      <c r="D22" s="53"/>
      <c r="E22" s="53"/>
      <c r="F22" s="5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</row>
    <row r="23">
      <c r="A23" s="61" t="s">
        <v>150</v>
      </c>
      <c r="B23" s="49">
        <f t="shared" ref="B23:F23" si="4">B21+B16+B12</f>
        <v>7140</v>
      </c>
      <c r="C23" s="49">
        <f t="shared" si="4"/>
        <v>658060</v>
      </c>
      <c r="D23" s="49">
        <f t="shared" si="4"/>
        <v>4740400</v>
      </c>
      <c r="E23" s="49">
        <f t="shared" si="4"/>
        <v>5048200</v>
      </c>
      <c r="F23" s="50">
        <f t="shared" si="4"/>
        <v>9841129</v>
      </c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</row>
    <row r="24">
      <c r="A24" s="56" t="s">
        <v>151</v>
      </c>
      <c r="B24" s="69">
        <v>300000.0</v>
      </c>
      <c r="C24" s="53">
        <f t="shared" ref="C24:F24" si="5">B25</f>
        <v>307140</v>
      </c>
      <c r="D24" s="53">
        <f t="shared" si="5"/>
        <v>965200</v>
      </c>
      <c r="E24" s="53">
        <f t="shared" si="5"/>
        <v>5705600</v>
      </c>
      <c r="F24" s="54">
        <f t="shared" si="5"/>
        <v>10753800</v>
      </c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</row>
    <row r="25">
      <c r="A25" s="61" t="s">
        <v>152</v>
      </c>
      <c r="B25" s="71">
        <f t="shared" ref="B25:F25" si="6">B23+B24</f>
        <v>307140</v>
      </c>
      <c r="C25" s="71">
        <f t="shared" si="6"/>
        <v>965200</v>
      </c>
      <c r="D25" s="71">
        <f t="shared" si="6"/>
        <v>5705600</v>
      </c>
      <c r="E25" s="71">
        <f t="shared" si="6"/>
        <v>10753800</v>
      </c>
      <c r="F25" s="72">
        <f t="shared" si="6"/>
        <v>20594929</v>
      </c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</row>
  </sheetData>
  <mergeCells count="3">
    <mergeCell ref="A1:C2"/>
    <mergeCell ref="G1:G2"/>
    <mergeCell ref="G12:G13"/>
  </mergeCells>
  <dataValidations>
    <dataValidation type="custom" allowBlank="1" showDropDown="1" sqref="B7:F25">
      <formula1>AND(ISNUMBER(B7),(NOT(OR(NOT(ISERROR(DATEVALUE(B7))), AND(ISNUMBER(B7), LEFT(CELL("format", B7))="D")))))</formula1>
    </dataValidation>
  </dataValidations>
  <printOptions gridLines="1" horizontalCentered="1" verticalCentered="1"/>
  <pageMargins bottom="0.75" footer="0.0" header="0.0" left="0.25" right="0.25" top="0.75"/>
  <pageSetup fitToHeight="0" cellComments="atEnd" orientation="portrait" pageOrder="overThenDown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75"/>
    <col customWidth="1" min="7" max="7" width="18.63"/>
    <col customWidth="1" min="8" max="8" width="8.5"/>
    <col customWidth="1" min="9" max="9" width="29.13"/>
    <col customWidth="1" min="11" max="11" width="20.38"/>
  </cols>
  <sheetData>
    <row r="1">
      <c r="A1" s="73"/>
      <c r="B1" s="74" t="s">
        <v>153</v>
      </c>
      <c r="C1" s="75"/>
      <c r="D1" s="75"/>
      <c r="E1" s="76"/>
      <c r="F1" s="76"/>
      <c r="G1" s="76"/>
      <c r="H1" s="76"/>
      <c r="I1" s="76"/>
      <c r="J1" s="76"/>
      <c r="K1" s="76"/>
      <c r="L1" s="77"/>
    </row>
    <row r="2">
      <c r="A2" s="78"/>
      <c r="B2" s="79"/>
      <c r="C2" s="78"/>
      <c r="D2" s="78"/>
      <c r="E2" s="78"/>
      <c r="F2" s="78"/>
      <c r="G2" s="78"/>
      <c r="H2" s="78"/>
      <c r="I2" s="78"/>
      <c r="J2" s="78"/>
      <c r="K2" s="78"/>
      <c r="L2" s="80"/>
    </row>
    <row r="3">
      <c r="A3" s="81"/>
      <c r="B3" s="82" t="s">
        <v>154</v>
      </c>
      <c r="D3" s="78"/>
      <c r="E3" s="78"/>
      <c r="F3" s="78"/>
      <c r="G3" s="78"/>
      <c r="H3" s="78"/>
      <c r="I3" s="83" t="s">
        <v>155</v>
      </c>
      <c r="J3" s="75"/>
      <c r="K3" s="75"/>
      <c r="L3" s="84"/>
    </row>
    <row r="4">
      <c r="A4" s="85"/>
      <c r="B4" s="86" t="s">
        <v>156</v>
      </c>
      <c r="C4" s="87"/>
      <c r="D4" s="88">
        <v>0.3</v>
      </c>
      <c r="E4" s="78"/>
      <c r="F4" s="78"/>
      <c r="G4" s="78"/>
      <c r="H4" s="78"/>
      <c r="I4" s="89" t="s">
        <v>156</v>
      </c>
      <c r="J4" s="90">
        <v>0.3</v>
      </c>
      <c r="K4" s="91"/>
      <c r="L4" s="92"/>
    </row>
    <row r="5">
      <c r="A5" s="78"/>
      <c r="B5" s="79"/>
      <c r="C5" s="93">
        <v>1.0</v>
      </c>
      <c r="D5" s="93">
        <v>2.0</v>
      </c>
      <c r="E5" s="93">
        <v>3.0</v>
      </c>
      <c r="F5" s="93">
        <v>4.0</v>
      </c>
      <c r="G5" s="93">
        <v>5.0</v>
      </c>
      <c r="H5" s="78"/>
      <c r="I5" s="94" t="s">
        <v>157</v>
      </c>
      <c r="J5" s="95">
        <v>0.05</v>
      </c>
      <c r="K5" s="96"/>
      <c r="L5" s="97"/>
    </row>
    <row r="6">
      <c r="A6" s="78"/>
      <c r="B6" s="79"/>
      <c r="C6" s="78"/>
      <c r="D6" s="78"/>
      <c r="E6" s="78"/>
      <c r="F6" s="78"/>
      <c r="G6" s="78"/>
      <c r="H6" s="78"/>
      <c r="I6" s="78"/>
      <c r="J6" s="78"/>
      <c r="K6" s="78"/>
      <c r="L6" s="80"/>
    </row>
    <row r="7">
      <c r="A7" s="78"/>
      <c r="B7" s="98"/>
      <c r="C7" s="99" t="s">
        <v>158</v>
      </c>
      <c r="D7" s="99" t="s">
        <v>159</v>
      </c>
      <c r="E7" s="99" t="s">
        <v>160</v>
      </c>
      <c r="F7" s="99" t="s">
        <v>161</v>
      </c>
      <c r="G7" s="100" t="s">
        <v>162</v>
      </c>
      <c r="H7" s="78"/>
      <c r="I7" s="101" t="s">
        <v>163</v>
      </c>
      <c r="J7" s="75"/>
      <c r="K7" s="102" t="s">
        <v>164</v>
      </c>
      <c r="L7" s="103"/>
    </row>
    <row r="8">
      <c r="A8" s="81"/>
      <c r="B8" s="82" t="s">
        <v>165</v>
      </c>
      <c r="C8" s="104">
        <f>'Income Statement'!B24
</f>
        <v>-507325</v>
      </c>
      <c r="D8" s="105">
        <f>'Income Statement'!C24
</f>
        <v>1033825</v>
      </c>
      <c r="E8" s="105">
        <f>'Income Statement'!D24
</f>
        <v>5878000</v>
      </c>
      <c r="F8" s="106">
        <f>'Income Statement'!E24
</f>
        <v>6460500</v>
      </c>
      <c r="G8" s="105">
        <f>'Income Statement'!F24
</f>
        <v>12619130</v>
      </c>
      <c r="H8" s="78"/>
      <c r="I8" s="107"/>
      <c r="J8" s="108"/>
      <c r="K8" s="109" t="s">
        <v>166</v>
      </c>
      <c r="L8" s="110"/>
    </row>
    <row r="9">
      <c r="A9" s="81"/>
      <c r="B9" s="82" t="s">
        <v>167</v>
      </c>
      <c r="C9" s="111">
        <f>1/(1+D4)^1
</f>
        <v>0.7692307692</v>
      </c>
      <c r="D9" s="112">
        <f>1/(1+D4)^2
</f>
        <v>0.5917159763</v>
      </c>
      <c r="E9" s="112">
        <f>1/(1+D4)^3
</f>
        <v>0.4551661356</v>
      </c>
      <c r="F9" s="112">
        <f>1/(1+D4)^4
</f>
        <v>0.3501277966</v>
      </c>
      <c r="G9" s="113">
        <f>1/(1+D4)^5
</f>
        <v>0.2693290743</v>
      </c>
      <c r="H9" s="78"/>
      <c r="I9" s="78"/>
      <c r="J9" s="78"/>
      <c r="K9" s="78"/>
      <c r="L9" s="80"/>
    </row>
    <row r="10">
      <c r="A10" s="78"/>
      <c r="B10" s="79"/>
      <c r="C10" s="114"/>
      <c r="D10" s="115"/>
      <c r="E10" s="115"/>
      <c r="F10" s="115"/>
      <c r="G10" s="80"/>
      <c r="H10" s="78"/>
      <c r="I10" s="116" t="s">
        <v>168</v>
      </c>
      <c r="J10" s="75"/>
      <c r="K10" s="117">
        <f>sum(C11:G11)</f>
        <v>8557646.547</v>
      </c>
      <c r="L10" s="118"/>
    </row>
    <row r="11">
      <c r="A11" s="81"/>
      <c r="B11" s="82" t="s">
        <v>169</v>
      </c>
      <c r="C11" s="119">
        <f t="shared" ref="C11:G11" si="1">MULTIPLY(C8,C9)</f>
        <v>-390250</v>
      </c>
      <c r="D11" s="120">
        <f t="shared" si="1"/>
        <v>611730.7692</v>
      </c>
      <c r="E11" s="120">
        <f t="shared" si="1"/>
        <v>2675466.545</v>
      </c>
      <c r="F11" s="121">
        <f t="shared" si="1"/>
        <v>2262000.63</v>
      </c>
      <c r="G11" s="122">
        <f t="shared" si="1"/>
        <v>3398698.602</v>
      </c>
      <c r="H11" s="78"/>
      <c r="I11" s="123" t="s">
        <v>170</v>
      </c>
      <c r="J11" s="124"/>
      <c r="K11" s="125">
        <f>G11/(J4-J5)</f>
        <v>13594794.41</v>
      </c>
      <c r="L11" s="126"/>
    </row>
    <row r="12">
      <c r="A12" s="78"/>
      <c r="B12" s="127"/>
      <c r="C12" s="128"/>
      <c r="D12" s="128"/>
      <c r="E12" s="128"/>
      <c r="F12" s="128"/>
      <c r="G12" s="129"/>
      <c r="H12" s="78"/>
      <c r="I12" s="78"/>
      <c r="J12" s="78"/>
      <c r="K12" s="78"/>
      <c r="L12" s="80"/>
    </row>
    <row r="13">
      <c r="A13" s="78"/>
      <c r="B13" s="79"/>
      <c r="C13" s="78"/>
      <c r="D13" s="78"/>
      <c r="E13" s="78"/>
      <c r="F13" s="78"/>
      <c r="G13" s="78"/>
      <c r="H13" s="78"/>
      <c r="I13" s="130" t="s">
        <v>171</v>
      </c>
      <c r="J13" s="75"/>
      <c r="K13" s="131">
        <f>sum((C11:G11),K11)</f>
        <v>22152440.95</v>
      </c>
      <c r="L13" s="103"/>
    </row>
    <row r="14">
      <c r="A14" s="78"/>
      <c r="B14" s="79"/>
      <c r="C14" s="78"/>
      <c r="D14" s="78"/>
      <c r="E14" s="78"/>
      <c r="F14" s="78"/>
      <c r="G14" s="78"/>
      <c r="H14" s="78"/>
      <c r="I14" s="132"/>
      <c r="L14" s="133"/>
    </row>
    <row r="15">
      <c r="A15" s="78"/>
      <c r="B15" s="127"/>
      <c r="C15" s="128"/>
      <c r="D15" s="128"/>
      <c r="E15" s="128"/>
      <c r="F15" s="128"/>
      <c r="G15" s="128"/>
      <c r="H15" s="128"/>
      <c r="I15" s="134"/>
      <c r="J15" s="124"/>
      <c r="K15" s="124"/>
      <c r="L15" s="110"/>
    </row>
    <row r="18">
      <c r="B18" s="135"/>
      <c r="C18" s="136"/>
      <c r="D18" s="136"/>
      <c r="E18" s="136"/>
      <c r="F18" s="136"/>
      <c r="G18" s="136"/>
      <c r="H18" s="136"/>
      <c r="I18" s="136"/>
      <c r="J18" s="136"/>
      <c r="K18" s="137"/>
    </row>
    <row r="19">
      <c r="A19" s="138"/>
      <c r="B19" s="139" t="s">
        <v>172</v>
      </c>
      <c r="C19" s="140"/>
      <c r="D19" s="141"/>
      <c r="E19" s="141"/>
      <c r="F19" s="141"/>
      <c r="G19" s="141"/>
      <c r="H19" s="141"/>
      <c r="I19" s="141"/>
      <c r="J19" s="141"/>
      <c r="K19" s="142"/>
    </row>
    <row r="20">
      <c r="A20" s="141"/>
      <c r="B20" s="143"/>
      <c r="C20" s="141"/>
      <c r="D20" s="141"/>
      <c r="E20" s="141"/>
      <c r="F20" s="141"/>
      <c r="G20" s="141"/>
      <c r="H20" s="141"/>
      <c r="I20" s="141"/>
      <c r="J20" s="141"/>
      <c r="K20" s="142"/>
    </row>
    <row r="21">
      <c r="A21" s="144"/>
      <c r="B21" s="145" t="s">
        <v>173</v>
      </c>
      <c r="C21" s="146"/>
      <c r="D21" s="146"/>
      <c r="E21" s="146"/>
      <c r="F21" s="147">
        <v>1.0</v>
      </c>
      <c r="G21" s="148"/>
      <c r="H21" s="148"/>
      <c r="I21" s="148"/>
      <c r="J21" s="148"/>
      <c r="K21" s="142"/>
    </row>
    <row r="22">
      <c r="A22" s="148"/>
      <c r="B22" s="149"/>
      <c r="C22" s="148"/>
      <c r="D22" s="148"/>
      <c r="E22" s="148"/>
      <c r="F22" s="148"/>
      <c r="G22" s="148"/>
      <c r="H22" s="148"/>
      <c r="I22" s="148"/>
      <c r="J22" s="148"/>
      <c r="K22" s="142"/>
    </row>
    <row r="23">
      <c r="A23" s="148"/>
      <c r="B23" s="149"/>
      <c r="C23" s="148"/>
      <c r="D23" s="148"/>
      <c r="E23" s="148"/>
      <c r="F23" s="148"/>
      <c r="G23" s="148"/>
      <c r="H23" s="148"/>
      <c r="I23" s="148"/>
      <c r="J23" s="148"/>
      <c r="K23" s="142"/>
    </row>
    <row r="24">
      <c r="A24" s="144"/>
      <c r="B24" s="145" t="s">
        <v>174</v>
      </c>
      <c r="C24" s="150"/>
      <c r="D24" s="150"/>
      <c r="E24" s="151"/>
      <c r="F24" s="152">
        <f>sum((C11:G11),K11)</f>
        <v>22152440.95</v>
      </c>
      <c r="G24" s="103"/>
      <c r="H24" s="153"/>
      <c r="I24" s="154" t="s">
        <v>175</v>
      </c>
      <c r="J24" s="155">
        <v>2.2E7</v>
      </c>
      <c r="K24" s="103"/>
    </row>
    <row r="25">
      <c r="A25" s="144"/>
      <c r="B25" s="156" t="s">
        <v>176</v>
      </c>
      <c r="C25" s="157"/>
      <c r="D25" s="157"/>
      <c r="E25" s="158"/>
      <c r="F25" s="159">
        <v>880000.0</v>
      </c>
      <c r="G25" s="110"/>
      <c r="H25" s="160"/>
      <c r="I25" s="160"/>
      <c r="J25" s="161">
        <v>900000.0</v>
      </c>
      <c r="K25" s="140"/>
    </row>
    <row r="26">
      <c r="A26" s="141"/>
      <c r="B26" s="143"/>
      <c r="C26" s="141"/>
      <c r="D26" s="141"/>
      <c r="E26" s="141"/>
      <c r="F26" s="141"/>
      <c r="G26" s="141"/>
      <c r="H26" s="141"/>
      <c r="I26" s="141"/>
      <c r="J26" s="141"/>
      <c r="K26" s="142"/>
    </row>
    <row r="27">
      <c r="A27" s="141"/>
      <c r="B27" s="143"/>
      <c r="C27" s="141"/>
      <c r="D27" s="141"/>
      <c r="E27" s="141"/>
      <c r="F27" s="141"/>
      <c r="G27" s="141"/>
      <c r="H27" s="141"/>
      <c r="I27" s="141"/>
      <c r="J27" s="141"/>
      <c r="K27" s="142"/>
    </row>
    <row r="28">
      <c r="A28" s="162"/>
      <c r="B28" s="163" t="s">
        <v>177</v>
      </c>
      <c r="C28" s="164"/>
      <c r="D28" s="164"/>
      <c r="E28" s="165">
        <f>SUM(J24,J25)</f>
        <v>22900000</v>
      </c>
      <c r="F28" s="140"/>
      <c r="G28" s="141"/>
      <c r="H28" s="141"/>
      <c r="I28" s="141"/>
      <c r="J28" s="141"/>
      <c r="K28" s="142"/>
    </row>
    <row r="29">
      <c r="A29" s="141"/>
      <c r="B29" s="143"/>
      <c r="C29" s="141"/>
      <c r="D29" s="141"/>
      <c r="E29" s="141"/>
      <c r="F29" s="141"/>
      <c r="G29" s="141"/>
      <c r="H29" s="141"/>
      <c r="I29" s="141"/>
      <c r="J29" s="141"/>
      <c r="K29" s="142"/>
    </row>
    <row r="30">
      <c r="A30" s="144"/>
      <c r="B30" s="145" t="s">
        <v>178</v>
      </c>
      <c r="C30" s="146"/>
      <c r="D30" s="148"/>
      <c r="E30" s="141"/>
      <c r="F30" s="166">
        <f>(J24/J25)/100</f>
        <v>0.2444444444</v>
      </c>
      <c r="G30" s="143"/>
      <c r="H30" s="141"/>
      <c r="I30" s="141"/>
      <c r="J30" s="141"/>
      <c r="K30" s="142"/>
    </row>
    <row r="31">
      <c r="A31" s="144"/>
      <c r="B31" s="156" t="s">
        <v>179</v>
      </c>
      <c r="C31" s="167"/>
      <c r="D31" s="157"/>
      <c r="E31" s="168"/>
      <c r="F31" s="169">
        <f>1-F30</f>
        <v>0.7555555556</v>
      </c>
      <c r="G31" s="170"/>
      <c r="H31" s="168"/>
      <c r="I31" s="168"/>
      <c r="J31" s="168"/>
      <c r="K31" s="171"/>
    </row>
  </sheetData>
  <mergeCells count="17">
    <mergeCell ref="B1:D1"/>
    <mergeCell ref="B3:C3"/>
    <mergeCell ref="I3:K3"/>
    <mergeCell ref="I7:J7"/>
    <mergeCell ref="K7:L7"/>
    <mergeCell ref="K8:L8"/>
    <mergeCell ref="I10:J10"/>
    <mergeCell ref="F25:G25"/>
    <mergeCell ref="B28:D28"/>
    <mergeCell ref="E28:F28"/>
    <mergeCell ref="I11:J11"/>
    <mergeCell ref="I13:J15"/>
    <mergeCell ref="K13:L15"/>
    <mergeCell ref="B19:C19"/>
    <mergeCell ref="F24:G24"/>
    <mergeCell ref="J24:K24"/>
    <mergeCell ref="J25:K2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5"/>
    <col customWidth="1" min="2" max="2" width="34.13"/>
    <col customWidth="1" min="6" max="6" width="41.38"/>
  </cols>
  <sheetData>
    <row r="1">
      <c r="A1" s="172" t="s">
        <v>180</v>
      </c>
      <c r="B1" s="173" t="s">
        <v>181</v>
      </c>
    </row>
    <row r="2">
      <c r="A2" s="174"/>
      <c r="B2" s="175"/>
      <c r="G2" s="176" t="s">
        <v>182</v>
      </c>
    </row>
    <row r="3">
      <c r="A3" s="177" t="s">
        <v>183</v>
      </c>
      <c r="B3" s="175"/>
      <c r="G3" s="178" t="s">
        <v>184</v>
      </c>
    </row>
    <row r="4">
      <c r="A4" s="179" t="s">
        <v>185</v>
      </c>
      <c r="B4" s="180">
        <f>100000+200000+50000*6+250*2000</f>
        <v>1100000</v>
      </c>
      <c r="C4" s="11" t="s">
        <v>186</v>
      </c>
    </row>
    <row r="5">
      <c r="A5" s="181"/>
      <c r="B5" s="182"/>
    </row>
    <row r="6">
      <c r="A6" s="183" t="s">
        <v>187</v>
      </c>
      <c r="B6" s="184">
        <f>'cash flow'!B24</f>
        <v>300000</v>
      </c>
      <c r="C6" s="11" t="s">
        <v>188</v>
      </c>
    </row>
    <row r="7">
      <c r="A7" s="174"/>
      <c r="B7" s="185"/>
    </row>
    <row r="8">
      <c r="A8" s="186" t="s">
        <v>189</v>
      </c>
      <c r="B8" s="187">
        <f>B4+B6</f>
        <v>1400000</v>
      </c>
    </row>
    <row r="9">
      <c r="A9" s="174"/>
      <c r="B9" s="185"/>
    </row>
    <row r="10">
      <c r="A10" s="188"/>
      <c r="B10" s="185"/>
    </row>
    <row r="11">
      <c r="A11" s="177" t="s">
        <v>190</v>
      </c>
      <c r="B11" s="185"/>
    </row>
    <row r="12">
      <c r="A12" s="189" t="s">
        <v>176</v>
      </c>
      <c r="B12" s="190">
        <v>880000.0</v>
      </c>
    </row>
    <row r="13">
      <c r="A13" s="183" t="s">
        <v>191</v>
      </c>
      <c r="B13" s="184">
        <v>800000.0</v>
      </c>
      <c r="C13" s="11" t="s">
        <v>192</v>
      </c>
    </row>
    <row r="14">
      <c r="A14" s="183" t="s">
        <v>193</v>
      </c>
      <c r="B14" s="184">
        <v>1000000.0</v>
      </c>
      <c r="C14" s="11" t="s">
        <v>192</v>
      </c>
    </row>
    <row r="15">
      <c r="A15" s="174"/>
      <c r="B15" s="185"/>
    </row>
    <row r="16">
      <c r="A16" s="186" t="s">
        <v>194</v>
      </c>
      <c r="B16" s="187">
        <f>SUM(B12:B14)</f>
        <v>2680000</v>
      </c>
    </row>
    <row r="17">
      <c r="A17" s="174"/>
      <c r="B17" s="185"/>
    </row>
    <row r="18">
      <c r="A18" s="191" t="s">
        <v>195</v>
      </c>
      <c r="B18" s="192">
        <f>B16-B8</f>
        <v>1280000</v>
      </c>
    </row>
    <row r="20">
      <c r="A20" s="11" t="s">
        <v>196</v>
      </c>
    </row>
    <row r="21">
      <c r="A21" s="11" t="s">
        <v>197</v>
      </c>
    </row>
  </sheetData>
  <mergeCells count="3">
    <mergeCell ref="G2:I2"/>
    <mergeCell ref="G3:I3"/>
    <mergeCell ref="C4:F4"/>
  </mergeCells>
  <drawing r:id="rId2"/>
  <legacyDrawing r:id="rId3"/>
</worksheet>
</file>