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G\BridgeGroup\"/>
    </mc:Choice>
  </mc:AlternateContent>
  <xr:revisionPtr revIDLastSave="0" documentId="8_{EB6FFDEA-C8DB-45B8-84C1-85625AD8A1B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List1" sheetId="1" r:id="rId1"/>
  </sheets>
  <definedNames>
    <definedName name="_xlnm._FilterDatabase" localSheetId="0" hidden="1">List1!$A$1:$K$2322</definedName>
  </definedNames>
  <calcPr calcId="181029"/>
</workbook>
</file>

<file path=xl/calcChain.xml><?xml version="1.0" encoding="utf-8"?>
<calcChain xmlns="http://schemas.openxmlformats.org/spreadsheetml/2006/main">
  <c r="E2322" i="1" l="1"/>
  <c r="B2322" i="1"/>
  <c r="E2321" i="1"/>
  <c r="B2321" i="1"/>
  <c r="E2320" i="1"/>
  <c r="B2320" i="1"/>
  <c r="E2319" i="1"/>
  <c r="B2319" i="1"/>
  <c r="E2318" i="1"/>
  <c r="B2318" i="1"/>
  <c r="E2317" i="1"/>
  <c r="B2317" i="1"/>
  <c r="E2316" i="1"/>
  <c r="B2316" i="1"/>
  <c r="E2315" i="1"/>
  <c r="B2315" i="1"/>
  <c r="E2314" i="1"/>
  <c r="B2314" i="1"/>
  <c r="E2313" i="1"/>
  <c r="B2313" i="1"/>
  <c r="E2312" i="1"/>
  <c r="B2312" i="1"/>
  <c r="E2311" i="1"/>
  <c r="B2311" i="1"/>
  <c r="E2310" i="1"/>
  <c r="B2310" i="1"/>
  <c r="E2309" i="1"/>
  <c r="B2309" i="1"/>
  <c r="E2308" i="1"/>
  <c r="B2308" i="1"/>
  <c r="E2307" i="1"/>
  <c r="B2307" i="1"/>
  <c r="E2306" i="1"/>
  <c r="B2306" i="1"/>
  <c r="E2305" i="1"/>
  <c r="B2305" i="1"/>
  <c r="E2304" i="1"/>
  <c r="B2304" i="1"/>
  <c r="E2303" i="1"/>
  <c r="B2303" i="1"/>
  <c r="E2302" i="1"/>
  <c r="B2302" i="1"/>
  <c r="E2301" i="1"/>
  <c r="B2301" i="1"/>
  <c r="E2300" i="1"/>
  <c r="B2300" i="1"/>
  <c r="E2299" i="1"/>
  <c r="B2299" i="1"/>
  <c r="E2298" i="1"/>
  <c r="B2298" i="1"/>
  <c r="E2297" i="1"/>
  <c r="B2297" i="1"/>
  <c r="E2296" i="1"/>
  <c r="B2296" i="1"/>
  <c r="E2295" i="1"/>
  <c r="B2295" i="1"/>
  <c r="E2294" i="1"/>
  <c r="B2294" i="1"/>
  <c r="E2293" i="1"/>
  <c r="B2293" i="1"/>
  <c r="E2292" i="1"/>
  <c r="B2292" i="1"/>
  <c r="E2291" i="1"/>
  <c r="B2291" i="1"/>
  <c r="E2290" i="1"/>
  <c r="B2290" i="1"/>
  <c r="E2289" i="1"/>
  <c r="B2289" i="1"/>
  <c r="E2288" i="1"/>
  <c r="B2288" i="1"/>
  <c r="E2287" i="1"/>
  <c r="B2287" i="1"/>
  <c r="E2286" i="1"/>
  <c r="B2286" i="1"/>
  <c r="E2285" i="1"/>
  <c r="B2285" i="1"/>
  <c r="E2284" i="1"/>
  <c r="B2284" i="1"/>
  <c r="E2283" i="1"/>
  <c r="B2283" i="1"/>
  <c r="E2282" i="1"/>
  <c r="B2282" i="1"/>
  <c r="E2281" i="1"/>
  <c r="B2281" i="1"/>
  <c r="E2280" i="1"/>
  <c r="B2280" i="1"/>
  <c r="E2279" i="1"/>
  <c r="B2279" i="1"/>
  <c r="E2278" i="1"/>
  <c r="B2278" i="1"/>
  <c r="E2277" i="1"/>
  <c r="B2277" i="1"/>
  <c r="E2276" i="1"/>
  <c r="B2276" i="1"/>
  <c r="E2275" i="1"/>
  <c r="B2275" i="1"/>
  <c r="E2274" i="1"/>
  <c r="B2274" i="1"/>
  <c r="E2273" i="1"/>
  <c r="B2273" i="1"/>
  <c r="E2272" i="1"/>
  <c r="B2272" i="1"/>
  <c r="E2271" i="1"/>
  <c r="B2271" i="1"/>
  <c r="E2270" i="1"/>
  <c r="B2270" i="1"/>
  <c r="E2269" i="1"/>
  <c r="B2269" i="1"/>
  <c r="E2268" i="1"/>
  <c r="B2268" i="1"/>
  <c r="E2267" i="1"/>
  <c r="B2267" i="1"/>
  <c r="E2266" i="1"/>
  <c r="B2266" i="1"/>
  <c r="E2265" i="1"/>
  <c r="B2265" i="1"/>
  <c r="E2264" i="1"/>
  <c r="B2264" i="1"/>
  <c r="E2263" i="1"/>
  <c r="B2263" i="1"/>
  <c r="E2262" i="1"/>
  <c r="B2262" i="1"/>
  <c r="E2261" i="1"/>
  <c r="B2261" i="1"/>
  <c r="E2260" i="1"/>
  <c r="B2260" i="1"/>
  <c r="E2259" i="1"/>
  <c r="B2259" i="1"/>
  <c r="E2258" i="1"/>
  <c r="B2258" i="1"/>
  <c r="E2257" i="1"/>
  <c r="B2257" i="1"/>
  <c r="E2256" i="1"/>
  <c r="B2256" i="1"/>
  <c r="E2255" i="1"/>
  <c r="B2255" i="1"/>
  <c r="E2254" i="1"/>
  <c r="B2254" i="1"/>
  <c r="E2253" i="1"/>
  <c r="B2253" i="1"/>
  <c r="E2252" i="1"/>
  <c r="B2252" i="1"/>
  <c r="E2251" i="1"/>
  <c r="B2251" i="1"/>
  <c r="E2250" i="1"/>
  <c r="B2250" i="1"/>
  <c r="E2249" i="1"/>
  <c r="B2249" i="1"/>
  <c r="E2248" i="1"/>
  <c r="B2248" i="1"/>
  <c r="E2247" i="1"/>
  <c r="B2247" i="1"/>
  <c r="E2246" i="1"/>
  <c r="B2246" i="1"/>
  <c r="E2245" i="1"/>
  <c r="B2245" i="1"/>
  <c r="E2244" i="1"/>
  <c r="B2244" i="1"/>
  <c r="E2243" i="1"/>
  <c r="B2243" i="1"/>
  <c r="E2242" i="1"/>
  <c r="B2242" i="1"/>
  <c r="E2241" i="1"/>
  <c r="B2241" i="1"/>
  <c r="E2240" i="1"/>
  <c r="B2240" i="1"/>
  <c r="E2239" i="1"/>
  <c r="B2239" i="1"/>
  <c r="E2238" i="1"/>
  <c r="B2238" i="1"/>
  <c r="E2237" i="1"/>
  <c r="B2237" i="1"/>
  <c r="E2236" i="1"/>
  <c r="B2236" i="1"/>
  <c r="E2235" i="1"/>
  <c r="B2235" i="1"/>
  <c r="E2234" i="1"/>
  <c r="B2234" i="1"/>
  <c r="E2233" i="1"/>
  <c r="B2233" i="1"/>
  <c r="E2232" i="1"/>
  <c r="B2232" i="1"/>
  <c r="E2231" i="1"/>
  <c r="B2231" i="1"/>
  <c r="E2230" i="1"/>
  <c r="B2230" i="1"/>
  <c r="E2229" i="1"/>
  <c r="B2229" i="1"/>
  <c r="E2228" i="1"/>
  <c r="B2228" i="1"/>
  <c r="E2227" i="1"/>
  <c r="B2227" i="1"/>
  <c r="E2226" i="1"/>
  <c r="B2226" i="1"/>
  <c r="E2225" i="1"/>
  <c r="B2225" i="1"/>
  <c r="E2224" i="1"/>
  <c r="B2224" i="1"/>
  <c r="E2223" i="1"/>
  <c r="B2223" i="1"/>
  <c r="E2222" i="1"/>
  <c r="B2222" i="1"/>
  <c r="E2221" i="1"/>
  <c r="B2221" i="1"/>
  <c r="E2220" i="1"/>
  <c r="B2220" i="1"/>
  <c r="E2219" i="1"/>
  <c r="B2219" i="1"/>
  <c r="E2218" i="1"/>
  <c r="B2218" i="1"/>
  <c r="E2217" i="1"/>
  <c r="B2217" i="1"/>
  <c r="E2216" i="1"/>
  <c r="B2216" i="1"/>
  <c r="E2215" i="1"/>
  <c r="B2215" i="1"/>
  <c r="E2214" i="1"/>
  <c r="B2214" i="1"/>
  <c r="E2213" i="1"/>
  <c r="B2213" i="1"/>
  <c r="E2212" i="1"/>
  <c r="B2212" i="1"/>
  <c r="E2211" i="1"/>
  <c r="B2211" i="1"/>
  <c r="E2210" i="1"/>
  <c r="B2210" i="1"/>
  <c r="E2209" i="1"/>
  <c r="B2209" i="1"/>
  <c r="E2208" i="1"/>
  <c r="B2208" i="1"/>
  <c r="E2207" i="1"/>
  <c r="B2207" i="1"/>
  <c r="E2206" i="1"/>
  <c r="B2206" i="1"/>
  <c r="E2205" i="1"/>
  <c r="B2205" i="1"/>
  <c r="E2204" i="1"/>
  <c r="B2204" i="1"/>
  <c r="E2203" i="1"/>
  <c r="B2203" i="1"/>
  <c r="E2202" i="1"/>
  <c r="B2202" i="1"/>
  <c r="E2201" i="1"/>
  <c r="B2201" i="1"/>
  <c r="E2200" i="1"/>
  <c r="B2200" i="1"/>
  <c r="E2199" i="1"/>
  <c r="B2199" i="1"/>
  <c r="E2198" i="1"/>
  <c r="B2198" i="1"/>
  <c r="E2197" i="1"/>
  <c r="B2197" i="1"/>
  <c r="E2196" i="1"/>
  <c r="B2196" i="1"/>
  <c r="E2195" i="1"/>
  <c r="B2195" i="1"/>
  <c r="E2194" i="1"/>
  <c r="B2194" i="1"/>
  <c r="E2193" i="1"/>
  <c r="B2193" i="1"/>
  <c r="E2192" i="1"/>
  <c r="B2192" i="1"/>
  <c r="E2191" i="1"/>
  <c r="B2191" i="1"/>
  <c r="E2190" i="1"/>
  <c r="B2190" i="1"/>
  <c r="E2189" i="1"/>
  <c r="B2189" i="1"/>
  <c r="E2188" i="1"/>
  <c r="B2188" i="1"/>
  <c r="E2187" i="1"/>
  <c r="B2187" i="1"/>
  <c r="E2186" i="1"/>
  <c r="B2186" i="1"/>
  <c r="E2185" i="1"/>
  <c r="B2185" i="1"/>
  <c r="E2184" i="1"/>
  <c r="B2184" i="1"/>
  <c r="E2183" i="1"/>
  <c r="B2183" i="1"/>
  <c r="E2182" i="1"/>
  <c r="B2182" i="1"/>
  <c r="E2181" i="1"/>
  <c r="E2180" i="1"/>
  <c r="E2179" i="1"/>
  <c r="E2178" i="1"/>
  <c r="E2177" i="1"/>
  <c r="E2176" i="1"/>
  <c r="E2175" i="1"/>
  <c r="E2174" i="1"/>
  <c r="E2173" i="1"/>
  <c r="E2172" i="1"/>
  <c r="E2171" i="1"/>
  <c r="E2170" i="1"/>
  <c r="E2169" i="1"/>
  <c r="E2168" i="1"/>
  <c r="E2167" i="1"/>
  <c r="E2166" i="1"/>
  <c r="E2165" i="1"/>
  <c r="E2164" i="1"/>
  <c r="E2163" i="1"/>
  <c r="B2163" i="1"/>
  <c r="E2162" i="1"/>
  <c r="B2162" i="1"/>
  <c r="E2161" i="1"/>
  <c r="B2161" i="1"/>
  <c r="E2160" i="1"/>
  <c r="B2160" i="1"/>
  <c r="E2159" i="1"/>
  <c r="B2159" i="1"/>
  <c r="E2158" i="1"/>
  <c r="B2158" i="1"/>
  <c r="E2157" i="1"/>
  <c r="B2157" i="1"/>
  <c r="E2156" i="1"/>
  <c r="B2156" i="1"/>
  <c r="E2155" i="1"/>
  <c r="B2155" i="1"/>
  <c r="E2154" i="1"/>
  <c r="B2154" i="1"/>
  <c r="E2153" i="1"/>
  <c r="B2153" i="1"/>
  <c r="E2152" i="1"/>
  <c r="B2152" i="1"/>
  <c r="E2151" i="1"/>
  <c r="B2151" i="1"/>
  <c r="E2150" i="1"/>
  <c r="B2150" i="1"/>
  <c r="E2149" i="1"/>
  <c r="B2149" i="1"/>
  <c r="E2148" i="1"/>
  <c r="B2148" i="1"/>
  <c r="E2147" i="1"/>
  <c r="B2147" i="1"/>
  <c r="E2146" i="1"/>
  <c r="B2146" i="1"/>
  <c r="E2145" i="1"/>
  <c r="B2145" i="1"/>
  <c r="E2144" i="1"/>
  <c r="B2144" i="1"/>
  <c r="E2143" i="1"/>
  <c r="B2143" i="1"/>
  <c r="E2142" i="1"/>
  <c r="B2142" i="1"/>
  <c r="E2141" i="1"/>
  <c r="B2141" i="1"/>
  <c r="E2140" i="1"/>
  <c r="B2140" i="1"/>
  <c r="E2139" i="1"/>
  <c r="B2139" i="1"/>
  <c r="E2138" i="1"/>
  <c r="B2138" i="1"/>
  <c r="E2137" i="1"/>
  <c r="B2137" i="1"/>
  <c r="E2136" i="1"/>
  <c r="B2136" i="1"/>
  <c r="E2135" i="1"/>
  <c r="B2135" i="1"/>
  <c r="E2134" i="1"/>
  <c r="B2134" i="1"/>
  <c r="E2133" i="1"/>
  <c r="B2133" i="1"/>
  <c r="E2132" i="1"/>
  <c r="B2132" i="1"/>
  <c r="E2131" i="1"/>
  <c r="B2131" i="1"/>
  <c r="E2130" i="1"/>
  <c r="B2130" i="1"/>
  <c r="E2129" i="1"/>
  <c r="B2129" i="1"/>
  <c r="E2128" i="1"/>
  <c r="B2128" i="1"/>
  <c r="E2127" i="1"/>
  <c r="B2127" i="1"/>
  <c r="E2126" i="1"/>
  <c r="B2126" i="1"/>
  <c r="E2125" i="1"/>
  <c r="B2125" i="1"/>
  <c r="E2124" i="1"/>
  <c r="B2124" i="1"/>
  <c r="E2123" i="1"/>
  <c r="B2123" i="1"/>
  <c r="E2122" i="1"/>
  <c r="B2122" i="1"/>
  <c r="E2121" i="1"/>
  <c r="B2121" i="1"/>
  <c r="E2120" i="1"/>
  <c r="B2120" i="1"/>
  <c r="E2119" i="1"/>
  <c r="B2119" i="1"/>
  <c r="E2118" i="1"/>
  <c r="B2118" i="1"/>
  <c r="E2117" i="1"/>
  <c r="B2117" i="1"/>
  <c r="E2116" i="1"/>
  <c r="B2116" i="1"/>
  <c r="E2115" i="1"/>
  <c r="B2115" i="1"/>
  <c r="E2114" i="1"/>
  <c r="B2114" i="1"/>
  <c r="E2113" i="1"/>
  <c r="B2113" i="1"/>
  <c r="E2112" i="1"/>
  <c r="E2111" i="1"/>
  <c r="B2111" i="1"/>
  <c r="E2110" i="1"/>
  <c r="B2110" i="1"/>
  <c r="E2109" i="1"/>
  <c r="B2109" i="1"/>
  <c r="E2108" i="1"/>
  <c r="B2108" i="1"/>
  <c r="E2107" i="1"/>
  <c r="B2107" i="1"/>
  <c r="E2106" i="1"/>
  <c r="B2106" i="1"/>
  <c r="E2105" i="1"/>
  <c r="B2105" i="1"/>
  <c r="E2104" i="1"/>
  <c r="B2104" i="1"/>
  <c r="E2103" i="1"/>
  <c r="B2103" i="1"/>
  <c r="E2102" i="1"/>
  <c r="B2102" i="1"/>
  <c r="E2101" i="1"/>
  <c r="B2101" i="1"/>
  <c r="E2100" i="1"/>
  <c r="B2100" i="1"/>
  <c r="E2099" i="1"/>
  <c r="B2099" i="1"/>
  <c r="E2098" i="1"/>
  <c r="B2098" i="1"/>
  <c r="E2097" i="1"/>
  <c r="B2097" i="1"/>
  <c r="E2096" i="1"/>
  <c r="B2096" i="1"/>
  <c r="E2095" i="1"/>
  <c r="B2095" i="1"/>
  <c r="E2094" i="1"/>
  <c r="B2094" i="1"/>
  <c r="E2093" i="1"/>
  <c r="B2093" i="1"/>
  <c r="E2092" i="1"/>
  <c r="B2092" i="1"/>
  <c r="E2091" i="1"/>
  <c r="B2091" i="1"/>
  <c r="E2090" i="1"/>
  <c r="B2090" i="1"/>
  <c r="E2089" i="1"/>
  <c r="B2089" i="1"/>
  <c r="E2088" i="1"/>
  <c r="B2088" i="1"/>
  <c r="E2087" i="1"/>
  <c r="B2087" i="1"/>
  <c r="E2086" i="1"/>
  <c r="B2086" i="1"/>
  <c r="E2085" i="1"/>
  <c r="B2085" i="1"/>
  <c r="E2084" i="1"/>
  <c r="B2084" i="1"/>
  <c r="E2083" i="1"/>
  <c r="B2083" i="1"/>
  <c r="E2082" i="1"/>
  <c r="B2082" i="1"/>
  <c r="E2081" i="1"/>
  <c r="B2081" i="1"/>
  <c r="E2080" i="1"/>
  <c r="B2080" i="1"/>
  <c r="E2079" i="1"/>
  <c r="B2079" i="1"/>
  <c r="E2078" i="1"/>
  <c r="B2078" i="1"/>
  <c r="E2077" i="1"/>
  <c r="B2077" i="1"/>
  <c r="E2076" i="1"/>
  <c r="B2076" i="1"/>
  <c r="E2075" i="1"/>
  <c r="B2075" i="1"/>
  <c r="E2074" i="1"/>
  <c r="B2074" i="1"/>
  <c r="E2073" i="1"/>
  <c r="B2073" i="1"/>
  <c r="E2072" i="1"/>
  <c r="B2072" i="1"/>
  <c r="E2071" i="1"/>
  <c r="B2071" i="1"/>
  <c r="E2070" i="1"/>
  <c r="B2070" i="1"/>
  <c r="E2069" i="1"/>
  <c r="B2069" i="1"/>
  <c r="E2068" i="1"/>
  <c r="B2068" i="1"/>
  <c r="E2067" i="1"/>
  <c r="B2067" i="1"/>
  <c r="E2066" i="1"/>
  <c r="B2066" i="1"/>
  <c r="E2065" i="1"/>
  <c r="B2065" i="1"/>
  <c r="E2064" i="1"/>
  <c r="B2064" i="1"/>
  <c r="E2063" i="1"/>
  <c r="B2063" i="1"/>
  <c r="E2062" i="1"/>
  <c r="B2062" i="1"/>
  <c r="E2061" i="1"/>
  <c r="B2061" i="1"/>
  <c r="E2060" i="1"/>
  <c r="B2060" i="1"/>
  <c r="E2059" i="1"/>
  <c r="E2058" i="1"/>
  <c r="E2057" i="1"/>
  <c r="B2057" i="1"/>
  <c r="E2056" i="1"/>
  <c r="B2056" i="1"/>
  <c r="E2055" i="1"/>
  <c r="B2055" i="1"/>
  <c r="E2054" i="1"/>
  <c r="B2054" i="1"/>
  <c r="E2053" i="1"/>
  <c r="B2053" i="1"/>
  <c r="E2052" i="1"/>
  <c r="B2052" i="1"/>
  <c r="E2051" i="1"/>
  <c r="B2051" i="1"/>
  <c r="E2050" i="1"/>
  <c r="B2050" i="1"/>
  <c r="E2049" i="1"/>
  <c r="B2049" i="1"/>
  <c r="E2048" i="1"/>
  <c r="B2048" i="1"/>
  <c r="E2047" i="1"/>
  <c r="B2047" i="1"/>
  <c r="E2046" i="1"/>
  <c r="B2046" i="1"/>
  <c r="E2045" i="1"/>
  <c r="B2045" i="1"/>
  <c r="E2044" i="1"/>
  <c r="B2044" i="1"/>
  <c r="E2043" i="1"/>
  <c r="B2043" i="1"/>
  <c r="E2042" i="1"/>
  <c r="B2042" i="1"/>
  <c r="E2041" i="1"/>
  <c r="B2041" i="1"/>
  <c r="E2040" i="1"/>
  <c r="B2040" i="1"/>
  <c r="E2039" i="1"/>
  <c r="B2039" i="1"/>
  <c r="E2038" i="1"/>
  <c r="B2038" i="1"/>
  <c r="E2037" i="1"/>
  <c r="B2037" i="1"/>
  <c r="E2036" i="1"/>
  <c r="B2036" i="1"/>
  <c r="E2035" i="1"/>
  <c r="B2035" i="1"/>
  <c r="E2034" i="1"/>
  <c r="B2034" i="1"/>
  <c r="E2033" i="1"/>
  <c r="B2033" i="1"/>
  <c r="E2032" i="1"/>
  <c r="B2032" i="1"/>
  <c r="E2031" i="1"/>
  <c r="B2031" i="1"/>
  <c r="E2030" i="1"/>
  <c r="B2030" i="1"/>
  <c r="E2029" i="1"/>
  <c r="B2029" i="1"/>
  <c r="E2028" i="1"/>
  <c r="B2028" i="1"/>
  <c r="E2027" i="1"/>
  <c r="B2027" i="1"/>
  <c r="E2026" i="1"/>
  <c r="B2026" i="1"/>
  <c r="E2025" i="1"/>
  <c r="B2025" i="1"/>
  <c r="E2024" i="1"/>
  <c r="B2024" i="1"/>
  <c r="E2023" i="1"/>
  <c r="B2023" i="1"/>
  <c r="E2022" i="1"/>
  <c r="B2022" i="1"/>
  <c r="E2021" i="1"/>
  <c r="B2021" i="1"/>
  <c r="E2020" i="1"/>
  <c r="B2020" i="1"/>
  <c r="E2019" i="1"/>
  <c r="B2019" i="1"/>
  <c r="E2018" i="1"/>
  <c r="B2018" i="1"/>
  <c r="E2017" i="1"/>
  <c r="B2017" i="1"/>
  <c r="E2016" i="1"/>
  <c r="B2016" i="1"/>
  <c r="E2015" i="1"/>
  <c r="B2015" i="1"/>
  <c r="E2014" i="1"/>
  <c r="B2014" i="1"/>
  <c r="E2013" i="1"/>
  <c r="B2013" i="1"/>
  <c r="E2012" i="1"/>
  <c r="B2012" i="1"/>
  <c r="E2011" i="1"/>
  <c r="B2011" i="1"/>
  <c r="E2010" i="1"/>
  <c r="B2010" i="1"/>
  <c r="E2009" i="1"/>
  <c r="B2009" i="1"/>
  <c r="E2008" i="1"/>
  <c r="B2008" i="1"/>
  <c r="E2007" i="1"/>
  <c r="B2007" i="1"/>
  <c r="E2006" i="1"/>
  <c r="B2006" i="1"/>
  <c r="E2005" i="1"/>
  <c r="B2005" i="1"/>
  <c r="E2004" i="1"/>
  <c r="B2004" i="1"/>
  <c r="E2003" i="1"/>
  <c r="B2003" i="1"/>
  <c r="E2002" i="1"/>
  <c r="B2002" i="1"/>
  <c r="E2001" i="1"/>
  <c r="B2001" i="1"/>
  <c r="E2000" i="1"/>
  <c r="B2000" i="1"/>
  <c r="E1999" i="1"/>
  <c r="B1999" i="1"/>
  <c r="E1998" i="1"/>
  <c r="B1998" i="1"/>
  <c r="E1997" i="1"/>
  <c r="B1997" i="1"/>
  <c r="E1996" i="1"/>
  <c r="B1996" i="1"/>
  <c r="E1995" i="1"/>
  <c r="B1995" i="1"/>
  <c r="E1994" i="1"/>
  <c r="B1994" i="1"/>
  <c r="E1993" i="1"/>
  <c r="B1993" i="1"/>
  <c r="E1992" i="1"/>
  <c r="B1992" i="1"/>
  <c r="E1991" i="1"/>
  <c r="B1991" i="1"/>
  <c r="E1990" i="1"/>
  <c r="B1990" i="1"/>
  <c r="E1989" i="1"/>
  <c r="B1989" i="1"/>
  <c r="E1988" i="1"/>
  <c r="B1988" i="1"/>
  <c r="E1987" i="1"/>
  <c r="B1987" i="1"/>
  <c r="E1986" i="1"/>
  <c r="B1986" i="1"/>
  <c r="E1985" i="1"/>
  <c r="B1985" i="1"/>
  <c r="E1984" i="1"/>
  <c r="B1984" i="1"/>
  <c r="E1983" i="1"/>
  <c r="B1983" i="1"/>
  <c r="E1982" i="1"/>
  <c r="B1982" i="1"/>
  <c r="E1981" i="1"/>
  <c r="B1981" i="1"/>
  <c r="E1980" i="1"/>
  <c r="B1980" i="1"/>
  <c r="E1979" i="1"/>
  <c r="B1979" i="1"/>
  <c r="E1978" i="1"/>
  <c r="B1978" i="1"/>
  <c r="E1977" i="1"/>
  <c r="B1977" i="1"/>
  <c r="E1976" i="1"/>
  <c r="B1976" i="1"/>
  <c r="E1975" i="1"/>
  <c r="B1975" i="1"/>
  <c r="E1974" i="1"/>
  <c r="B1974" i="1"/>
  <c r="E1973" i="1"/>
  <c r="B1973" i="1"/>
  <c r="E1972" i="1"/>
  <c r="B1972" i="1"/>
  <c r="E1971" i="1"/>
  <c r="B1971" i="1"/>
  <c r="E1970" i="1"/>
  <c r="B1970" i="1"/>
  <c r="E1969" i="1"/>
  <c r="B1969" i="1"/>
  <c r="E1968" i="1"/>
  <c r="B1968" i="1"/>
  <c r="E1967" i="1"/>
  <c r="B1967" i="1"/>
  <c r="E1966" i="1"/>
  <c r="B1966" i="1"/>
  <c r="E1965" i="1"/>
  <c r="B1965" i="1"/>
  <c r="E1964" i="1"/>
  <c r="B1964" i="1"/>
  <c r="E1963" i="1"/>
  <c r="B1963" i="1"/>
  <c r="E1962" i="1"/>
  <c r="B1962" i="1"/>
  <c r="E1961" i="1"/>
  <c r="B1961" i="1"/>
  <c r="E1960" i="1"/>
  <c r="B1960" i="1"/>
  <c r="E1959" i="1"/>
  <c r="B1959" i="1"/>
  <c r="E1958" i="1"/>
  <c r="B1958" i="1"/>
  <c r="E1957" i="1"/>
  <c r="B1957" i="1"/>
  <c r="E1956" i="1"/>
  <c r="B1956" i="1"/>
  <c r="E1955" i="1"/>
  <c r="B1955" i="1"/>
  <c r="E1954" i="1"/>
  <c r="B1954" i="1"/>
  <c r="E1953" i="1"/>
  <c r="B1953" i="1"/>
  <c r="E1952" i="1"/>
  <c r="B1952" i="1"/>
  <c r="E1951" i="1"/>
  <c r="B1951" i="1"/>
  <c r="E1950" i="1"/>
  <c r="B1950" i="1"/>
  <c r="E1949" i="1"/>
  <c r="B1949" i="1"/>
  <c r="E1948" i="1"/>
  <c r="B1948" i="1"/>
  <c r="E1947" i="1"/>
  <c r="B1947" i="1"/>
  <c r="E1946" i="1"/>
  <c r="B1946" i="1"/>
  <c r="E1945" i="1"/>
  <c r="E1944" i="1"/>
  <c r="B1944" i="1"/>
  <c r="E1943" i="1"/>
  <c r="B1943" i="1"/>
  <c r="E1942" i="1"/>
  <c r="B1942" i="1"/>
  <c r="E1941" i="1"/>
  <c r="B1941" i="1"/>
  <c r="E1940" i="1"/>
  <c r="B1940" i="1"/>
  <c r="E1939" i="1"/>
  <c r="B1939" i="1"/>
  <c r="E1938" i="1"/>
  <c r="B1938" i="1"/>
  <c r="E1937" i="1"/>
  <c r="B1937" i="1"/>
  <c r="E1936" i="1"/>
  <c r="B1936" i="1"/>
  <c r="E1935" i="1"/>
  <c r="B1935" i="1"/>
  <c r="E1934" i="1"/>
  <c r="B1934" i="1"/>
  <c r="E1933" i="1"/>
  <c r="B1933" i="1"/>
  <c r="E1932" i="1"/>
  <c r="B1932" i="1"/>
  <c r="E1931" i="1"/>
  <c r="B1931" i="1"/>
  <c r="E1930" i="1"/>
  <c r="B1930" i="1"/>
  <c r="E1929" i="1"/>
  <c r="B1929" i="1"/>
  <c r="E1928" i="1"/>
  <c r="B1928" i="1"/>
  <c r="E1927" i="1"/>
  <c r="B1927" i="1"/>
  <c r="E1926" i="1"/>
  <c r="B1926" i="1"/>
  <c r="E1925" i="1"/>
  <c r="B1925" i="1"/>
  <c r="E1924" i="1"/>
  <c r="B1924" i="1"/>
  <c r="E1923" i="1"/>
  <c r="B1923" i="1"/>
  <c r="E1922" i="1"/>
  <c r="B1922" i="1"/>
  <c r="E1921" i="1"/>
  <c r="B1921" i="1"/>
  <c r="E1920" i="1"/>
  <c r="B1920" i="1"/>
  <c r="E1919" i="1"/>
  <c r="B1919" i="1"/>
  <c r="E1918" i="1"/>
  <c r="B1918" i="1"/>
  <c r="E1917" i="1"/>
  <c r="B1917" i="1"/>
  <c r="E1916" i="1"/>
  <c r="B1916" i="1"/>
  <c r="E1915" i="1"/>
  <c r="B1915" i="1"/>
  <c r="E1914" i="1"/>
  <c r="B1914" i="1"/>
  <c r="E1913" i="1"/>
  <c r="B1913" i="1"/>
  <c r="E1912" i="1"/>
  <c r="B1912" i="1"/>
  <c r="E1911" i="1"/>
  <c r="B1911" i="1"/>
  <c r="E1910" i="1"/>
  <c r="B1910" i="1"/>
  <c r="E1909" i="1"/>
  <c r="B1909" i="1"/>
  <c r="E1908" i="1"/>
  <c r="B1908" i="1"/>
  <c r="E1907" i="1"/>
  <c r="B1907" i="1"/>
  <c r="E1906" i="1"/>
  <c r="B1906" i="1"/>
  <c r="E1905" i="1"/>
  <c r="B1905" i="1"/>
  <c r="E1904" i="1"/>
  <c r="B1904" i="1"/>
  <c r="E1903" i="1"/>
  <c r="B1903" i="1"/>
  <c r="E1902" i="1"/>
  <c r="B1902" i="1"/>
  <c r="E1901" i="1"/>
  <c r="B1901" i="1"/>
  <c r="E1900" i="1"/>
  <c r="B1900" i="1"/>
  <c r="E1899" i="1"/>
  <c r="B1899" i="1"/>
  <c r="E1898" i="1"/>
  <c r="B1898" i="1"/>
  <c r="E1897" i="1"/>
  <c r="B1897" i="1"/>
  <c r="E1896" i="1"/>
  <c r="B1896" i="1"/>
  <c r="E1895" i="1"/>
  <c r="B1895" i="1"/>
  <c r="E1894" i="1"/>
  <c r="B1894" i="1"/>
  <c r="E1893" i="1"/>
  <c r="B1893" i="1"/>
  <c r="E1892" i="1"/>
  <c r="B1892" i="1"/>
  <c r="E1891" i="1"/>
  <c r="B1891" i="1"/>
  <c r="E1890" i="1"/>
  <c r="B1890" i="1"/>
  <c r="E1889" i="1"/>
  <c r="B1889" i="1"/>
  <c r="E1888" i="1"/>
  <c r="B1888" i="1"/>
  <c r="E1887" i="1"/>
  <c r="B1887" i="1"/>
  <c r="E1886" i="1"/>
  <c r="B1886" i="1"/>
  <c r="E1885" i="1"/>
  <c r="B1885" i="1"/>
  <c r="E1884" i="1"/>
  <c r="B1884" i="1"/>
  <c r="E1883" i="1"/>
  <c r="B1883" i="1"/>
  <c r="E1882" i="1"/>
  <c r="B1882" i="1"/>
  <c r="E1881" i="1"/>
  <c r="B1881" i="1"/>
  <c r="E1880" i="1"/>
  <c r="B1880" i="1"/>
  <c r="E1879" i="1"/>
  <c r="B1879" i="1"/>
  <c r="E1878" i="1"/>
  <c r="B1878" i="1"/>
  <c r="E1877" i="1"/>
  <c r="B1877" i="1"/>
  <c r="E1876" i="1"/>
  <c r="B1876" i="1"/>
  <c r="E1875" i="1"/>
  <c r="B1875" i="1"/>
  <c r="E1874" i="1"/>
  <c r="B1874" i="1"/>
  <c r="E1873" i="1"/>
  <c r="B1873" i="1"/>
  <c r="E1872" i="1"/>
  <c r="B1872" i="1"/>
  <c r="E1871" i="1"/>
  <c r="B1871" i="1"/>
  <c r="E1870" i="1"/>
  <c r="B1870" i="1"/>
  <c r="E1869" i="1"/>
  <c r="B1869" i="1"/>
  <c r="E1868" i="1"/>
  <c r="B1868" i="1"/>
  <c r="E1867" i="1"/>
  <c r="B1867" i="1"/>
  <c r="E1866" i="1"/>
  <c r="B1866" i="1"/>
  <c r="E1865" i="1"/>
  <c r="B1865" i="1"/>
  <c r="E1864" i="1"/>
  <c r="B1864" i="1"/>
  <c r="E1863" i="1"/>
  <c r="B1863" i="1"/>
  <c r="E1862" i="1"/>
  <c r="B1862" i="1"/>
  <c r="E1861" i="1"/>
  <c r="B1861" i="1"/>
  <c r="E1860" i="1"/>
  <c r="B1860" i="1"/>
  <c r="E1859" i="1"/>
  <c r="B1859" i="1"/>
  <c r="E1858" i="1"/>
  <c r="B1858" i="1"/>
  <c r="E1857" i="1"/>
  <c r="B1857" i="1"/>
  <c r="E1856" i="1"/>
  <c r="B1856" i="1"/>
  <c r="E1855" i="1"/>
  <c r="B1855" i="1"/>
  <c r="E1854" i="1"/>
  <c r="B1854" i="1"/>
  <c r="E1853" i="1"/>
  <c r="B1853" i="1"/>
  <c r="E1852" i="1"/>
  <c r="B1852" i="1"/>
  <c r="E1851" i="1"/>
  <c r="B1851" i="1"/>
  <c r="E1850" i="1"/>
  <c r="B1850" i="1"/>
  <c r="E1849" i="1"/>
  <c r="B1849" i="1"/>
  <c r="E1848" i="1"/>
  <c r="B1848" i="1"/>
  <c r="E1847" i="1"/>
  <c r="B1847" i="1"/>
  <c r="E1846" i="1"/>
  <c r="B1846" i="1"/>
  <c r="E1845" i="1"/>
  <c r="B1845" i="1"/>
  <c r="E1844" i="1"/>
  <c r="B1844" i="1"/>
  <c r="E1843" i="1"/>
  <c r="B1843" i="1"/>
  <c r="E1842" i="1"/>
  <c r="B1842" i="1"/>
  <c r="E1841" i="1"/>
  <c r="B1841" i="1"/>
  <c r="E1840" i="1"/>
  <c r="B1840" i="1"/>
  <c r="E1839" i="1"/>
  <c r="B1839" i="1"/>
  <c r="E1838" i="1"/>
  <c r="B1838" i="1"/>
  <c r="E1837" i="1"/>
  <c r="B1837" i="1"/>
  <c r="E1836" i="1"/>
  <c r="B1836" i="1"/>
  <c r="E1835" i="1"/>
  <c r="B1835" i="1"/>
  <c r="E1834" i="1"/>
  <c r="B1834" i="1"/>
  <c r="E1833" i="1"/>
  <c r="B1833" i="1"/>
  <c r="E1832" i="1"/>
  <c r="B1832" i="1"/>
  <c r="E1831" i="1"/>
  <c r="B1831" i="1"/>
  <c r="E1830" i="1"/>
  <c r="B1830" i="1"/>
  <c r="E1829" i="1"/>
  <c r="B1829" i="1"/>
  <c r="E1828" i="1"/>
  <c r="B1828" i="1"/>
  <c r="E1827" i="1"/>
  <c r="B1827" i="1"/>
  <c r="E1826" i="1"/>
  <c r="B1826" i="1"/>
  <c r="E1825" i="1"/>
  <c r="B1825" i="1"/>
  <c r="E1824" i="1"/>
  <c r="B1824" i="1"/>
  <c r="E1823" i="1"/>
  <c r="B1823" i="1"/>
  <c r="E1822" i="1"/>
  <c r="B1822" i="1"/>
  <c r="E1821" i="1"/>
  <c r="B1821" i="1"/>
  <c r="E1820" i="1"/>
  <c r="B1820" i="1"/>
  <c r="E1819" i="1"/>
  <c r="B1819" i="1"/>
  <c r="E1818" i="1"/>
  <c r="B1818" i="1"/>
  <c r="E1817" i="1"/>
  <c r="B1817" i="1"/>
  <c r="E1816" i="1"/>
  <c r="B1816" i="1"/>
  <c r="E1815" i="1"/>
  <c r="B1815" i="1"/>
  <c r="E1814" i="1"/>
  <c r="B1814" i="1"/>
  <c r="E1813" i="1"/>
  <c r="B1813" i="1"/>
  <c r="E1812" i="1"/>
  <c r="B1812" i="1"/>
  <c r="E1811" i="1"/>
  <c r="B1811" i="1"/>
  <c r="E1810" i="1"/>
  <c r="B1810" i="1"/>
  <c r="E1809" i="1"/>
  <c r="B1809" i="1"/>
  <c r="E1808" i="1"/>
  <c r="B1808" i="1"/>
  <c r="E1807" i="1"/>
  <c r="B1807" i="1"/>
  <c r="E1806" i="1"/>
  <c r="B1806" i="1"/>
  <c r="E1805" i="1"/>
  <c r="B1805" i="1"/>
  <c r="E1804" i="1"/>
  <c r="B1804" i="1"/>
  <c r="E1803" i="1"/>
  <c r="B1803" i="1"/>
  <c r="E1802" i="1"/>
  <c r="B1802" i="1"/>
  <c r="E1801" i="1"/>
  <c r="B1801" i="1"/>
  <c r="E1800" i="1"/>
  <c r="B1800" i="1"/>
  <c r="E1799" i="1"/>
  <c r="B1799" i="1"/>
  <c r="E1798" i="1"/>
  <c r="B1798" i="1"/>
  <c r="E1797" i="1"/>
  <c r="B1797" i="1"/>
  <c r="E1796" i="1"/>
  <c r="B1796" i="1"/>
  <c r="E1795" i="1"/>
  <c r="B1795" i="1"/>
  <c r="E1794" i="1"/>
  <c r="B1794" i="1"/>
  <c r="E1793" i="1"/>
  <c r="B1793" i="1"/>
  <c r="E1792" i="1"/>
  <c r="B1792" i="1"/>
  <c r="E1791" i="1"/>
  <c r="B1791" i="1"/>
  <c r="E1790" i="1"/>
  <c r="B1790" i="1"/>
  <c r="E1789" i="1"/>
  <c r="B1789" i="1"/>
  <c r="E1788" i="1"/>
  <c r="B1788" i="1"/>
  <c r="E1787" i="1"/>
  <c r="B1787" i="1"/>
  <c r="E1786" i="1"/>
  <c r="B1786" i="1"/>
  <c r="E1785" i="1"/>
  <c r="B1785" i="1"/>
  <c r="E1784" i="1"/>
  <c r="B1784" i="1"/>
  <c r="E1783" i="1"/>
  <c r="B1783" i="1"/>
  <c r="E1782" i="1"/>
  <c r="B1782" i="1"/>
  <c r="E1781" i="1"/>
  <c r="B1781" i="1"/>
  <c r="E1780" i="1"/>
  <c r="B1780" i="1"/>
  <c r="E1779" i="1"/>
  <c r="B1779" i="1"/>
  <c r="E1778" i="1"/>
  <c r="B1778" i="1"/>
  <c r="E1777" i="1"/>
  <c r="B1777" i="1"/>
  <c r="E1776" i="1"/>
  <c r="B1776" i="1"/>
  <c r="E1775" i="1"/>
  <c r="B1775" i="1"/>
  <c r="E1774" i="1"/>
  <c r="B1774" i="1"/>
  <c r="E1773" i="1"/>
  <c r="B1773" i="1"/>
  <c r="E1772" i="1"/>
  <c r="B1772" i="1"/>
  <c r="E1771" i="1"/>
  <c r="B1771" i="1"/>
  <c r="E1770" i="1"/>
  <c r="B1770" i="1"/>
  <c r="E1769" i="1"/>
  <c r="B1769" i="1"/>
  <c r="E1768" i="1"/>
  <c r="B1768" i="1"/>
  <c r="E1767" i="1"/>
  <c r="B1767" i="1"/>
  <c r="E1766" i="1"/>
  <c r="B1766" i="1"/>
  <c r="E1765" i="1"/>
  <c r="B1765" i="1"/>
  <c r="E1764" i="1"/>
  <c r="B1764" i="1"/>
  <c r="E1763" i="1"/>
  <c r="B1763" i="1"/>
  <c r="E1762" i="1"/>
  <c r="B1762" i="1"/>
  <c r="E1761" i="1"/>
  <c r="B1761" i="1"/>
  <c r="E1760" i="1"/>
  <c r="B1760" i="1"/>
  <c r="E1759" i="1"/>
  <c r="B1759" i="1"/>
  <c r="E1758" i="1"/>
  <c r="B1758" i="1"/>
  <c r="E1757" i="1"/>
  <c r="B1757" i="1"/>
  <c r="E1756" i="1"/>
  <c r="B1756" i="1"/>
  <c r="E1755" i="1"/>
  <c r="B1755" i="1"/>
  <c r="E1754" i="1"/>
  <c r="B1754" i="1"/>
  <c r="E1753" i="1"/>
  <c r="B1753" i="1"/>
  <c r="E1752" i="1"/>
  <c r="B1752" i="1"/>
  <c r="E1751" i="1"/>
  <c r="B1751" i="1"/>
  <c r="E1750" i="1"/>
  <c r="B1750" i="1"/>
  <c r="E1749" i="1"/>
  <c r="B1749" i="1"/>
  <c r="E1748" i="1"/>
  <c r="B1748" i="1"/>
  <c r="E1747" i="1"/>
  <c r="B1747" i="1"/>
  <c r="E1746" i="1"/>
  <c r="B1746" i="1"/>
  <c r="E1745" i="1"/>
  <c r="B1745" i="1"/>
  <c r="E1744" i="1"/>
  <c r="B1744" i="1"/>
  <c r="E1743" i="1"/>
  <c r="B1743" i="1"/>
  <c r="E1742" i="1"/>
  <c r="B1742" i="1"/>
  <c r="E1741" i="1"/>
  <c r="B1741" i="1"/>
  <c r="E1740" i="1"/>
  <c r="B1740" i="1"/>
  <c r="E1739" i="1"/>
  <c r="B1739" i="1"/>
  <c r="E1738" i="1"/>
  <c r="B1738" i="1"/>
  <c r="E1737" i="1"/>
  <c r="B1737" i="1"/>
  <c r="E1736" i="1"/>
  <c r="B1736" i="1"/>
  <c r="E1735" i="1"/>
  <c r="B1735" i="1"/>
  <c r="E1734" i="1"/>
  <c r="B1734" i="1"/>
  <c r="E1733" i="1"/>
  <c r="B1733" i="1"/>
  <c r="E1732" i="1"/>
  <c r="B1732" i="1"/>
  <c r="E1731" i="1"/>
  <c r="B1731" i="1"/>
  <c r="E1730" i="1"/>
  <c r="B1730" i="1"/>
  <c r="E1729" i="1"/>
  <c r="B1729" i="1"/>
  <c r="E1728" i="1"/>
  <c r="B1728" i="1"/>
  <c r="E1727" i="1"/>
  <c r="B1727" i="1"/>
  <c r="E1726" i="1"/>
  <c r="B1726" i="1"/>
  <c r="E1725" i="1"/>
  <c r="B1725" i="1"/>
  <c r="E1724" i="1"/>
  <c r="B1724" i="1"/>
  <c r="E1723" i="1"/>
  <c r="B1723" i="1"/>
  <c r="E1722" i="1"/>
  <c r="B1722" i="1"/>
  <c r="E1721" i="1"/>
  <c r="B1721" i="1"/>
  <c r="E1720" i="1"/>
  <c r="B1720" i="1"/>
  <c r="E1719" i="1"/>
  <c r="B1719" i="1"/>
  <c r="E1718" i="1"/>
  <c r="B1718" i="1"/>
  <c r="E1717" i="1"/>
  <c r="B1717" i="1"/>
  <c r="E1716" i="1"/>
  <c r="B1716" i="1"/>
  <c r="E1715" i="1"/>
  <c r="B1715" i="1"/>
  <c r="E1714" i="1"/>
  <c r="B1714" i="1"/>
  <c r="E1713" i="1"/>
  <c r="B1713" i="1"/>
  <c r="E1712" i="1"/>
  <c r="B1712" i="1"/>
  <c r="E1711" i="1"/>
  <c r="B1711" i="1"/>
  <c r="E1710" i="1"/>
  <c r="B1710" i="1"/>
  <c r="E1709" i="1"/>
  <c r="B1709" i="1"/>
  <c r="E1708" i="1"/>
  <c r="B1708" i="1"/>
  <c r="E1707" i="1"/>
  <c r="B1707" i="1"/>
  <c r="E1706" i="1"/>
  <c r="B1706" i="1"/>
  <c r="E1705" i="1"/>
  <c r="B1705" i="1"/>
  <c r="E1704" i="1"/>
  <c r="B1704" i="1"/>
  <c r="E1703" i="1"/>
  <c r="B1703" i="1"/>
  <c r="E1702" i="1"/>
  <c r="B1702" i="1"/>
  <c r="E1701" i="1"/>
  <c r="B1701" i="1"/>
  <c r="E1700" i="1"/>
  <c r="B1700" i="1"/>
  <c r="E1699" i="1"/>
  <c r="B1699" i="1"/>
  <c r="E1698" i="1"/>
  <c r="B1698" i="1"/>
  <c r="E1697" i="1"/>
  <c r="B1697" i="1"/>
  <c r="E1696" i="1"/>
  <c r="B1696" i="1"/>
  <c r="E1695" i="1"/>
  <c r="B1695" i="1"/>
  <c r="E1694" i="1"/>
  <c r="B1694" i="1"/>
  <c r="E1693" i="1"/>
  <c r="B1693" i="1"/>
  <c r="E1692" i="1"/>
  <c r="B1692" i="1"/>
  <c r="E1691" i="1"/>
  <c r="B1691" i="1"/>
  <c r="E1690" i="1"/>
  <c r="B1690" i="1"/>
  <c r="E1689" i="1"/>
  <c r="B1689" i="1"/>
  <c r="E1688" i="1"/>
  <c r="B1688" i="1"/>
  <c r="E1687" i="1"/>
  <c r="B1687" i="1"/>
  <c r="E1686" i="1"/>
  <c r="B1686" i="1"/>
  <c r="E1685" i="1"/>
  <c r="B1685" i="1"/>
  <c r="E1684" i="1"/>
  <c r="B1684" i="1"/>
  <c r="E1683" i="1"/>
  <c r="B1683" i="1"/>
  <c r="E1682" i="1"/>
  <c r="B1682" i="1"/>
  <c r="E1681" i="1"/>
  <c r="B1681" i="1"/>
  <c r="E1680" i="1"/>
  <c r="B1680" i="1"/>
  <c r="E1679" i="1"/>
  <c r="B1679" i="1"/>
  <c r="E1678" i="1"/>
  <c r="B1678" i="1"/>
  <c r="E1677" i="1"/>
  <c r="B1677" i="1"/>
  <c r="E1676" i="1"/>
  <c r="B1676" i="1"/>
  <c r="E1675" i="1"/>
  <c r="B1675" i="1"/>
  <c r="E1674" i="1"/>
  <c r="B1674" i="1"/>
  <c r="E1673" i="1"/>
  <c r="B1673" i="1"/>
  <c r="E1672" i="1"/>
  <c r="B1672" i="1"/>
  <c r="E1671" i="1"/>
  <c r="B1671" i="1"/>
  <c r="E1670" i="1"/>
  <c r="B1670" i="1"/>
  <c r="E1669" i="1"/>
  <c r="B1669" i="1"/>
  <c r="E1668" i="1"/>
  <c r="B1668" i="1"/>
  <c r="E1667" i="1"/>
  <c r="B1667" i="1"/>
  <c r="E1666" i="1"/>
  <c r="B1666" i="1"/>
  <c r="E1665" i="1"/>
  <c r="B1665" i="1"/>
  <c r="E1664" i="1"/>
  <c r="B1664" i="1"/>
  <c r="E1663" i="1"/>
  <c r="B1663" i="1"/>
  <c r="E1662" i="1"/>
  <c r="B1662" i="1"/>
  <c r="E1661" i="1"/>
  <c r="B1661" i="1"/>
  <c r="E1660" i="1"/>
  <c r="B1660" i="1"/>
  <c r="E1659" i="1"/>
  <c r="B1659" i="1"/>
  <c r="E1658" i="1"/>
  <c r="B1658" i="1"/>
  <c r="E1657" i="1"/>
  <c r="B1657" i="1"/>
  <c r="E1656" i="1"/>
  <c r="B1656" i="1"/>
  <c r="E1655" i="1"/>
  <c r="B1655" i="1"/>
  <c r="E1654" i="1"/>
  <c r="B1654" i="1"/>
  <c r="E1653" i="1"/>
  <c r="B1653" i="1"/>
  <c r="E1652" i="1"/>
  <c r="B1652" i="1"/>
  <c r="E1651" i="1"/>
  <c r="B1651" i="1"/>
  <c r="E1650" i="1"/>
  <c r="B1650" i="1"/>
  <c r="E1649" i="1"/>
  <c r="B1649" i="1"/>
  <c r="E1648" i="1"/>
  <c r="B1648" i="1"/>
  <c r="E1647" i="1"/>
  <c r="B1647" i="1"/>
  <c r="E1646" i="1"/>
  <c r="B1646" i="1"/>
  <c r="E1645" i="1"/>
  <c r="B1645" i="1"/>
  <c r="E1644" i="1"/>
  <c r="B1644" i="1"/>
  <c r="E1643" i="1"/>
  <c r="B1643" i="1"/>
  <c r="E1642" i="1"/>
  <c r="B1642" i="1"/>
  <c r="E1641" i="1"/>
  <c r="B1641" i="1"/>
  <c r="E1640" i="1"/>
  <c r="B1640" i="1"/>
  <c r="E1639" i="1"/>
  <c r="B1639" i="1"/>
  <c r="E1638" i="1"/>
  <c r="B1638" i="1"/>
  <c r="E1637" i="1"/>
  <c r="B1637" i="1"/>
  <c r="E1636" i="1"/>
  <c r="B1636" i="1"/>
  <c r="E1635" i="1"/>
  <c r="B1635" i="1"/>
  <c r="E1634" i="1"/>
  <c r="B1634" i="1"/>
  <c r="E1633" i="1"/>
  <c r="B1633" i="1"/>
  <c r="E1632" i="1"/>
  <c r="B1632" i="1"/>
  <c r="E1631" i="1"/>
  <c r="B1631" i="1"/>
  <c r="E1630" i="1"/>
  <c r="B1630" i="1"/>
  <c r="E1629" i="1"/>
  <c r="B1629" i="1"/>
  <c r="E1628" i="1"/>
  <c r="B1628" i="1"/>
  <c r="E1627" i="1"/>
  <c r="B1627" i="1"/>
  <c r="E1626" i="1"/>
  <c r="B1626" i="1"/>
  <c r="E1625" i="1"/>
  <c r="B1625" i="1"/>
  <c r="E1624" i="1"/>
  <c r="B1624" i="1"/>
  <c r="E1623" i="1"/>
  <c r="B1623" i="1"/>
  <c r="E1622" i="1"/>
  <c r="B1622" i="1"/>
  <c r="E1621" i="1"/>
  <c r="B1621" i="1"/>
  <c r="E1620" i="1"/>
  <c r="B1620" i="1"/>
  <c r="E1619" i="1"/>
  <c r="B1619" i="1"/>
  <c r="E1618" i="1"/>
  <c r="B1618" i="1"/>
  <c r="E1617" i="1"/>
  <c r="B1617" i="1"/>
  <c r="E1616" i="1"/>
  <c r="B1616" i="1"/>
  <c r="E1615" i="1"/>
  <c r="B1615" i="1"/>
  <c r="E1614" i="1"/>
  <c r="B1614" i="1"/>
  <c r="E1613" i="1"/>
  <c r="B1613" i="1"/>
  <c r="E1612" i="1"/>
  <c r="B1612" i="1"/>
  <c r="E1611" i="1"/>
  <c r="B1611" i="1"/>
  <c r="E1610" i="1"/>
  <c r="B1610" i="1"/>
  <c r="E1609" i="1"/>
  <c r="B1609" i="1"/>
  <c r="E1608" i="1"/>
  <c r="B1608" i="1"/>
  <c r="E1607" i="1"/>
  <c r="B1607" i="1"/>
  <c r="E1606" i="1"/>
  <c r="B1606" i="1"/>
  <c r="E1605" i="1"/>
  <c r="B1605" i="1"/>
  <c r="E1604" i="1"/>
  <c r="B1604" i="1"/>
  <c r="E1603" i="1"/>
  <c r="B1603" i="1"/>
  <c r="E1602" i="1"/>
  <c r="B1602" i="1"/>
  <c r="E1601" i="1"/>
  <c r="B1601" i="1"/>
  <c r="E1600" i="1"/>
  <c r="B1600" i="1"/>
  <c r="E1599" i="1"/>
  <c r="B1599" i="1"/>
  <c r="E1598" i="1"/>
  <c r="B1598" i="1"/>
  <c r="E1597" i="1"/>
  <c r="B1597" i="1"/>
  <c r="E1596" i="1"/>
  <c r="B1596" i="1"/>
  <c r="E1595" i="1"/>
  <c r="B1595" i="1"/>
  <c r="E1594" i="1"/>
  <c r="B1594" i="1"/>
  <c r="E1593" i="1"/>
  <c r="B1593" i="1"/>
  <c r="E1592" i="1"/>
  <c r="B1592" i="1"/>
  <c r="E1591" i="1"/>
  <c r="B1591" i="1"/>
  <c r="E1590" i="1"/>
  <c r="B1590" i="1"/>
  <c r="E1589" i="1"/>
  <c r="B1589" i="1"/>
  <c r="E1588" i="1"/>
  <c r="B1588" i="1"/>
  <c r="E1587" i="1"/>
  <c r="B1587" i="1"/>
  <c r="E1586" i="1"/>
  <c r="B1586" i="1"/>
  <c r="E1585" i="1"/>
  <c r="B1585" i="1"/>
  <c r="E1584" i="1"/>
  <c r="B1584" i="1"/>
  <c r="E1583" i="1"/>
  <c r="B1583" i="1"/>
  <c r="E1582" i="1"/>
  <c r="B1582" i="1"/>
  <c r="E1581" i="1"/>
  <c r="B1581" i="1"/>
  <c r="E1580" i="1"/>
  <c r="B1580" i="1"/>
  <c r="E1579" i="1"/>
  <c r="B1579" i="1"/>
  <c r="E1578" i="1"/>
  <c r="B1578" i="1"/>
  <c r="E1577" i="1"/>
  <c r="B1577" i="1"/>
  <c r="E1576" i="1"/>
  <c r="B1576" i="1"/>
  <c r="E1575" i="1"/>
  <c r="B1575" i="1"/>
  <c r="E1574" i="1"/>
  <c r="B1574" i="1"/>
  <c r="E1573" i="1"/>
  <c r="B1573" i="1"/>
  <c r="E1572" i="1"/>
  <c r="B1572" i="1"/>
  <c r="E1571" i="1"/>
  <c r="B1571" i="1"/>
  <c r="E1570" i="1"/>
  <c r="B1570" i="1"/>
  <c r="E1569" i="1"/>
  <c r="B1569" i="1"/>
  <c r="E1568" i="1"/>
  <c r="B1568" i="1"/>
  <c r="E1567" i="1"/>
  <c r="B1567" i="1"/>
  <c r="E1566" i="1"/>
  <c r="B1566" i="1"/>
  <c r="E1565" i="1"/>
  <c r="B1565" i="1"/>
  <c r="E1564" i="1"/>
  <c r="B1564" i="1"/>
  <c r="E1563" i="1"/>
  <c r="B1563" i="1"/>
  <c r="E1562" i="1"/>
  <c r="B1562" i="1"/>
  <c r="E1561" i="1"/>
  <c r="B1561" i="1"/>
  <c r="E1560" i="1"/>
  <c r="B1560" i="1"/>
  <c r="E1559" i="1"/>
  <c r="B1559" i="1"/>
  <c r="E1558" i="1"/>
  <c r="B1558" i="1"/>
  <c r="E1557" i="1"/>
  <c r="B1557" i="1"/>
  <c r="E1556" i="1"/>
  <c r="B1556" i="1"/>
  <c r="E1555" i="1"/>
  <c r="B1555" i="1"/>
  <c r="E1554" i="1"/>
  <c r="B1554" i="1"/>
  <c r="E1553" i="1"/>
  <c r="B1553" i="1"/>
  <c r="E1552" i="1"/>
  <c r="B1552" i="1"/>
  <c r="E1551" i="1"/>
  <c r="B1551" i="1"/>
  <c r="E1550" i="1"/>
  <c r="B1550" i="1"/>
  <c r="E1549" i="1"/>
  <c r="B1549" i="1"/>
  <c r="E1548" i="1"/>
  <c r="B1548" i="1"/>
  <c r="E1547" i="1"/>
  <c r="B1547" i="1"/>
  <c r="E1546" i="1"/>
  <c r="B1546" i="1"/>
  <c r="E1545" i="1"/>
  <c r="B1545" i="1"/>
  <c r="E1544" i="1"/>
  <c r="B1544" i="1"/>
  <c r="E1543" i="1"/>
  <c r="B1543" i="1"/>
  <c r="E1542" i="1"/>
  <c r="B1542" i="1"/>
  <c r="E1541" i="1"/>
  <c r="B1541" i="1"/>
  <c r="E1540" i="1"/>
  <c r="B1540" i="1"/>
  <c r="E1539" i="1"/>
  <c r="B1539" i="1"/>
  <c r="E1538" i="1"/>
  <c r="B1538" i="1"/>
  <c r="E1537" i="1"/>
  <c r="B1537" i="1"/>
  <c r="E1536" i="1"/>
  <c r="B1536" i="1"/>
  <c r="E1535" i="1"/>
  <c r="B1535" i="1"/>
  <c r="E1534" i="1"/>
  <c r="B1534" i="1"/>
  <c r="E1533" i="1"/>
  <c r="B1533" i="1"/>
  <c r="E1532" i="1"/>
  <c r="B1532" i="1"/>
  <c r="E1531" i="1"/>
  <c r="B1531" i="1"/>
  <c r="E1530" i="1"/>
  <c r="B1530" i="1"/>
  <c r="E1529" i="1"/>
  <c r="B1529" i="1"/>
  <c r="E1528" i="1"/>
  <c r="B1528" i="1"/>
  <c r="E1527" i="1"/>
  <c r="B1527" i="1"/>
  <c r="E1526" i="1"/>
  <c r="B1526" i="1"/>
  <c r="E1525" i="1"/>
  <c r="B1525" i="1"/>
  <c r="E1524" i="1"/>
  <c r="B1524" i="1"/>
  <c r="E1523" i="1"/>
  <c r="B1523" i="1"/>
  <c r="E1522" i="1"/>
  <c r="B1522" i="1"/>
  <c r="E1521" i="1"/>
  <c r="B1521" i="1"/>
  <c r="E1520" i="1"/>
  <c r="B1520" i="1"/>
  <c r="E1519" i="1"/>
  <c r="B1519" i="1"/>
  <c r="E1518" i="1"/>
  <c r="B1518" i="1"/>
  <c r="E1517" i="1"/>
  <c r="B1517" i="1"/>
  <c r="E1516" i="1"/>
  <c r="B1516" i="1"/>
  <c r="E1515" i="1"/>
  <c r="B1515" i="1"/>
  <c r="E1514" i="1"/>
  <c r="B1514" i="1"/>
  <c r="E1513" i="1"/>
  <c r="B1513" i="1"/>
  <c r="E1512" i="1"/>
  <c r="B1512" i="1"/>
  <c r="E1511" i="1"/>
  <c r="B1511" i="1"/>
  <c r="E1510" i="1"/>
  <c r="B1510" i="1"/>
  <c r="E1509" i="1"/>
  <c r="B1509" i="1"/>
  <c r="E1508" i="1"/>
  <c r="B1508" i="1"/>
  <c r="E1507" i="1"/>
  <c r="B1507" i="1"/>
  <c r="E1506" i="1"/>
  <c r="B1506" i="1"/>
  <c r="E1505" i="1"/>
  <c r="B1505" i="1"/>
  <c r="E1504" i="1"/>
  <c r="B1504" i="1"/>
  <c r="E1503" i="1"/>
  <c r="B1503" i="1"/>
  <c r="E1502" i="1"/>
  <c r="B1502" i="1"/>
  <c r="E1501" i="1"/>
  <c r="B1501" i="1"/>
  <c r="E1500" i="1"/>
  <c r="B1500" i="1"/>
  <c r="E1499" i="1"/>
  <c r="B1499" i="1"/>
  <c r="E1498" i="1"/>
  <c r="B1498" i="1"/>
  <c r="E1497" i="1"/>
  <c r="B1497" i="1"/>
  <c r="E1496" i="1"/>
  <c r="B1496" i="1"/>
  <c r="E1495" i="1"/>
  <c r="B1495" i="1"/>
  <c r="E1494" i="1"/>
  <c r="B1494" i="1"/>
  <c r="E1493" i="1"/>
  <c r="B1493" i="1"/>
  <c r="E1492" i="1"/>
  <c r="B1492" i="1"/>
  <c r="E1491" i="1"/>
  <c r="B1491" i="1"/>
  <c r="E1490" i="1"/>
  <c r="B1490" i="1"/>
  <c r="E1489" i="1"/>
  <c r="B1489" i="1"/>
  <c r="E1488" i="1"/>
  <c r="B1488" i="1"/>
  <c r="E1487" i="1"/>
  <c r="B1487" i="1"/>
  <c r="E1486" i="1"/>
  <c r="B1486" i="1"/>
  <c r="E1485" i="1"/>
  <c r="B1485" i="1"/>
  <c r="E1484" i="1"/>
  <c r="B1484" i="1"/>
  <c r="E1483" i="1"/>
  <c r="B1483" i="1"/>
  <c r="E1482" i="1"/>
  <c r="B1482" i="1"/>
  <c r="E1481" i="1"/>
  <c r="B1481" i="1"/>
  <c r="E1480" i="1"/>
  <c r="B1480" i="1"/>
  <c r="E1479" i="1"/>
  <c r="B1479" i="1"/>
  <c r="E1478" i="1"/>
  <c r="B1478" i="1"/>
  <c r="E1477" i="1"/>
  <c r="B1477" i="1"/>
  <c r="E1476" i="1"/>
  <c r="B1476" i="1"/>
  <c r="E1475" i="1"/>
  <c r="B1475" i="1"/>
  <c r="E1474" i="1"/>
  <c r="B1474" i="1"/>
  <c r="E1473" i="1"/>
  <c r="B1473" i="1"/>
  <c r="E1472" i="1"/>
  <c r="B1472" i="1"/>
  <c r="E1471" i="1"/>
  <c r="B1471" i="1"/>
  <c r="E1470" i="1"/>
  <c r="B1470" i="1"/>
  <c r="E1469" i="1"/>
  <c r="B1469" i="1"/>
  <c r="E1468" i="1"/>
  <c r="B1468" i="1"/>
  <c r="E1467" i="1"/>
  <c r="B1467" i="1"/>
  <c r="E1466" i="1"/>
  <c r="B1466" i="1"/>
  <c r="E1465" i="1"/>
  <c r="B1465" i="1"/>
  <c r="E1464" i="1"/>
  <c r="B1464" i="1"/>
  <c r="E1463" i="1"/>
  <c r="B1463" i="1"/>
  <c r="E1462" i="1"/>
  <c r="B1462" i="1"/>
  <c r="E1461" i="1"/>
  <c r="B1461" i="1"/>
  <c r="E1460" i="1"/>
  <c r="B1460" i="1"/>
  <c r="E1459" i="1"/>
  <c r="B1459" i="1"/>
  <c r="E1458" i="1"/>
  <c r="B1458" i="1"/>
  <c r="E1457" i="1"/>
  <c r="B1457" i="1"/>
  <c r="E1456" i="1"/>
  <c r="B1456" i="1"/>
  <c r="E1455" i="1"/>
  <c r="B1455" i="1"/>
  <c r="E1454" i="1"/>
  <c r="B1454" i="1"/>
  <c r="E1453" i="1"/>
  <c r="B1453" i="1"/>
  <c r="E1452" i="1"/>
  <c r="B1452" i="1"/>
  <c r="E1451" i="1"/>
  <c r="B1451" i="1"/>
  <c r="E1450" i="1"/>
  <c r="B1450" i="1"/>
  <c r="E1449" i="1"/>
  <c r="B1449" i="1"/>
  <c r="E1448" i="1"/>
  <c r="B1448" i="1"/>
  <c r="E1447" i="1"/>
  <c r="B1447" i="1"/>
  <c r="E1446" i="1"/>
  <c r="B1446" i="1"/>
  <c r="E1445" i="1"/>
  <c r="B1445" i="1"/>
  <c r="E1444" i="1"/>
  <c r="B1444" i="1"/>
  <c r="E1443" i="1"/>
  <c r="B1443" i="1"/>
  <c r="E1442" i="1"/>
  <c r="B1442" i="1"/>
  <c r="E1441" i="1"/>
  <c r="B1441" i="1"/>
  <c r="E1440" i="1"/>
  <c r="B1440" i="1"/>
  <c r="E1439" i="1"/>
  <c r="B1439" i="1"/>
  <c r="E1438" i="1"/>
  <c r="B1438" i="1"/>
  <c r="E1437" i="1"/>
  <c r="B1437" i="1"/>
  <c r="E1436" i="1"/>
  <c r="B1436" i="1"/>
  <c r="E1435" i="1"/>
  <c r="B1435" i="1"/>
  <c r="E1434" i="1"/>
  <c r="B1434" i="1"/>
  <c r="E1433" i="1"/>
  <c r="B1433" i="1"/>
  <c r="E1432" i="1"/>
  <c r="B1432" i="1"/>
  <c r="E1431" i="1"/>
  <c r="B1431" i="1"/>
  <c r="E1430" i="1"/>
  <c r="B1430" i="1"/>
  <c r="E1429" i="1"/>
  <c r="B1429" i="1"/>
  <c r="E1428" i="1"/>
  <c r="B1428" i="1"/>
  <c r="E1427" i="1"/>
  <c r="B1427" i="1"/>
  <c r="E1426" i="1"/>
  <c r="B1426" i="1"/>
  <c r="E1425" i="1"/>
  <c r="B1425" i="1"/>
  <c r="E1424" i="1"/>
  <c r="B1424" i="1"/>
  <c r="E1423" i="1"/>
  <c r="B1423" i="1"/>
  <c r="E1422" i="1"/>
  <c r="B1422" i="1"/>
  <c r="E1421" i="1"/>
  <c r="B1421" i="1"/>
  <c r="E1420" i="1"/>
  <c r="B1420" i="1"/>
  <c r="E1419" i="1"/>
  <c r="B1419" i="1"/>
  <c r="E1418" i="1"/>
  <c r="B1418" i="1"/>
  <c r="E1417" i="1"/>
  <c r="B1417" i="1"/>
  <c r="E1416" i="1"/>
  <c r="B1416" i="1"/>
  <c r="E1415" i="1"/>
  <c r="B1415" i="1"/>
  <c r="E1414" i="1"/>
  <c r="B1414" i="1"/>
  <c r="E1413" i="1"/>
  <c r="B1413" i="1"/>
  <c r="E1412" i="1"/>
  <c r="B1412" i="1"/>
  <c r="E1411" i="1"/>
  <c r="B1411" i="1"/>
  <c r="E1410" i="1"/>
  <c r="B1410" i="1"/>
  <c r="E1409" i="1"/>
  <c r="B1409" i="1"/>
  <c r="E1408" i="1"/>
  <c r="B1408" i="1"/>
  <c r="E1407" i="1"/>
  <c r="B1407" i="1"/>
  <c r="E1406" i="1"/>
  <c r="B1406" i="1"/>
  <c r="E1405" i="1"/>
  <c r="B1405" i="1"/>
  <c r="E1404" i="1"/>
  <c r="B1404" i="1"/>
  <c r="E1403" i="1"/>
  <c r="B1403" i="1"/>
  <c r="E1402" i="1"/>
  <c r="B1402" i="1"/>
  <c r="E1401" i="1"/>
  <c r="B1401" i="1"/>
  <c r="E1400" i="1"/>
  <c r="B1400" i="1"/>
  <c r="E1399" i="1"/>
  <c r="B1399" i="1"/>
  <c r="E1398" i="1"/>
  <c r="B1398" i="1"/>
  <c r="E1397" i="1"/>
  <c r="B1397" i="1"/>
  <c r="E1396" i="1"/>
  <c r="B1396" i="1"/>
  <c r="E1395" i="1"/>
  <c r="B1395" i="1"/>
  <c r="E1394" i="1"/>
  <c r="B1394" i="1"/>
  <c r="E1393" i="1"/>
  <c r="B1393" i="1"/>
  <c r="E1392" i="1"/>
  <c r="B1392" i="1"/>
  <c r="E1391" i="1"/>
  <c r="B1391" i="1"/>
  <c r="E1390" i="1"/>
  <c r="B1390" i="1"/>
  <c r="E1389" i="1"/>
  <c r="B1389" i="1"/>
  <c r="E1388" i="1"/>
  <c r="B1388" i="1"/>
  <c r="E1387" i="1"/>
  <c r="B1387" i="1"/>
  <c r="E1386" i="1"/>
  <c r="B1386" i="1"/>
  <c r="E1385" i="1"/>
  <c r="B1385" i="1"/>
  <c r="E1384" i="1"/>
  <c r="B1384" i="1"/>
  <c r="E1383" i="1"/>
  <c r="B1383" i="1"/>
  <c r="E1382" i="1"/>
  <c r="B1382" i="1"/>
  <c r="E1381" i="1"/>
  <c r="B1381" i="1"/>
  <c r="E1380" i="1"/>
  <c r="B1380" i="1"/>
  <c r="E1379" i="1"/>
  <c r="B1379" i="1"/>
  <c r="E1378" i="1"/>
  <c r="B1378" i="1"/>
  <c r="E1377" i="1"/>
  <c r="B1377" i="1"/>
  <c r="E1376" i="1"/>
  <c r="B1376" i="1"/>
  <c r="E1375" i="1"/>
  <c r="B1375" i="1"/>
  <c r="E1374" i="1"/>
  <c r="B1374" i="1"/>
  <c r="E1373" i="1"/>
  <c r="B1373" i="1"/>
  <c r="E1372" i="1"/>
  <c r="B1372" i="1"/>
  <c r="E1371" i="1"/>
  <c r="B1371" i="1"/>
  <c r="E1370" i="1"/>
  <c r="B1370" i="1"/>
  <c r="E1369" i="1"/>
  <c r="B1369" i="1"/>
  <c r="E1368" i="1"/>
  <c r="B1368" i="1"/>
  <c r="E1367" i="1"/>
  <c r="B1367" i="1"/>
  <c r="E1366" i="1"/>
  <c r="B1366" i="1"/>
  <c r="E1365" i="1"/>
  <c r="B1365" i="1"/>
  <c r="E1364" i="1"/>
  <c r="B1364" i="1"/>
  <c r="E1363" i="1"/>
  <c r="B1363" i="1"/>
  <c r="E1362" i="1"/>
  <c r="B1362" i="1"/>
  <c r="E1361" i="1"/>
  <c r="B1361" i="1"/>
  <c r="E1360" i="1"/>
  <c r="B1360" i="1"/>
  <c r="E1359" i="1"/>
  <c r="B1359" i="1"/>
  <c r="E1358" i="1"/>
  <c r="B1358" i="1"/>
  <c r="E1357" i="1"/>
  <c r="B1357" i="1"/>
  <c r="E1356" i="1"/>
  <c r="B1356" i="1"/>
  <c r="E1355" i="1"/>
  <c r="B1355" i="1"/>
  <c r="E1354" i="1"/>
  <c r="B1354" i="1"/>
  <c r="E1353" i="1"/>
  <c r="B1353" i="1"/>
  <c r="E1352" i="1"/>
  <c r="B1352" i="1"/>
  <c r="E1351" i="1"/>
  <c r="B1351" i="1"/>
  <c r="E1350" i="1"/>
  <c r="B1350" i="1"/>
  <c r="E1349" i="1"/>
  <c r="B1349" i="1"/>
  <c r="E1348" i="1"/>
  <c r="B1348" i="1"/>
  <c r="E1347" i="1"/>
  <c r="B1347" i="1"/>
  <c r="E1346" i="1"/>
  <c r="B1346" i="1"/>
  <c r="E1345" i="1"/>
  <c r="B1345" i="1"/>
  <c r="E1344" i="1"/>
  <c r="B1344" i="1"/>
  <c r="E1343" i="1"/>
  <c r="B1343" i="1"/>
  <c r="E1342" i="1"/>
  <c r="B1342" i="1"/>
  <c r="E1341" i="1"/>
  <c r="B1341" i="1"/>
  <c r="E1340" i="1"/>
  <c r="B1340" i="1"/>
  <c r="E1339" i="1"/>
  <c r="B1339" i="1"/>
  <c r="E1338" i="1"/>
  <c r="B1338" i="1"/>
  <c r="E1337" i="1"/>
  <c r="B1337" i="1"/>
  <c r="E1336" i="1"/>
  <c r="B1336" i="1"/>
  <c r="E1335" i="1"/>
  <c r="B1335" i="1"/>
  <c r="E1334" i="1"/>
  <c r="B1334" i="1"/>
  <c r="E1333" i="1"/>
  <c r="B1333" i="1"/>
  <c r="E1332" i="1"/>
  <c r="B1332" i="1"/>
  <c r="E1331" i="1"/>
  <c r="B1331" i="1"/>
  <c r="E1330" i="1"/>
  <c r="B1330" i="1"/>
  <c r="E1329" i="1"/>
  <c r="B1329" i="1"/>
  <c r="E1328" i="1"/>
  <c r="B1328" i="1"/>
  <c r="E1327" i="1"/>
  <c r="B1327" i="1"/>
  <c r="E1326" i="1"/>
  <c r="B1326" i="1"/>
  <c r="E1325" i="1"/>
  <c r="B1325" i="1"/>
  <c r="E1324" i="1"/>
  <c r="B1324" i="1"/>
  <c r="E1323" i="1"/>
  <c r="B1323" i="1"/>
  <c r="E1322" i="1"/>
  <c r="B1322" i="1"/>
  <c r="E1321" i="1"/>
  <c r="B1321" i="1"/>
  <c r="E1320" i="1"/>
  <c r="B1320" i="1"/>
  <c r="E1319" i="1"/>
  <c r="B1319" i="1"/>
  <c r="E1318" i="1"/>
  <c r="B1318" i="1"/>
  <c r="E1317" i="1"/>
  <c r="B1317" i="1"/>
  <c r="E1316" i="1"/>
  <c r="B1316" i="1"/>
  <c r="E1315" i="1"/>
  <c r="B1315" i="1"/>
  <c r="E1314" i="1"/>
  <c r="B1314" i="1"/>
  <c r="E1313" i="1"/>
  <c r="B1313" i="1"/>
  <c r="E1312" i="1"/>
  <c r="B1312" i="1"/>
  <c r="E1311" i="1"/>
  <c r="B1311" i="1"/>
  <c r="E1310" i="1"/>
  <c r="B1310" i="1"/>
  <c r="E1309" i="1"/>
  <c r="B1309" i="1"/>
  <c r="E1308" i="1"/>
  <c r="B1308" i="1"/>
  <c r="E1307" i="1"/>
  <c r="B1307" i="1"/>
  <c r="E1306" i="1"/>
  <c r="B1306" i="1"/>
  <c r="E1305" i="1"/>
  <c r="B1305" i="1"/>
  <c r="E1304" i="1"/>
  <c r="B1304" i="1"/>
  <c r="E1303" i="1"/>
  <c r="B1303" i="1"/>
  <c r="E1302" i="1"/>
  <c r="B1302" i="1"/>
  <c r="E1301" i="1"/>
  <c r="B1301" i="1"/>
  <c r="E1300" i="1"/>
  <c r="B1300" i="1"/>
  <c r="E1299" i="1"/>
  <c r="B1299" i="1"/>
  <c r="E1298" i="1"/>
  <c r="B1298" i="1"/>
  <c r="E1297" i="1"/>
  <c r="B1297" i="1"/>
  <c r="E1296" i="1"/>
  <c r="B1296" i="1"/>
  <c r="E1295" i="1"/>
  <c r="B1295" i="1"/>
  <c r="E1294" i="1"/>
  <c r="B1294" i="1"/>
  <c r="E1293" i="1"/>
  <c r="B1293" i="1"/>
  <c r="E1292" i="1"/>
  <c r="B1292" i="1"/>
  <c r="E1291" i="1"/>
  <c r="B1291" i="1"/>
  <c r="E1290" i="1"/>
  <c r="B1290" i="1"/>
  <c r="E1289" i="1"/>
  <c r="B1289" i="1"/>
  <c r="E1288" i="1"/>
  <c r="B1288" i="1"/>
  <c r="E1287" i="1"/>
  <c r="B1287" i="1"/>
  <c r="E1286" i="1"/>
  <c r="B1286" i="1"/>
  <c r="E1285" i="1"/>
  <c r="B1285" i="1"/>
  <c r="E1284" i="1"/>
  <c r="B1284" i="1"/>
  <c r="E1283" i="1"/>
  <c r="B1283" i="1"/>
  <c r="E1282" i="1"/>
  <c r="B1282" i="1"/>
  <c r="E1281" i="1"/>
  <c r="B1281" i="1"/>
  <c r="E1280" i="1"/>
  <c r="B1280" i="1"/>
  <c r="E1279" i="1"/>
  <c r="B1279" i="1"/>
  <c r="E1278" i="1"/>
  <c r="B1278" i="1"/>
  <c r="E1277" i="1"/>
  <c r="B1277" i="1"/>
  <c r="E1276" i="1"/>
  <c r="B1276" i="1"/>
  <c r="E1275" i="1"/>
  <c r="B1275" i="1"/>
  <c r="E1274" i="1"/>
  <c r="B1274" i="1"/>
  <c r="E1273" i="1"/>
  <c r="B1273" i="1"/>
  <c r="E1272" i="1"/>
  <c r="B1272" i="1"/>
  <c r="E1271" i="1"/>
  <c r="B1271" i="1"/>
  <c r="E1270" i="1"/>
  <c r="B1270" i="1"/>
  <c r="E1269" i="1"/>
  <c r="B1269" i="1"/>
  <c r="E1268" i="1"/>
  <c r="B1268" i="1"/>
  <c r="E1267" i="1"/>
  <c r="B1267" i="1"/>
  <c r="E1266" i="1"/>
  <c r="B1266" i="1"/>
  <c r="E1265" i="1"/>
  <c r="B1265" i="1"/>
  <c r="E1264" i="1"/>
  <c r="B1264" i="1"/>
  <c r="E1263" i="1"/>
  <c r="B1263" i="1"/>
  <c r="E1262" i="1"/>
  <c r="B1262" i="1"/>
  <c r="E1261" i="1"/>
  <c r="B1261" i="1"/>
  <c r="E1260" i="1"/>
  <c r="B1260" i="1"/>
  <c r="E1259" i="1"/>
  <c r="B1259" i="1"/>
  <c r="E1258" i="1"/>
  <c r="B1258" i="1"/>
  <c r="E1257" i="1"/>
  <c r="B1257" i="1"/>
  <c r="E1256" i="1"/>
  <c r="B1256" i="1"/>
  <c r="E1255" i="1"/>
  <c r="B1255" i="1"/>
  <c r="E1254" i="1"/>
  <c r="B1254" i="1"/>
  <c r="E1253" i="1"/>
  <c r="B1253" i="1"/>
  <c r="E1252" i="1"/>
  <c r="B1252" i="1"/>
  <c r="E1251" i="1"/>
  <c r="B1251" i="1"/>
  <c r="E1250" i="1"/>
  <c r="B1250" i="1"/>
  <c r="E1249" i="1"/>
  <c r="B1249" i="1"/>
  <c r="E1248" i="1"/>
  <c r="B1248" i="1"/>
  <c r="E1247" i="1"/>
  <c r="B1247" i="1"/>
  <c r="E1246" i="1"/>
  <c r="B1246" i="1"/>
  <c r="E1245" i="1"/>
  <c r="B1245" i="1"/>
  <c r="E1244" i="1"/>
  <c r="B1244" i="1"/>
  <c r="E1243" i="1"/>
  <c r="B1243" i="1"/>
  <c r="E1242" i="1"/>
  <c r="B1242" i="1"/>
  <c r="E1241" i="1"/>
  <c r="B1241" i="1"/>
  <c r="E1240" i="1"/>
  <c r="B1240" i="1"/>
  <c r="E1239" i="1"/>
  <c r="B1239" i="1"/>
  <c r="E1238" i="1"/>
  <c r="B1238" i="1"/>
  <c r="E1237" i="1"/>
  <c r="B1237" i="1"/>
  <c r="E1236" i="1"/>
  <c r="B1236" i="1"/>
  <c r="E1235" i="1"/>
  <c r="B1235" i="1"/>
  <c r="E1234" i="1"/>
  <c r="B1234" i="1"/>
  <c r="E1233" i="1"/>
  <c r="B1233" i="1"/>
  <c r="E1232" i="1"/>
  <c r="B1232" i="1"/>
  <c r="E1231" i="1"/>
  <c r="B1231" i="1"/>
  <c r="E1230" i="1"/>
  <c r="B1230" i="1"/>
  <c r="E1229" i="1"/>
  <c r="B1229" i="1"/>
  <c r="E1228" i="1"/>
  <c r="B1228" i="1"/>
  <c r="E1227" i="1"/>
  <c r="B1227" i="1"/>
  <c r="E1226" i="1"/>
  <c r="B1226" i="1"/>
  <c r="E1225" i="1"/>
  <c r="B1225" i="1"/>
  <c r="E1224" i="1"/>
  <c r="B1224" i="1"/>
  <c r="E1223" i="1"/>
  <c r="B1223" i="1"/>
  <c r="E1222" i="1"/>
  <c r="B1222" i="1"/>
  <c r="E1221" i="1"/>
  <c r="B1221" i="1"/>
  <c r="E1220" i="1"/>
  <c r="B1220" i="1"/>
  <c r="E1219" i="1"/>
  <c r="B1219" i="1"/>
  <c r="E1218" i="1"/>
  <c r="B1218" i="1"/>
  <c r="E1217" i="1"/>
  <c r="B1217" i="1"/>
  <c r="E1216" i="1"/>
  <c r="B1216" i="1"/>
  <c r="E1215" i="1"/>
  <c r="B1215" i="1"/>
  <c r="E1214" i="1"/>
  <c r="B1214" i="1"/>
  <c r="E1213" i="1"/>
  <c r="B1213" i="1"/>
  <c r="E1212" i="1"/>
  <c r="B1212" i="1"/>
  <c r="E1211" i="1"/>
  <c r="B1211" i="1"/>
  <c r="E1210" i="1"/>
  <c r="B1210" i="1"/>
  <c r="E1209" i="1"/>
  <c r="B1209" i="1"/>
  <c r="E1208" i="1"/>
  <c r="B1208" i="1"/>
  <c r="E1207" i="1"/>
  <c r="B1207" i="1"/>
  <c r="E1206" i="1"/>
  <c r="B1206" i="1"/>
  <c r="E1205" i="1"/>
  <c r="B1205" i="1"/>
  <c r="E1204" i="1"/>
  <c r="B1204" i="1"/>
  <c r="E1203" i="1"/>
  <c r="B1203" i="1"/>
  <c r="E1202" i="1"/>
  <c r="B1202" i="1"/>
  <c r="E1201" i="1"/>
  <c r="B1201" i="1"/>
  <c r="E1200" i="1"/>
  <c r="B1200" i="1"/>
  <c r="E1199" i="1"/>
  <c r="B1199" i="1"/>
  <c r="E1198" i="1"/>
  <c r="B1198" i="1"/>
  <c r="E1197" i="1"/>
  <c r="B1197" i="1"/>
  <c r="E1196" i="1"/>
  <c r="B1196" i="1"/>
  <c r="E1195" i="1"/>
  <c r="B1195" i="1"/>
  <c r="E1194" i="1"/>
  <c r="B1194" i="1"/>
  <c r="E1193" i="1"/>
  <c r="B1193" i="1"/>
  <c r="E1192" i="1"/>
  <c r="B1192" i="1"/>
  <c r="E1191" i="1"/>
  <c r="B1191" i="1"/>
  <c r="E1190" i="1"/>
  <c r="B1190" i="1"/>
  <c r="E1189" i="1"/>
  <c r="B1189" i="1"/>
  <c r="E1188" i="1"/>
  <c r="B1188" i="1"/>
  <c r="E1187" i="1"/>
  <c r="B1187" i="1"/>
  <c r="E1186" i="1"/>
  <c r="B1186" i="1"/>
  <c r="E1185" i="1"/>
  <c r="B1185" i="1"/>
  <c r="E1184" i="1"/>
  <c r="B1184" i="1"/>
  <c r="E1183" i="1"/>
  <c r="B1183" i="1"/>
  <c r="E1182" i="1"/>
  <c r="B1182" i="1"/>
  <c r="E1181" i="1"/>
  <c r="B1181" i="1"/>
  <c r="E1180" i="1"/>
  <c r="B1180" i="1"/>
  <c r="E1179" i="1"/>
  <c r="B1179" i="1"/>
  <c r="E1178" i="1"/>
  <c r="B1178" i="1"/>
  <c r="E1177" i="1"/>
  <c r="B1177" i="1"/>
  <c r="E1176" i="1"/>
  <c r="B1176" i="1"/>
  <c r="E1175" i="1"/>
  <c r="B1175" i="1"/>
  <c r="E1174" i="1"/>
  <c r="B1174" i="1"/>
  <c r="E1173" i="1"/>
  <c r="B1173" i="1"/>
  <c r="E1172" i="1"/>
  <c r="B1172" i="1"/>
  <c r="E1171" i="1"/>
  <c r="B1171" i="1"/>
  <c r="E1170" i="1"/>
  <c r="B1170" i="1"/>
  <c r="E1169" i="1"/>
  <c r="B1169" i="1"/>
  <c r="E1168" i="1"/>
  <c r="B1168" i="1"/>
  <c r="E1167" i="1"/>
  <c r="B1167" i="1"/>
  <c r="E1166" i="1"/>
  <c r="B1166" i="1"/>
  <c r="E1165" i="1"/>
  <c r="B1165" i="1"/>
  <c r="E1164" i="1"/>
  <c r="B1164" i="1"/>
  <c r="E1163" i="1"/>
  <c r="B1163" i="1"/>
  <c r="E1162" i="1"/>
  <c r="B1162" i="1"/>
  <c r="E1161" i="1"/>
  <c r="B1161" i="1"/>
  <c r="E1160" i="1"/>
  <c r="B1160" i="1"/>
  <c r="E1159" i="1"/>
  <c r="B1159" i="1"/>
  <c r="E1158" i="1"/>
  <c r="B1158" i="1"/>
  <c r="E1157" i="1"/>
  <c r="B1157" i="1"/>
  <c r="E1156" i="1"/>
  <c r="B1156" i="1"/>
  <c r="E1155" i="1"/>
  <c r="B1155" i="1"/>
  <c r="E1154" i="1"/>
  <c r="B1154" i="1"/>
  <c r="E1153" i="1"/>
  <c r="B1153" i="1"/>
  <c r="E1152" i="1"/>
  <c r="B1152" i="1"/>
  <c r="E1151" i="1"/>
  <c r="B1151" i="1"/>
  <c r="E1150" i="1"/>
  <c r="B1150" i="1"/>
  <c r="E1149" i="1"/>
  <c r="B1149" i="1"/>
  <c r="E1148" i="1"/>
  <c r="B1148" i="1"/>
  <c r="E1147" i="1"/>
  <c r="B1147" i="1"/>
  <c r="E1146" i="1"/>
  <c r="B1146" i="1"/>
  <c r="E1145" i="1"/>
  <c r="B1145" i="1"/>
  <c r="E1144" i="1"/>
  <c r="B1144" i="1"/>
  <c r="E1143" i="1"/>
  <c r="B1143" i="1"/>
  <c r="E1142" i="1"/>
  <c r="B1142" i="1"/>
  <c r="E1141" i="1"/>
  <c r="B1141" i="1"/>
  <c r="E1140" i="1"/>
  <c r="B1140" i="1"/>
  <c r="E1139" i="1"/>
  <c r="B1139" i="1"/>
  <c r="E1138" i="1"/>
  <c r="B1138" i="1"/>
  <c r="E1137" i="1"/>
  <c r="B1137" i="1"/>
  <c r="E1136" i="1"/>
  <c r="B1136" i="1"/>
  <c r="E1135" i="1"/>
  <c r="B1135" i="1"/>
  <c r="E1134" i="1"/>
  <c r="B1134" i="1"/>
  <c r="E1133" i="1"/>
  <c r="B1133" i="1"/>
  <c r="E1132" i="1"/>
  <c r="B1132" i="1"/>
  <c r="E1131" i="1"/>
  <c r="B1131" i="1"/>
  <c r="E1130" i="1"/>
  <c r="B1130" i="1"/>
  <c r="E1129" i="1"/>
  <c r="B1129" i="1"/>
  <c r="E1128" i="1"/>
  <c r="B1128" i="1"/>
  <c r="E1127" i="1"/>
  <c r="B1127" i="1"/>
  <c r="E1126" i="1"/>
  <c r="B1126" i="1"/>
  <c r="E1125" i="1"/>
  <c r="B1125" i="1"/>
  <c r="E1124" i="1"/>
  <c r="B1124" i="1"/>
  <c r="E1123" i="1"/>
  <c r="B1123" i="1"/>
  <c r="E1122" i="1"/>
  <c r="B1122" i="1"/>
  <c r="E1121" i="1"/>
  <c r="B1121" i="1"/>
  <c r="E1120" i="1"/>
  <c r="B1120" i="1"/>
  <c r="E1119" i="1"/>
  <c r="B1119" i="1"/>
  <c r="E1118" i="1"/>
  <c r="B1118" i="1"/>
  <c r="E1117" i="1"/>
  <c r="B1117" i="1"/>
  <c r="E1116" i="1"/>
  <c r="B1116" i="1"/>
  <c r="E1115" i="1"/>
  <c r="B1115" i="1"/>
  <c r="E1114" i="1"/>
  <c r="B1114" i="1"/>
  <c r="E1113" i="1"/>
  <c r="B1113" i="1"/>
  <c r="E1112" i="1"/>
  <c r="B1112" i="1"/>
  <c r="E1111" i="1"/>
  <c r="B1111" i="1"/>
  <c r="E1110" i="1"/>
  <c r="B1110" i="1"/>
  <c r="E1109" i="1"/>
  <c r="B1109" i="1"/>
  <c r="E1108" i="1"/>
  <c r="B1108" i="1"/>
  <c r="E1107" i="1"/>
  <c r="B1107" i="1"/>
  <c r="E1106" i="1"/>
  <c r="B1106" i="1"/>
  <c r="E1105" i="1"/>
  <c r="B1105" i="1"/>
  <c r="E1104" i="1"/>
  <c r="B1104" i="1"/>
  <c r="E1103" i="1"/>
  <c r="B1103" i="1"/>
  <c r="E1102" i="1"/>
  <c r="B1102" i="1"/>
  <c r="E1101" i="1"/>
  <c r="B1101" i="1"/>
  <c r="E1100" i="1"/>
  <c r="B1100" i="1"/>
  <c r="E1099" i="1"/>
  <c r="B1099" i="1"/>
  <c r="E1098" i="1"/>
  <c r="B1098" i="1"/>
  <c r="E1097" i="1"/>
  <c r="B1097" i="1"/>
  <c r="E1096" i="1"/>
  <c r="B1096" i="1"/>
  <c r="E1095" i="1"/>
  <c r="B1095" i="1"/>
  <c r="E1094" i="1"/>
  <c r="B1094" i="1"/>
  <c r="E1093" i="1"/>
  <c r="B1093" i="1"/>
  <c r="E1092" i="1"/>
  <c r="B1092" i="1"/>
  <c r="E1091" i="1"/>
  <c r="B1091" i="1"/>
  <c r="E1090" i="1"/>
  <c r="B1090" i="1"/>
  <c r="E1089" i="1"/>
  <c r="B1089" i="1"/>
  <c r="E1088" i="1"/>
  <c r="B1088" i="1"/>
  <c r="E1087" i="1"/>
  <c r="B1087" i="1"/>
  <c r="E1086" i="1"/>
  <c r="B1086" i="1"/>
  <c r="E1085" i="1"/>
  <c r="B1085" i="1"/>
  <c r="E1084" i="1"/>
  <c r="B1084" i="1"/>
  <c r="E1083" i="1"/>
  <c r="B1083" i="1"/>
  <c r="E1082" i="1"/>
  <c r="B1082" i="1"/>
  <c r="E1081" i="1"/>
  <c r="B1081" i="1"/>
  <c r="E1080" i="1"/>
  <c r="B1080" i="1"/>
  <c r="E1079" i="1"/>
  <c r="B1079" i="1"/>
  <c r="E1078" i="1"/>
  <c r="B1078" i="1"/>
  <c r="E1077" i="1"/>
  <c r="B1077" i="1"/>
  <c r="E1076" i="1"/>
  <c r="B1076" i="1"/>
  <c r="E1075" i="1"/>
  <c r="B1075" i="1"/>
  <c r="E1074" i="1"/>
  <c r="B1074" i="1"/>
  <c r="E1073" i="1"/>
  <c r="B1073" i="1"/>
  <c r="E1072" i="1"/>
  <c r="B1072" i="1"/>
  <c r="E1071" i="1"/>
  <c r="B1071" i="1"/>
  <c r="E1070" i="1"/>
  <c r="B1070" i="1"/>
  <c r="E1069" i="1"/>
  <c r="B1069" i="1"/>
  <c r="E1068" i="1"/>
  <c r="B1068" i="1"/>
  <c r="E1067" i="1"/>
  <c r="B1067" i="1"/>
  <c r="E1066" i="1"/>
  <c r="B1066" i="1"/>
  <c r="E1065" i="1"/>
  <c r="B1065" i="1"/>
  <c r="E1064" i="1"/>
  <c r="B1064" i="1"/>
  <c r="E1063" i="1"/>
  <c r="B1063" i="1"/>
  <c r="E1062" i="1"/>
  <c r="B1062" i="1"/>
  <c r="E1061" i="1"/>
  <c r="B1061" i="1"/>
  <c r="E1060" i="1"/>
  <c r="B1060" i="1"/>
  <c r="E1059" i="1"/>
  <c r="B1059" i="1"/>
  <c r="E1058" i="1"/>
  <c r="B1058" i="1"/>
  <c r="E1057" i="1"/>
  <c r="B1057" i="1"/>
  <c r="E1056" i="1"/>
  <c r="B1056" i="1"/>
  <c r="E1055" i="1"/>
  <c r="B1055" i="1"/>
  <c r="E1054" i="1"/>
  <c r="B1054" i="1"/>
  <c r="E1053" i="1"/>
  <c r="B1053" i="1"/>
  <c r="E1052" i="1"/>
  <c r="B1052" i="1"/>
  <c r="E1051" i="1"/>
  <c r="B1051" i="1"/>
  <c r="E1050" i="1"/>
  <c r="B1050" i="1"/>
  <c r="E1049" i="1"/>
  <c r="B1049" i="1"/>
  <c r="E1048" i="1"/>
  <c r="B1048" i="1"/>
  <c r="E1047" i="1"/>
  <c r="B1047" i="1"/>
  <c r="E1046" i="1"/>
  <c r="B1046" i="1"/>
  <c r="E1045" i="1"/>
  <c r="B1045" i="1"/>
  <c r="E1044" i="1"/>
  <c r="B1044" i="1"/>
  <c r="E1043" i="1"/>
  <c r="B1043" i="1"/>
  <c r="E1042" i="1"/>
  <c r="B1042" i="1"/>
  <c r="E1041" i="1"/>
  <c r="B1041" i="1"/>
  <c r="E1040" i="1"/>
  <c r="B1040" i="1"/>
  <c r="E1039" i="1"/>
  <c r="B1039" i="1"/>
  <c r="E1038" i="1"/>
  <c r="B1038" i="1"/>
  <c r="E1037" i="1"/>
  <c r="B1037" i="1"/>
  <c r="E1036" i="1"/>
  <c r="B1036" i="1"/>
  <c r="E1035" i="1"/>
  <c r="B1035" i="1"/>
  <c r="E1034" i="1"/>
  <c r="B1034" i="1"/>
  <c r="E1033" i="1"/>
  <c r="B1033" i="1"/>
  <c r="E1032" i="1"/>
  <c r="B1032" i="1"/>
  <c r="E1031" i="1"/>
  <c r="B1031" i="1"/>
  <c r="E1030" i="1"/>
  <c r="B1030" i="1"/>
  <c r="E1029" i="1"/>
  <c r="B1029" i="1"/>
  <c r="E1028" i="1"/>
  <c r="B1028" i="1"/>
  <c r="E1027" i="1"/>
  <c r="B1027" i="1"/>
  <c r="E1026" i="1"/>
  <c r="B1026" i="1"/>
  <c r="E1025" i="1"/>
  <c r="B1025" i="1"/>
  <c r="E1024" i="1"/>
  <c r="B1024" i="1"/>
  <c r="E1023" i="1"/>
  <c r="B1023" i="1"/>
  <c r="E1022" i="1"/>
  <c r="B1022" i="1"/>
  <c r="E1021" i="1"/>
  <c r="B1021" i="1"/>
  <c r="E1020" i="1"/>
  <c r="B1020" i="1"/>
  <c r="E1019" i="1"/>
  <c r="B1019" i="1"/>
  <c r="E1018" i="1"/>
  <c r="B1018" i="1"/>
  <c r="E1017" i="1"/>
  <c r="B1017" i="1"/>
  <c r="E1016" i="1"/>
  <c r="B1016" i="1"/>
  <c r="E1015" i="1"/>
  <c r="B1015" i="1"/>
  <c r="E1014" i="1"/>
  <c r="B1014" i="1"/>
  <c r="E1013" i="1"/>
  <c r="B1013" i="1"/>
  <c r="E1012" i="1"/>
  <c r="B1012" i="1"/>
  <c r="E1011" i="1"/>
  <c r="B1011" i="1"/>
  <c r="E1010" i="1"/>
  <c r="B1010" i="1"/>
  <c r="E1009" i="1"/>
  <c r="B1009" i="1"/>
  <c r="E1008" i="1"/>
  <c r="B1008" i="1"/>
  <c r="E1007" i="1"/>
  <c r="B1007" i="1"/>
  <c r="E1006" i="1"/>
  <c r="B1006" i="1"/>
  <c r="E1005" i="1"/>
  <c r="B1005" i="1"/>
  <c r="E1004" i="1"/>
  <c r="B1004" i="1"/>
  <c r="E1003" i="1"/>
  <c r="B1003" i="1"/>
  <c r="E1002" i="1"/>
  <c r="B1002" i="1"/>
  <c r="E1001" i="1"/>
  <c r="B1001" i="1"/>
  <c r="E1000" i="1"/>
  <c r="B1000" i="1"/>
  <c r="E999" i="1"/>
  <c r="B999" i="1"/>
  <c r="E998" i="1"/>
  <c r="B998" i="1"/>
  <c r="E997" i="1"/>
  <c r="B997" i="1"/>
  <c r="E996" i="1"/>
  <c r="B996" i="1"/>
  <c r="E995" i="1"/>
  <c r="B995" i="1"/>
  <c r="E994" i="1"/>
  <c r="B994" i="1"/>
  <c r="E993" i="1"/>
  <c r="B993" i="1"/>
  <c r="E992" i="1"/>
  <c r="B992" i="1"/>
  <c r="E991" i="1"/>
  <c r="B991" i="1"/>
  <c r="E990" i="1"/>
  <c r="B990" i="1"/>
  <c r="E989" i="1"/>
  <c r="B989" i="1"/>
  <c r="E988" i="1"/>
  <c r="B988" i="1"/>
  <c r="E987" i="1"/>
  <c r="B987" i="1"/>
  <c r="E986" i="1"/>
  <c r="B986" i="1"/>
  <c r="E985" i="1"/>
  <c r="B985" i="1"/>
  <c r="E984" i="1"/>
  <c r="B984" i="1"/>
  <c r="E983" i="1"/>
  <c r="B983" i="1"/>
  <c r="E982" i="1"/>
  <c r="B982" i="1"/>
  <c r="E981" i="1"/>
  <c r="B981" i="1"/>
  <c r="E980" i="1"/>
  <c r="B980" i="1"/>
  <c r="E979" i="1"/>
  <c r="B979" i="1"/>
  <c r="E978" i="1"/>
  <c r="B978" i="1"/>
  <c r="E977" i="1"/>
  <c r="B977" i="1"/>
  <c r="E976" i="1"/>
  <c r="B976" i="1"/>
  <c r="E975" i="1"/>
  <c r="B975" i="1"/>
  <c r="E974" i="1"/>
  <c r="B974" i="1"/>
  <c r="E973" i="1"/>
  <c r="B973" i="1"/>
  <c r="E972" i="1"/>
  <c r="B972" i="1"/>
  <c r="E971" i="1"/>
  <c r="B971" i="1"/>
  <c r="E970" i="1"/>
  <c r="B970" i="1"/>
  <c r="E969" i="1"/>
  <c r="B969" i="1"/>
  <c r="E968" i="1"/>
  <c r="B968" i="1"/>
  <c r="E967" i="1"/>
  <c r="B967" i="1"/>
  <c r="E966" i="1"/>
  <c r="B966" i="1"/>
  <c r="E965" i="1"/>
  <c r="B965" i="1"/>
  <c r="E964" i="1"/>
  <c r="B964" i="1"/>
  <c r="E963" i="1"/>
  <c r="B963" i="1"/>
  <c r="E962" i="1"/>
  <c r="B962" i="1"/>
  <c r="E961" i="1"/>
  <c r="B961" i="1"/>
  <c r="E960" i="1"/>
  <c r="B960" i="1"/>
  <c r="E959" i="1"/>
  <c r="B959" i="1"/>
  <c r="E958" i="1"/>
  <c r="B958" i="1"/>
  <c r="E957" i="1"/>
  <c r="B957" i="1"/>
  <c r="E956" i="1"/>
  <c r="B956" i="1"/>
  <c r="E955" i="1"/>
  <c r="B955" i="1"/>
  <c r="E954" i="1"/>
  <c r="B954" i="1"/>
  <c r="E953" i="1"/>
  <c r="B953" i="1"/>
  <c r="E952" i="1"/>
  <c r="B952" i="1"/>
  <c r="E951" i="1"/>
  <c r="B951" i="1"/>
  <c r="E950" i="1"/>
  <c r="B950" i="1"/>
  <c r="E949" i="1"/>
  <c r="B949" i="1"/>
  <c r="E948" i="1"/>
  <c r="B948" i="1"/>
  <c r="E947" i="1"/>
  <c r="B947" i="1"/>
  <c r="E946" i="1"/>
  <c r="B946" i="1"/>
  <c r="E945" i="1"/>
  <c r="B945" i="1"/>
  <c r="E944" i="1"/>
  <c r="B944" i="1"/>
  <c r="E943" i="1"/>
  <c r="B943" i="1"/>
  <c r="E942" i="1"/>
  <c r="B942" i="1"/>
  <c r="E941" i="1"/>
  <c r="B941" i="1"/>
  <c r="E940" i="1"/>
  <c r="B940" i="1"/>
  <c r="E939" i="1"/>
  <c r="E938" i="1"/>
  <c r="B938" i="1"/>
  <c r="E937" i="1"/>
  <c r="B937" i="1"/>
  <c r="E936" i="1"/>
  <c r="B936" i="1"/>
  <c r="E935" i="1"/>
  <c r="B935" i="1"/>
  <c r="E934" i="1"/>
  <c r="B934" i="1"/>
  <c r="E933" i="1"/>
  <c r="B933" i="1"/>
  <c r="E932" i="1"/>
  <c r="B932" i="1"/>
  <c r="E931" i="1"/>
  <c r="B931" i="1"/>
  <c r="E930" i="1"/>
  <c r="B930" i="1"/>
  <c r="E929" i="1"/>
  <c r="B929" i="1"/>
  <c r="E928" i="1"/>
  <c r="B928" i="1"/>
  <c r="E927" i="1"/>
  <c r="B927" i="1"/>
  <c r="E926" i="1"/>
  <c r="B926" i="1"/>
  <c r="E925" i="1"/>
  <c r="B925" i="1"/>
  <c r="E924" i="1"/>
  <c r="B924" i="1"/>
  <c r="E923" i="1"/>
  <c r="B923" i="1"/>
  <c r="E922" i="1"/>
  <c r="B922" i="1"/>
  <c r="E921" i="1"/>
  <c r="B921" i="1"/>
  <c r="E920" i="1"/>
  <c r="B920" i="1"/>
  <c r="E919" i="1"/>
  <c r="B919" i="1"/>
  <c r="E918" i="1"/>
  <c r="B918" i="1"/>
  <c r="E917" i="1"/>
  <c r="B917" i="1"/>
  <c r="E916" i="1"/>
  <c r="B916" i="1"/>
  <c r="E915" i="1"/>
  <c r="B915" i="1"/>
  <c r="E914" i="1"/>
  <c r="B914" i="1"/>
  <c r="E913" i="1"/>
  <c r="B913" i="1"/>
  <c r="E912" i="1"/>
  <c r="B912" i="1"/>
  <c r="E911" i="1"/>
  <c r="B911" i="1"/>
  <c r="E910" i="1"/>
  <c r="B910" i="1"/>
  <c r="E909" i="1"/>
  <c r="B909" i="1"/>
  <c r="E908" i="1"/>
  <c r="B908" i="1"/>
  <c r="E907" i="1"/>
  <c r="B907" i="1"/>
  <c r="E906" i="1"/>
  <c r="B906" i="1"/>
  <c r="E905" i="1"/>
  <c r="B905" i="1"/>
  <c r="E904" i="1"/>
  <c r="B904" i="1"/>
  <c r="E903" i="1"/>
  <c r="B903" i="1"/>
  <c r="E902" i="1"/>
  <c r="B902" i="1"/>
  <c r="E901" i="1"/>
  <c r="B901" i="1"/>
  <c r="E900" i="1"/>
  <c r="B900" i="1"/>
  <c r="E899" i="1"/>
  <c r="B899" i="1"/>
  <c r="E898" i="1"/>
  <c r="B898" i="1"/>
  <c r="E897" i="1"/>
  <c r="B897" i="1"/>
  <c r="E896" i="1"/>
  <c r="B896" i="1"/>
  <c r="E895" i="1"/>
  <c r="B895" i="1"/>
  <c r="E894" i="1"/>
  <c r="B894" i="1"/>
  <c r="E893" i="1"/>
  <c r="B893" i="1"/>
  <c r="E892" i="1"/>
  <c r="B892" i="1"/>
  <c r="E891" i="1"/>
  <c r="B891" i="1"/>
  <c r="E890" i="1"/>
  <c r="B890" i="1"/>
  <c r="E889" i="1"/>
  <c r="B889" i="1"/>
  <c r="E888" i="1"/>
  <c r="B888" i="1"/>
  <c r="E887" i="1"/>
  <c r="B887" i="1"/>
  <c r="E886" i="1"/>
  <c r="B886" i="1"/>
  <c r="E885" i="1"/>
  <c r="B885" i="1"/>
  <c r="E884" i="1"/>
  <c r="B884" i="1"/>
  <c r="E883" i="1"/>
  <c r="B883" i="1"/>
  <c r="E882" i="1"/>
  <c r="B882" i="1"/>
  <c r="E881" i="1"/>
  <c r="B881" i="1"/>
  <c r="E880" i="1"/>
  <c r="B880" i="1"/>
  <c r="E879" i="1"/>
  <c r="B879" i="1"/>
  <c r="E878" i="1"/>
  <c r="B878" i="1"/>
  <c r="E877" i="1"/>
  <c r="B877" i="1"/>
  <c r="E876" i="1"/>
  <c r="B876" i="1"/>
  <c r="E875" i="1"/>
  <c r="B875" i="1"/>
  <c r="E874" i="1"/>
  <c r="B874" i="1"/>
  <c r="E873" i="1"/>
  <c r="B873" i="1"/>
  <c r="E872" i="1"/>
  <c r="B872" i="1"/>
  <c r="E871" i="1"/>
  <c r="B871" i="1"/>
  <c r="E870" i="1"/>
  <c r="B870" i="1"/>
  <c r="E869" i="1"/>
  <c r="B869" i="1"/>
  <c r="E868" i="1"/>
  <c r="B868" i="1"/>
  <c r="E867" i="1"/>
  <c r="B867" i="1"/>
  <c r="E866" i="1"/>
  <c r="B866" i="1"/>
  <c r="E865" i="1"/>
  <c r="B865" i="1"/>
  <c r="E864" i="1"/>
  <c r="B864" i="1"/>
  <c r="E863" i="1"/>
  <c r="B863" i="1"/>
  <c r="E862" i="1"/>
  <c r="B862" i="1"/>
  <c r="E861" i="1"/>
  <c r="B861" i="1"/>
  <c r="E860" i="1"/>
  <c r="B860" i="1"/>
  <c r="E859" i="1"/>
  <c r="B859" i="1"/>
  <c r="E858" i="1"/>
  <c r="B858" i="1"/>
  <c r="E857" i="1"/>
  <c r="B857" i="1"/>
  <c r="E856" i="1"/>
  <c r="B856" i="1"/>
  <c r="E855" i="1"/>
  <c r="B855" i="1"/>
  <c r="E854" i="1"/>
  <c r="B854" i="1"/>
  <c r="E853" i="1"/>
  <c r="B853" i="1"/>
  <c r="E852" i="1"/>
  <c r="B852" i="1"/>
  <c r="E851" i="1"/>
  <c r="B851" i="1"/>
  <c r="E850" i="1"/>
  <c r="B850" i="1"/>
  <c r="E849" i="1"/>
  <c r="B849" i="1"/>
  <c r="E848" i="1"/>
  <c r="B848" i="1"/>
  <c r="E847" i="1"/>
  <c r="B847" i="1"/>
  <c r="E846" i="1"/>
  <c r="B846" i="1"/>
  <c r="E845" i="1"/>
  <c r="B845" i="1"/>
  <c r="E844" i="1"/>
  <c r="B844" i="1"/>
  <c r="E843" i="1"/>
  <c r="B843" i="1"/>
  <c r="E842" i="1"/>
  <c r="B842" i="1"/>
  <c r="E841" i="1"/>
  <c r="B841" i="1"/>
  <c r="E840" i="1"/>
  <c r="B840" i="1"/>
  <c r="E839" i="1"/>
  <c r="B839" i="1"/>
  <c r="E838" i="1"/>
  <c r="B838" i="1"/>
  <c r="E837" i="1"/>
  <c r="B837" i="1"/>
  <c r="E836" i="1"/>
  <c r="B836" i="1"/>
  <c r="E835" i="1"/>
  <c r="B835" i="1"/>
  <c r="E834" i="1"/>
  <c r="B834" i="1"/>
  <c r="E833" i="1"/>
  <c r="B833" i="1"/>
  <c r="E832" i="1"/>
  <c r="B832" i="1"/>
  <c r="E831" i="1"/>
  <c r="B831" i="1"/>
  <c r="E830" i="1"/>
  <c r="B830" i="1"/>
  <c r="E829" i="1"/>
  <c r="B829" i="1"/>
  <c r="E828" i="1"/>
  <c r="B828" i="1"/>
  <c r="E827" i="1"/>
  <c r="B827" i="1"/>
  <c r="E826" i="1"/>
  <c r="B826" i="1"/>
  <c r="E825" i="1"/>
  <c r="B825" i="1"/>
  <c r="E824" i="1"/>
  <c r="B824" i="1"/>
  <c r="E823" i="1"/>
  <c r="B823" i="1"/>
  <c r="E822" i="1"/>
  <c r="B822" i="1"/>
  <c r="E821" i="1"/>
  <c r="B821" i="1"/>
  <c r="E820" i="1"/>
  <c r="B820" i="1"/>
  <c r="E819" i="1"/>
  <c r="B819" i="1"/>
  <c r="E818" i="1"/>
  <c r="B818" i="1"/>
  <c r="E817" i="1"/>
  <c r="B817" i="1"/>
  <c r="E816" i="1"/>
  <c r="B816" i="1"/>
  <c r="E815" i="1"/>
  <c r="B815" i="1"/>
  <c r="E814" i="1"/>
  <c r="B814" i="1"/>
  <c r="E813" i="1"/>
  <c r="B813" i="1"/>
  <c r="E812" i="1"/>
  <c r="B812" i="1"/>
  <c r="E811" i="1"/>
  <c r="B811" i="1"/>
  <c r="E810" i="1"/>
  <c r="B810" i="1"/>
  <c r="E809" i="1"/>
  <c r="B809" i="1"/>
  <c r="E808" i="1"/>
  <c r="B808" i="1"/>
  <c r="E807" i="1"/>
  <c r="B807" i="1"/>
  <c r="E806" i="1"/>
  <c r="B806" i="1"/>
  <c r="E805" i="1"/>
  <c r="B805" i="1"/>
  <c r="E804" i="1"/>
  <c r="B804" i="1"/>
  <c r="E803" i="1"/>
  <c r="B803" i="1"/>
  <c r="E802" i="1"/>
  <c r="B802" i="1"/>
  <c r="E801" i="1"/>
  <c r="B801" i="1"/>
  <c r="E800" i="1"/>
  <c r="B800" i="1"/>
  <c r="E799" i="1"/>
  <c r="B799" i="1"/>
  <c r="E798" i="1"/>
  <c r="B798" i="1"/>
  <c r="E797" i="1"/>
  <c r="B797" i="1"/>
  <c r="E796" i="1"/>
  <c r="B796" i="1"/>
  <c r="E795" i="1"/>
  <c r="B795" i="1"/>
  <c r="E794" i="1"/>
  <c r="B794" i="1"/>
  <c r="E793" i="1"/>
  <c r="B793" i="1"/>
  <c r="E792" i="1"/>
  <c r="B792" i="1"/>
  <c r="E791" i="1"/>
  <c r="B791" i="1"/>
  <c r="E790" i="1"/>
  <c r="B790" i="1"/>
  <c r="E789" i="1"/>
  <c r="B789" i="1"/>
  <c r="E788" i="1"/>
  <c r="B788" i="1"/>
  <c r="E787" i="1"/>
  <c r="B787" i="1"/>
  <c r="E786" i="1"/>
  <c r="B786" i="1"/>
  <c r="E785" i="1"/>
  <c r="B785" i="1"/>
  <c r="E784" i="1"/>
  <c r="B784" i="1"/>
  <c r="E783" i="1"/>
  <c r="B783" i="1"/>
  <c r="E782" i="1"/>
  <c r="B782" i="1"/>
  <c r="E781" i="1"/>
  <c r="B781" i="1"/>
  <c r="E780" i="1"/>
  <c r="B780" i="1"/>
  <c r="E779" i="1"/>
  <c r="B779" i="1"/>
  <c r="E778" i="1"/>
  <c r="B778" i="1"/>
  <c r="E777" i="1"/>
  <c r="B777" i="1"/>
  <c r="E776" i="1"/>
  <c r="B776" i="1"/>
  <c r="E775" i="1"/>
  <c r="B775" i="1"/>
  <c r="E774" i="1"/>
  <c r="B774" i="1"/>
  <c r="E773" i="1"/>
  <c r="B773" i="1"/>
  <c r="E772" i="1"/>
  <c r="B772" i="1"/>
  <c r="E771" i="1"/>
  <c r="B771" i="1"/>
  <c r="E770" i="1"/>
  <c r="B770" i="1"/>
  <c r="E769" i="1"/>
  <c r="B769" i="1"/>
  <c r="E768" i="1"/>
  <c r="B768" i="1"/>
  <c r="E767" i="1"/>
  <c r="B767" i="1"/>
  <c r="E766" i="1"/>
  <c r="B766" i="1"/>
  <c r="E765" i="1"/>
  <c r="B765" i="1"/>
  <c r="E764" i="1"/>
  <c r="B764" i="1"/>
  <c r="E763" i="1"/>
  <c r="B763" i="1"/>
  <c r="E762" i="1"/>
  <c r="B762" i="1"/>
  <c r="E761" i="1"/>
  <c r="B761" i="1"/>
  <c r="E760" i="1"/>
  <c r="B760" i="1"/>
  <c r="E759" i="1"/>
  <c r="B759" i="1"/>
  <c r="E758" i="1"/>
  <c r="B758" i="1"/>
  <c r="E757" i="1"/>
  <c r="B757" i="1"/>
  <c r="E756" i="1"/>
  <c r="B756" i="1"/>
  <c r="E755" i="1"/>
  <c r="B755" i="1"/>
  <c r="E754" i="1"/>
  <c r="B754" i="1"/>
  <c r="E753" i="1"/>
  <c r="B753" i="1"/>
  <c r="E752" i="1"/>
  <c r="B752" i="1"/>
  <c r="E751" i="1"/>
  <c r="B751" i="1"/>
  <c r="E750" i="1"/>
  <c r="B750" i="1"/>
  <c r="E749" i="1"/>
  <c r="B749" i="1"/>
  <c r="E748" i="1"/>
  <c r="B748" i="1"/>
  <c r="E747" i="1"/>
  <c r="B747" i="1"/>
  <c r="E746" i="1"/>
  <c r="B746" i="1"/>
  <c r="E745" i="1"/>
  <c r="B745" i="1"/>
  <c r="E744" i="1"/>
  <c r="B744" i="1"/>
  <c r="E743" i="1"/>
  <c r="B743" i="1"/>
  <c r="E742" i="1"/>
  <c r="B742" i="1"/>
  <c r="E741" i="1"/>
  <c r="B741" i="1"/>
  <c r="E740" i="1"/>
  <c r="B740" i="1"/>
  <c r="E739" i="1"/>
  <c r="B739" i="1"/>
  <c r="E738" i="1"/>
  <c r="B738" i="1"/>
  <c r="E737" i="1"/>
  <c r="B737" i="1"/>
  <c r="E736" i="1"/>
  <c r="B736" i="1"/>
  <c r="E735" i="1"/>
  <c r="B735" i="1"/>
  <c r="E734" i="1"/>
  <c r="B734" i="1"/>
  <c r="E733" i="1"/>
  <c r="B733" i="1"/>
  <c r="E732" i="1"/>
  <c r="B732" i="1"/>
  <c r="E731" i="1"/>
  <c r="B731" i="1"/>
  <c r="E730" i="1"/>
  <c r="B730" i="1"/>
  <c r="E729" i="1"/>
  <c r="B729" i="1"/>
  <c r="E728" i="1"/>
  <c r="B728" i="1"/>
  <c r="E727" i="1"/>
  <c r="B727" i="1"/>
  <c r="E726" i="1"/>
  <c r="B726" i="1"/>
  <c r="E725" i="1"/>
  <c r="B725" i="1"/>
  <c r="E724" i="1"/>
  <c r="B724" i="1"/>
  <c r="E723" i="1"/>
  <c r="B723" i="1"/>
  <c r="E722" i="1"/>
  <c r="B722" i="1"/>
  <c r="E721" i="1"/>
  <c r="B721" i="1"/>
  <c r="E720" i="1"/>
  <c r="B720" i="1"/>
  <c r="E719" i="1"/>
  <c r="B719" i="1"/>
  <c r="E718" i="1"/>
  <c r="B718" i="1"/>
  <c r="E717" i="1"/>
  <c r="B717" i="1"/>
  <c r="E716" i="1"/>
  <c r="B716" i="1"/>
  <c r="E715" i="1"/>
  <c r="B715" i="1"/>
  <c r="E714" i="1"/>
  <c r="B714" i="1"/>
  <c r="E713" i="1"/>
  <c r="B713" i="1"/>
  <c r="E712" i="1"/>
  <c r="B712" i="1"/>
  <c r="E711" i="1"/>
  <c r="B711" i="1"/>
  <c r="E710" i="1"/>
  <c r="B710" i="1"/>
  <c r="E709" i="1"/>
  <c r="B709" i="1"/>
  <c r="E708" i="1"/>
  <c r="B708" i="1"/>
  <c r="E707" i="1"/>
  <c r="B707" i="1"/>
  <c r="E706" i="1"/>
  <c r="E705" i="1"/>
  <c r="E704" i="1"/>
  <c r="B704" i="1"/>
  <c r="E703" i="1"/>
  <c r="B703" i="1"/>
  <c r="E702" i="1"/>
  <c r="B702" i="1"/>
  <c r="E701" i="1"/>
  <c r="B701" i="1"/>
  <c r="E700" i="1"/>
  <c r="B700" i="1"/>
  <c r="E699" i="1"/>
  <c r="B699" i="1"/>
  <c r="E698" i="1"/>
  <c r="B698" i="1"/>
  <c r="E697" i="1"/>
  <c r="B697" i="1"/>
  <c r="E696" i="1"/>
  <c r="B696" i="1"/>
  <c r="E695" i="1"/>
  <c r="B695" i="1"/>
  <c r="E694" i="1"/>
  <c r="B694" i="1"/>
  <c r="E693" i="1"/>
  <c r="B693" i="1"/>
  <c r="E692" i="1"/>
  <c r="B692" i="1"/>
  <c r="E691" i="1"/>
  <c r="B691" i="1"/>
  <c r="E690" i="1"/>
  <c r="B690" i="1"/>
  <c r="E689" i="1"/>
  <c r="B689" i="1"/>
  <c r="E688" i="1"/>
  <c r="B688" i="1"/>
  <c r="E687" i="1"/>
  <c r="B687" i="1"/>
  <c r="E686" i="1"/>
  <c r="B686" i="1"/>
  <c r="E685" i="1"/>
  <c r="B685" i="1"/>
  <c r="E684" i="1"/>
  <c r="B684" i="1"/>
  <c r="E683" i="1"/>
  <c r="B683" i="1"/>
  <c r="E682" i="1"/>
  <c r="B682" i="1"/>
  <c r="E681" i="1"/>
  <c r="B681" i="1"/>
  <c r="E680" i="1"/>
  <c r="B680" i="1"/>
  <c r="E679" i="1"/>
  <c r="B679" i="1"/>
  <c r="E678" i="1"/>
  <c r="B678" i="1"/>
  <c r="E677" i="1"/>
  <c r="B677" i="1"/>
  <c r="E676" i="1"/>
  <c r="B676" i="1"/>
  <c r="E675" i="1"/>
  <c r="B675" i="1"/>
  <c r="E674" i="1"/>
  <c r="B674" i="1"/>
  <c r="E673" i="1"/>
  <c r="B673" i="1"/>
  <c r="E672" i="1"/>
  <c r="B672" i="1"/>
  <c r="E671" i="1"/>
  <c r="B671" i="1"/>
  <c r="E670" i="1"/>
  <c r="B670" i="1"/>
  <c r="E669" i="1"/>
  <c r="B669" i="1"/>
  <c r="E668" i="1"/>
  <c r="B668" i="1"/>
  <c r="E667" i="1"/>
  <c r="B667" i="1"/>
  <c r="E666" i="1"/>
  <c r="B666" i="1"/>
  <c r="E665" i="1"/>
  <c r="B665" i="1"/>
  <c r="E664" i="1"/>
  <c r="B664" i="1"/>
  <c r="E663" i="1"/>
  <c r="B663" i="1"/>
  <c r="E662" i="1"/>
  <c r="B662" i="1"/>
  <c r="E661" i="1"/>
  <c r="B661" i="1"/>
  <c r="E660" i="1"/>
  <c r="B660" i="1"/>
  <c r="E659" i="1"/>
  <c r="B659" i="1"/>
  <c r="E658" i="1"/>
  <c r="B658" i="1"/>
  <c r="E657" i="1"/>
  <c r="B657" i="1"/>
  <c r="E656" i="1"/>
  <c r="B656" i="1"/>
  <c r="E655" i="1"/>
  <c r="B655" i="1"/>
  <c r="E654" i="1"/>
  <c r="B654" i="1"/>
  <c r="E653" i="1"/>
  <c r="B653" i="1"/>
  <c r="E652" i="1"/>
  <c r="B652" i="1"/>
  <c r="E651" i="1"/>
  <c r="B651" i="1"/>
  <c r="E650" i="1"/>
  <c r="B650" i="1"/>
  <c r="E649" i="1"/>
  <c r="B649" i="1"/>
  <c r="E648" i="1"/>
  <c r="B648" i="1"/>
  <c r="E647" i="1"/>
  <c r="B647" i="1"/>
  <c r="E646" i="1"/>
  <c r="B646" i="1"/>
  <c r="E645" i="1"/>
  <c r="B645" i="1"/>
  <c r="E644" i="1"/>
  <c r="B644" i="1"/>
  <c r="E643" i="1"/>
  <c r="B643" i="1"/>
  <c r="E642" i="1"/>
  <c r="B642" i="1"/>
  <c r="E641" i="1"/>
  <c r="B641" i="1"/>
  <c r="E640" i="1"/>
  <c r="B640" i="1"/>
  <c r="E639" i="1"/>
  <c r="B639" i="1"/>
  <c r="E638" i="1"/>
  <c r="B638" i="1"/>
  <c r="E637" i="1"/>
  <c r="B637" i="1"/>
  <c r="E636" i="1"/>
  <c r="B636" i="1"/>
  <c r="E635" i="1"/>
  <c r="B635" i="1"/>
  <c r="E634" i="1"/>
  <c r="B634" i="1"/>
  <c r="E633" i="1"/>
  <c r="B633" i="1"/>
  <c r="E632" i="1"/>
  <c r="B632" i="1"/>
  <c r="E631" i="1"/>
  <c r="B631" i="1"/>
  <c r="E630" i="1"/>
  <c r="B630" i="1"/>
  <c r="E629" i="1"/>
  <c r="B629" i="1"/>
  <c r="E628" i="1"/>
  <c r="B628" i="1"/>
  <c r="E627" i="1"/>
  <c r="B627" i="1"/>
  <c r="E626" i="1"/>
  <c r="B626" i="1"/>
  <c r="E625" i="1"/>
  <c r="B625" i="1"/>
  <c r="E624" i="1"/>
  <c r="B624" i="1"/>
  <c r="E623" i="1"/>
  <c r="B623" i="1"/>
  <c r="E622" i="1"/>
  <c r="B622" i="1"/>
  <c r="E621" i="1"/>
  <c r="B621" i="1"/>
  <c r="E620" i="1"/>
  <c r="B620" i="1"/>
  <c r="E619" i="1"/>
  <c r="B619" i="1"/>
  <c r="E618" i="1"/>
  <c r="B618" i="1"/>
  <c r="E617" i="1"/>
  <c r="B617" i="1"/>
  <c r="E616" i="1"/>
  <c r="B616" i="1"/>
  <c r="E615" i="1"/>
  <c r="B615" i="1"/>
  <c r="E614" i="1"/>
  <c r="B614" i="1"/>
  <c r="E613" i="1"/>
  <c r="B613" i="1"/>
  <c r="E612" i="1"/>
  <c r="B612" i="1"/>
  <c r="E611" i="1"/>
  <c r="B611" i="1"/>
  <c r="E610" i="1"/>
  <c r="B610" i="1"/>
  <c r="E609" i="1"/>
  <c r="B609" i="1"/>
  <c r="E608" i="1"/>
  <c r="B608" i="1"/>
  <c r="E607" i="1"/>
  <c r="B607" i="1"/>
  <c r="E606" i="1"/>
  <c r="B606" i="1"/>
  <c r="E605" i="1"/>
  <c r="B605" i="1"/>
  <c r="E604" i="1"/>
  <c r="B604" i="1"/>
  <c r="E603" i="1"/>
  <c r="B603" i="1"/>
  <c r="E602" i="1"/>
  <c r="B602" i="1"/>
  <c r="E601" i="1"/>
  <c r="B601" i="1"/>
  <c r="E600" i="1"/>
  <c r="E599" i="1"/>
  <c r="B599" i="1"/>
  <c r="E598" i="1"/>
  <c r="B598" i="1"/>
  <c r="E597" i="1"/>
  <c r="B597" i="1"/>
  <c r="E596" i="1"/>
  <c r="B596" i="1"/>
  <c r="E595" i="1"/>
  <c r="B595" i="1"/>
  <c r="E594" i="1"/>
  <c r="B594" i="1"/>
  <c r="E593" i="1"/>
  <c r="B593" i="1"/>
  <c r="E592" i="1"/>
  <c r="B592" i="1"/>
  <c r="E591" i="1"/>
  <c r="B591" i="1"/>
  <c r="E590" i="1"/>
  <c r="B590" i="1"/>
  <c r="E589" i="1"/>
  <c r="B589" i="1"/>
  <c r="E588" i="1"/>
  <c r="B588" i="1"/>
  <c r="E587" i="1"/>
  <c r="B587" i="1"/>
  <c r="E586" i="1"/>
  <c r="B586" i="1"/>
  <c r="E585" i="1"/>
  <c r="B585" i="1"/>
  <c r="E584" i="1"/>
  <c r="B584" i="1"/>
  <c r="E583" i="1"/>
  <c r="B583" i="1"/>
  <c r="E582" i="1"/>
  <c r="B582" i="1"/>
  <c r="E581" i="1"/>
  <c r="B581" i="1"/>
  <c r="E580" i="1"/>
  <c r="B580" i="1"/>
  <c r="E579" i="1"/>
  <c r="B579" i="1"/>
  <c r="E578" i="1"/>
  <c r="B578" i="1"/>
  <c r="E577" i="1"/>
  <c r="B577" i="1"/>
  <c r="E576" i="1"/>
  <c r="B576" i="1"/>
  <c r="E575" i="1"/>
  <c r="B575" i="1"/>
  <c r="E574" i="1"/>
  <c r="B574" i="1"/>
  <c r="E573" i="1"/>
  <c r="B573" i="1"/>
  <c r="E572" i="1"/>
  <c r="B572" i="1"/>
  <c r="E571" i="1"/>
  <c r="B571" i="1"/>
  <c r="E570" i="1"/>
  <c r="B570" i="1"/>
  <c r="E569" i="1"/>
  <c r="B569" i="1"/>
  <c r="E568" i="1"/>
  <c r="B568" i="1"/>
  <c r="E567" i="1"/>
  <c r="B567" i="1"/>
  <c r="E566" i="1"/>
  <c r="B566" i="1"/>
  <c r="E565" i="1"/>
  <c r="B565" i="1"/>
  <c r="E564" i="1"/>
  <c r="B564" i="1"/>
  <c r="E563" i="1"/>
  <c r="B563" i="1"/>
  <c r="E562" i="1"/>
  <c r="B562" i="1"/>
  <c r="E561" i="1"/>
  <c r="B561" i="1"/>
  <c r="E560" i="1"/>
  <c r="B560" i="1"/>
  <c r="E559" i="1"/>
  <c r="B559" i="1"/>
  <c r="E558" i="1"/>
  <c r="B558" i="1"/>
  <c r="E557" i="1"/>
  <c r="B557" i="1"/>
  <c r="E556" i="1"/>
  <c r="B556" i="1"/>
  <c r="E555" i="1"/>
  <c r="B555" i="1"/>
  <c r="E554" i="1"/>
  <c r="B554" i="1"/>
  <c r="E553" i="1"/>
  <c r="B553" i="1"/>
  <c r="E552" i="1"/>
  <c r="B552" i="1"/>
  <c r="E551" i="1"/>
  <c r="B551" i="1"/>
  <c r="E550" i="1"/>
  <c r="B550" i="1"/>
  <c r="E549" i="1"/>
  <c r="B549" i="1"/>
  <c r="E548" i="1"/>
  <c r="B548" i="1"/>
  <c r="E547" i="1"/>
  <c r="B547" i="1"/>
  <c r="E546" i="1"/>
  <c r="B546" i="1"/>
  <c r="E545" i="1"/>
  <c r="B545" i="1"/>
  <c r="E544" i="1"/>
  <c r="B544" i="1"/>
  <c r="E543" i="1"/>
  <c r="B543" i="1"/>
  <c r="E542" i="1"/>
  <c r="B542" i="1"/>
  <c r="E541" i="1"/>
  <c r="B541" i="1"/>
  <c r="E540" i="1"/>
  <c r="B540" i="1"/>
  <c r="E539" i="1"/>
  <c r="B539" i="1"/>
  <c r="E538" i="1"/>
  <c r="B538" i="1"/>
  <c r="E537" i="1"/>
  <c r="B537" i="1"/>
  <c r="E536" i="1"/>
  <c r="B536" i="1"/>
  <c r="E535" i="1"/>
  <c r="B535" i="1"/>
  <c r="E534" i="1"/>
  <c r="B534" i="1"/>
  <c r="E533" i="1"/>
  <c r="B533" i="1"/>
  <c r="E532" i="1"/>
  <c r="B532" i="1"/>
  <c r="E531" i="1"/>
  <c r="B531" i="1"/>
  <c r="E530" i="1"/>
  <c r="B530" i="1"/>
  <c r="E529" i="1"/>
  <c r="B529" i="1"/>
  <c r="E528" i="1"/>
  <c r="B528" i="1"/>
  <c r="E527" i="1"/>
  <c r="B527" i="1"/>
  <c r="E526" i="1"/>
  <c r="B526" i="1"/>
  <c r="E525" i="1"/>
  <c r="B525" i="1"/>
  <c r="E524" i="1"/>
  <c r="B524" i="1"/>
  <c r="E523" i="1"/>
  <c r="B523" i="1"/>
  <c r="E522" i="1"/>
  <c r="B522" i="1"/>
  <c r="E521" i="1"/>
  <c r="B521" i="1"/>
  <c r="E520" i="1"/>
  <c r="B520" i="1"/>
  <c r="E519" i="1"/>
  <c r="B519" i="1"/>
  <c r="E518" i="1"/>
  <c r="B518" i="1"/>
  <c r="E517" i="1"/>
  <c r="B517" i="1"/>
  <c r="E516" i="1"/>
  <c r="B516" i="1"/>
  <c r="E515" i="1"/>
  <c r="B515" i="1"/>
  <c r="E514" i="1"/>
  <c r="B514" i="1"/>
  <c r="E513" i="1"/>
  <c r="B513" i="1"/>
  <c r="E512" i="1"/>
  <c r="B512" i="1"/>
  <c r="E511" i="1"/>
  <c r="B511" i="1"/>
  <c r="E510" i="1"/>
  <c r="B510" i="1"/>
  <c r="E509" i="1"/>
  <c r="B509" i="1"/>
  <c r="E508" i="1"/>
  <c r="B508" i="1"/>
  <c r="E507" i="1"/>
  <c r="B507" i="1"/>
  <c r="E506" i="1"/>
  <c r="B506" i="1"/>
  <c r="E505" i="1"/>
  <c r="B505" i="1"/>
  <c r="E504" i="1"/>
  <c r="B504" i="1"/>
  <c r="E503" i="1"/>
  <c r="B503" i="1"/>
  <c r="E502" i="1"/>
  <c r="B502" i="1"/>
  <c r="E501" i="1"/>
  <c r="B501" i="1"/>
  <c r="E500" i="1"/>
  <c r="B500" i="1"/>
  <c r="E499" i="1"/>
  <c r="B499" i="1"/>
  <c r="E498" i="1"/>
  <c r="B498" i="1"/>
  <c r="E497" i="1"/>
  <c r="B497" i="1"/>
  <c r="E496" i="1"/>
  <c r="B496" i="1"/>
  <c r="E495" i="1"/>
  <c r="B495" i="1"/>
  <c r="E494" i="1"/>
  <c r="B494" i="1"/>
  <c r="E493" i="1"/>
  <c r="B493" i="1"/>
  <c r="E492" i="1"/>
  <c r="B492" i="1"/>
  <c r="E491" i="1"/>
  <c r="B491" i="1"/>
  <c r="E490" i="1"/>
  <c r="B490" i="1"/>
  <c r="E489" i="1"/>
  <c r="B489" i="1"/>
  <c r="E488" i="1"/>
  <c r="B488" i="1"/>
  <c r="E487" i="1"/>
  <c r="B487" i="1"/>
  <c r="E486" i="1"/>
  <c r="B486" i="1"/>
  <c r="E485" i="1"/>
  <c r="B485" i="1"/>
  <c r="E484" i="1"/>
  <c r="B484" i="1"/>
  <c r="E483" i="1"/>
  <c r="B483" i="1"/>
  <c r="E482" i="1"/>
  <c r="B482" i="1"/>
  <c r="E481" i="1"/>
  <c r="B481" i="1"/>
  <c r="E480" i="1"/>
  <c r="B480" i="1"/>
  <c r="E479" i="1"/>
  <c r="B479" i="1"/>
  <c r="E478" i="1"/>
  <c r="B478" i="1"/>
  <c r="E477" i="1"/>
  <c r="B477" i="1"/>
  <c r="E476" i="1"/>
  <c r="B476" i="1"/>
  <c r="E475" i="1"/>
  <c r="B475" i="1"/>
  <c r="E474" i="1"/>
  <c r="B474" i="1"/>
  <c r="E473" i="1"/>
  <c r="B473" i="1"/>
  <c r="E472" i="1"/>
  <c r="B472" i="1"/>
  <c r="E471" i="1"/>
  <c r="B471" i="1"/>
  <c r="E470" i="1"/>
  <c r="B470" i="1"/>
  <c r="E469" i="1"/>
  <c r="B469" i="1"/>
  <c r="E468" i="1"/>
  <c r="B468" i="1"/>
  <c r="E467" i="1"/>
  <c r="B467" i="1"/>
  <c r="E466" i="1"/>
  <c r="B466" i="1"/>
  <c r="E465" i="1"/>
  <c r="B465" i="1"/>
  <c r="E464" i="1"/>
  <c r="B464" i="1"/>
  <c r="E463" i="1"/>
  <c r="B463" i="1"/>
  <c r="E462" i="1"/>
  <c r="B462" i="1"/>
  <c r="E461" i="1"/>
  <c r="B461" i="1"/>
  <c r="E460" i="1"/>
  <c r="B460" i="1"/>
  <c r="E459" i="1"/>
  <c r="B459" i="1"/>
  <c r="E458" i="1"/>
  <c r="B458" i="1"/>
  <c r="E457" i="1"/>
  <c r="B457" i="1"/>
  <c r="E456" i="1"/>
  <c r="B456" i="1"/>
  <c r="E455" i="1"/>
  <c r="B455" i="1"/>
  <c r="E454" i="1"/>
  <c r="B454" i="1"/>
  <c r="E453" i="1"/>
  <c r="B453" i="1"/>
  <c r="E452" i="1"/>
  <c r="B452" i="1"/>
  <c r="E451" i="1"/>
  <c r="B451" i="1"/>
  <c r="E450" i="1"/>
  <c r="B450" i="1"/>
  <c r="E449" i="1"/>
  <c r="B449" i="1"/>
  <c r="E448" i="1"/>
  <c r="B448" i="1"/>
  <c r="E447" i="1"/>
  <c r="B447" i="1"/>
  <c r="E446" i="1"/>
  <c r="B446" i="1"/>
  <c r="E445" i="1"/>
  <c r="B445" i="1"/>
  <c r="E444" i="1"/>
  <c r="B444" i="1"/>
  <c r="E443" i="1"/>
  <c r="B443" i="1"/>
  <c r="E442" i="1"/>
  <c r="B442" i="1"/>
  <c r="E441" i="1"/>
  <c r="B441" i="1"/>
  <c r="E440" i="1"/>
  <c r="B440" i="1"/>
  <c r="E439" i="1"/>
  <c r="B439" i="1"/>
  <c r="E438" i="1"/>
  <c r="B438" i="1"/>
  <c r="E437" i="1"/>
  <c r="B437" i="1"/>
  <c r="E436" i="1"/>
  <c r="B436" i="1"/>
  <c r="E435" i="1"/>
  <c r="B435" i="1"/>
  <c r="E434" i="1"/>
  <c r="B434" i="1"/>
  <c r="E433" i="1"/>
  <c r="B433" i="1"/>
  <c r="E432" i="1"/>
  <c r="B432" i="1"/>
  <c r="E431" i="1"/>
  <c r="B431" i="1"/>
  <c r="E430" i="1"/>
  <c r="B430" i="1"/>
  <c r="E429" i="1"/>
  <c r="B429" i="1"/>
  <c r="E428" i="1"/>
  <c r="B428" i="1"/>
  <c r="E427" i="1"/>
  <c r="B427" i="1"/>
  <c r="E426" i="1"/>
  <c r="B426" i="1"/>
  <c r="E425" i="1"/>
  <c r="B425" i="1"/>
  <c r="E424" i="1"/>
  <c r="B424" i="1"/>
  <c r="E423" i="1"/>
  <c r="B423" i="1"/>
  <c r="E422" i="1"/>
  <c r="B422" i="1"/>
  <c r="E421" i="1"/>
  <c r="B421" i="1"/>
  <c r="E420" i="1"/>
  <c r="B420" i="1"/>
  <c r="E419" i="1"/>
  <c r="B419" i="1"/>
  <c r="E418" i="1"/>
  <c r="B418" i="1"/>
  <c r="E417" i="1"/>
  <c r="B417" i="1"/>
  <c r="E416" i="1"/>
  <c r="B416" i="1"/>
  <c r="E415" i="1"/>
  <c r="B415" i="1"/>
  <c r="E414" i="1"/>
  <c r="E413" i="1"/>
  <c r="B413" i="1"/>
  <c r="E412" i="1"/>
  <c r="B412" i="1"/>
  <c r="E411" i="1"/>
  <c r="B411" i="1"/>
  <c r="E410" i="1"/>
  <c r="B410" i="1"/>
  <c r="E409" i="1"/>
  <c r="B409" i="1"/>
  <c r="E408" i="1"/>
  <c r="B408" i="1"/>
  <c r="E407" i="1"/>
  <c r="B407" i="1"/>
  <c r="E406" i="1"/>
  <c r="B406" i="1"/>
  <c r="E405" i="1"/>
  <c r="B405" i="1"/>
  <c r="E404" i="1"/>
  <c r="B404" i="1"/>
  <c r="E403" i="1"/>
  <c r="B403" i="1"/>
  <c r="E402" i="1"/>
  <c r="B402" i="1"/>
  <c r="E401" i="1"/>
  <c r="B401" i="1"/>
  <c r="E400" i="1"/>
  <c r="B400" i="1"/>
  <c r="E399" i="1"/>
  <c r="B399" i="1"/>
  <c r="E398" i="1"/>
  <c r="B398" i="1"/>
  <c r="E397" i="1"/>
  <c r="B397" i="1"/>
  <c r="E396" i="1"/>
  <c r="B396" i="1"/>
  <c r="E395" i="1"/>
  <c r="B395" i="1"/>
  <c r="E394" i="1"/>
  <c r="B394" i="1"/>
  <c r="E393" i="1"/>
  <c r="B393" i="1"/>
  <c r="E392" i="1"/>
  <c r="B392" i="1"/>
  <c r="E391" i="1"/>
  <c r="B391" i="1"/>
  <c r="E390" i="1"/>
  <c r="B390" i="1"/>
  <c r="E389" i="1"/>
  <c r="B389" i="1"/>
  <c r="E388" i="1"/>
  <c r="B388" i="1"/>
  <c r="E387" i="1"/>
  <c r="B387" i="1"/>
  <c r="E386" i="1"/>
  <c r="B386" i="1"/>
  <c r="E385" i="1"/>
  <c r="B385" i="1"/>
  <c r="E384" i="1"/>
  <c r="B384" i="1"/>
  <c r="E383" i="1"/>
  <c r="B383" i="1"/>
  <c r="E382" i="1"/>
  <c r="B382" i="1"/>
  <c r="E381" i="1"/>
  <c r="B381" i="1"/>
  <c r="E380" i="1"/>
  <c r="B380" i="1"/>
  <c r="E379" i="1"/>
  <c r="B379" i="1"/>
  <c r="E378" i="1"/>
  <c r="B378" i="1"/>
  <c r="E377" i="1"/>
  <c r="B377" i="1"/>
  <c r="E376" i="1"/>
  <c r="B376" i="1"/>
  <c r="E375" i="1"/>
  <c r="B375" i="1"/>
  <c r="E374" i="1"/>
  <c r="B374" i="1"/>
  <c r="E373" i="1"/>
  <c r="B373" i="1"/>
  <c r="E372" i="1"/>
  <c r="B372" i="1"/>
  <c r="E371" i="1"/>
  <c r="B371" i="1"/>
  <c r="E370" i="1"/>
  <c r="B370" i="1"/>
  <c r="E369" i="1"/>
  <c r="B369" i="1"/>
  <c r="E368" i="1"/>
  <c r="B368" i="1"/>
  <c r="E367" i="1"/>
  <c r="B367" i="1"/>
  <c r="E366" i="1"/>
  <c r="B366" i="1"/>
  <c r="E365" i="1"/>
  <c r="B365" i="1"/>
  <c r="E364" i="1"/>
  <c r="B364" i="1"/>
  <c r="E363" i="1"/>
  <c r="B363" i="1"/>
  <c r="E362" i="1"/>
  <c r="B362" i="1"/>
  <c r="E361" i="1"/>
  <c r="B361" i="1"/>
  <c r="E360" i="1"/>
  <c r="B360" i="1"/>
  <c r="E359" i="1"/>
  <c r="B359" i="1"/>
  <c r="E358" i="1"/>
  <c r="B358" i="1"/>
  <c r="E357" i="1"/>
  <c r="B357" i="1"/>
  <c r="E356" i="1"/>
  <c r="B356" i="1"/>
  <c r="E355" i="1"/>
  <c r="B355" i="1"/>
  <c r="E354" i="1"/>
  <c r="B354" i="1"/>
  <c r="E353" i="1"/>
  <c r="B353" i="1"/>
  <c r="E352" i="1"/>
  <c r="B352" i="1"/>
  <c r="E351" i="1"/>
  <c r="B351" i="1"/>
  <c r="E350" i="1"/>
  <c r="B350" i="1"/>
  <c r="E349" i="1"/>
  <c r="B349" i="1"/>
  <c r="E348" i="1"/>
  <c r="B348" i="1"/>
  <c r="E347" i="1"/>
  <c r="B347" i="1"/>
  <c r="E346" i="1"/>
  <c r="B346" i="1"/>
  <c r="E345" i="1"/>
  <c r="B345" i="1"/>
  <c r="E344" i="1"/>
  <c r="B344" i="1"/>
  <c r="E343" i="1"/>
  <c r="B343" i="1"/>
  <c r="E342" i="1"/>
  <c r="B342" i="1"/>
  <c r="E341" i="1"/>
  <c r="B341" i="1"/>
  <c r="E340" i="1"/>
  <c r="B340" i="1"/>
  <c r="E339" i="1"/>
  <c r="B339" i="1"/>
  <c r="E338" i="1"/>
  <c r="B338" i="1"/>
  <c r="E337" i="1"/>
  <c r="B337" i="1"/>
  <c r="E336" i="1"/>
  <c r="B336" i="1"/>
  <c r="E335" i="1"/>
  <c r="B335" i="1"/>
  <c r="E334" i="1"/>
  <c r="B334" i="1"/>
  <c r="E333" i="1"/>
  <c r="B333" i="1"/>
  <c r="E332" i="1"/>
  <c r="B332" i="1"/>
  <c r="E331" i="1"/>
  <c r="B331" i="1"/>
  <c r="E330" i="1"/>
  <c r="B330" i="1"/>
  <c r="E329" i="1"/>
  <c r="B329" i="1"/>
  <c r="E328" i="1"/>
  <c r="B328" i="1"/>
  <c r="E327" i="1"/>
  <c r="B327" i="1"/>
  <c r="E326" i="1"/>
  <c r="B326" i="1"/>
  <c r="E325" i="1"/>
  <c r="B325" i="1"/>
  <c r="E324" i="1"/>
  <c r="B324" i="1"/>
  <c r="E323" i="1"/>
  <c r="B323" i="1"/>
  <c r="E322" i="1"/>
  <c r="B322" i="1"/>
  <c r="E321" i="1"/>
  <c r="B321" i="1"/>
  <c r="E320" i="1"/>
  <c r="B320" i="1"/>
  <c r="E319" i="1"/>
  <c r="B319" i="1"/>
  <c r="E318" i="1"/>
  <c r="B318" i="1"/>
  <c r="E317" i="1"/>
  <c r="B317" i="1"/>
  <c r="E316" i="1"/>
  <c r="B316" i="1"/>
  <c r="E315" i="1"/>
  <c r="B315" i="1"/>
  <c r="E314" i="1"/>
  <c r="B314" i="1"/>
  <c r="E313" i="1"/>
  <c r="B313" i="1"/>
  <c r="E312" i="1"/>
  <c r="B312" i="1"/>
  <c r="E311" i="1"/>
  <c r="B311" i="1"/>
  <c r="E310" i="1"/>
  <c r="B310" i="1"/>
  <c r="E309" i="1"/>
  <c r="B309" i="1"/>
  <c r="E308" i="1"/>
  <c r="B308" i="1"/>
  <c r="E307" i="1"/>
  <c r="B307" i="1"/>
  <c r="E306" i="1"/>
  <c r="B306" i="1"/>
  <c r="E305" i="1"/>
  <c r="B305" i="1"/>
  <c r="E304" i="1"/>
  <c r="B304" i="1"/>
  <c r="E303" i="1"/>
  <c r="B303" i="1"/>
  <c r="E302" i="1"/>
  <c r="B302" i="1"/>
  <c r="E301" i="1"/>
  <c r="B301" i="1"/>
  <c r="E300" i="1"/>
  <c r="B300" i="1"/>
  <c r="E299" i="1"/>
  <c r="B299" i="1"/>
  <c r="E298" i="1"/>
  <c r="B298" i="1"/>
  <c r="E297" i="1"/>
  <c r="B297" i="1"/>
  <c r="E296" i="1"/>
  <c r="B296" i="1"/>
  <c r="E295" i="1"/>
  <c r="B295" i="1"/>
  <c r="E294" i="1"/>
  <c r="B294" i="1"/>
  <c r="E293" i="1"/>
  <c r="B293" i="1"/>
  <c r="E292" i="1"/>
  <c r="B292" i="1"/>
  <c r="E291" i="1"/>
  <c r="B291" i="1"/>
  <c r="E290" i="1"/>
  <c r="B290" i="1"/>
  <c r="E289" i="1"/>
  <c r="B289" i="1"/>
  <c r="E288" i="1"/>
  <c r="B288" i="1"/>
  <c r="E287" i="1"/>
  <c r="B287" i="1"/>
  <c r="E286" i="1"/>
  <c r="B286" i="1"/>
  <c r="E285" i="1"/>
  <c r="B285" i="1"/>
  <c r="E284" i="1"/>
  <c r="B284" i="1"/>
  <c r="E283" i="1"/>
  <c r="B283" i="1"/>
  <c r="E282" i="1"/>
  <c r="B282" i="1"/>
  <c r="E281" i="1"/>
  <c r="B281" i="1"/>
  <c r="E280" i="1"/>
  <c r="B280" i="1"/>
  <c r="E279" i="1"/>
  <c r="B279" i="1"/>
  <c r="E278" i="1"/>
  <c r="B278" i="1"/>
  <c r="E277" i="1"/>
  <c r="B277" i="1"/>
  <c r="E276" i="1"/>
  <c r="B276" i="1"/>
  <c r="E275" i="1"/>
  <c r="B275" i="1"/>
  <c r="E274" i="1"/>
  <c r="B274" i="1"/>
  <c r="E273" i="1"/>
  <c r="B273" i="1"/>
  <c r="E272" i="1"/>
  <c r="B272" i="1"/>
  <c r="E271" i="1"/>
  <c r="B271" i="1"/>
  <c r="E270" i="1"/>
  <c r="B270" i="1"/>
  <c r="E269" i="1"/>
  <c r="B269" i="1"/>
  <c r="E268" i="1"/>
  <c r="B268" i="1"/>
  <c r="E267" i="1"/>
  <c r="B267" i="1"/>
  <c r="E266" i="1"/>
  <c r="B266" i="1"/>
  <c r="E265" i="1"/>
  <c r="B265" i="1"/>
  <c r="E264" i="1"/>
  <c r="B264" i="1"/>
  <c r="E263" i="1"/>
  <c r="B263" i="1"/>
  <c r="E262" i="1"/>
  <c r="B262" i="1"/>
  <c r="E261" i="1"/>
  <c r="B261" i="1"/>
  <c r="E260" i="1"/>
  <c r="B260" i="1"/>
  <c r="E259" i="1"/>
  <c r="B259" i="1"/>
  <c r="E258" i="1"/>
  <c r="B258" i="1"/>
  <c r="E257" i="1"/>
  <c r="B257" i="1"/>
  <c r="E256" i="1"/>
  <c r="B256" i="1"/>
  <c r="E255" i="1"/>
  <c r="B255" i="1"/>
  <c r="E254" i="1"/>
  <c r="B254" i="1"/>
  <c r="E253" i="1"/>
  <c r="B253" i="1"/>
  <c r="E252" i="1"/>
  <c r="B252" i="1"/>
  <c r="E251" i="1"/>
  <c r="B251" i="1"/>
  <c r="E250" i="1"/>
  <c r="B250" i="1"/>
  <c r="E249" i="1"/>
  <c r="B249" i="1"/>
  <c r="E248" i="1"/>
  <c r="B248" i="1"/>
  <c r="E247" i="1"/>
  <c r="B247" i="1"/>
  <c r="E246" i="1"/>
  <c r="B246" i="1"/>
  <c r="E245" i="1"/>
  <c r="B245" i="1"/>
  <c r="E244" i="1"/>
  <c r="B244" i="1"/>
  <c r="E243" i="1"/>
  <c r="B243" i="1"/>
  <c r="E242" i="1"/>
  <c r="B242" i="1"/>
  <c r="E241" i="1"/>
  <c r="B241" i="1"/>
  <c r="E240" i="1"/>
  <c r="B240" i="1"/>
  <c r="E239" i="1"/>
  <c r="B239" i="1"/>
  <c r="E238" i="1"/>
  <c r="B238" i="1"/>
  <c r="E237" i="1"/>
  <c r="B237" i="1"/>
  <c r="E236" i="1"/>
  <c r="B236" i="1"/>
  <c r="E235" i="1"/>
  <c r="B235" i="1"/>
  <c r="E234" i="1"/>
  <c r="B234" i="1"/>
  <c r="E233" i="1"/>
  <c r="B233" i="1"/>
  <c r="E232" i="1"/>
  <c r="B232" i="1"/>
  <c r="E231" i="1"/>
  <c r="B231" i="1"/>
  <c r="E230" i="1"/>
  <c r="B230" i="1"/>
  <c r="E229" i="1"/>
  <c r="B229" i="1"/>
  <c r="E228" i="1"/>
  <c r="B228" i="1"/>
  <c r="E227" i="1"/>
  <c r="B227" i="1"/>
  <c r="E226" i="1"/>
  <c r="B226" i="1"/>
  <c r="E225" i="1"/>
  <c r="B225" i="1"/>
  <c r="E224" i="1"/>
  <c r="B224" i="1"/>
  <c r="E223" i="1"/>
  <c r="B223" i="1"/>
  <c r="E222" i="1"/>
  <c r="B222" i="1"/>
  <c r="E221" i="1"/>
  <c r="B221" i="1"/>
  <c r="E220" i="1"/>
  <c r="B220" i="1"/>
  <c r="E219" i="1"/>
  <c r="B219" i="1"/>
  <c r="E218" i="1"/>
  <c r="B218" i="1"/>
  <c r="E217" i="1"/>
  <c r="B217" i="1"/>
  <c r="E216" i="1"/>
  <c r="B216" i="1"/>
  <c r="E215" i="1"/>
  <c r="B215" i="1"/>
  <c r="E214" i="1"/>
  <c r="B214" i="1"/>
  <c r="E213" i="1"/>
  <c r="B213" i="1"/>
  <c r="E212" i="1"/>
  <c r="B212" i="1"/>
  <c r="E211" i="1"/>
  <c r="B211" i="1"/>
  <c r="E210" i="1"/>
  <c r="B210" i="1"/>
  <c r="E209" i="1"/>
  <c r="B209" i="1"/>
  <c r="E208" i="1"/>
  <c r="B208" i="1"/>
  <c r="E207" i="1"/>
  <c r="B207" i="1"/>
  <c r="E206" i="1"/>
  <c r="B206" i="1"/>
  <c r="E205" i="1"/>
  <c r="B205" i="1"/>
  <c r="E204" i="1"/>
  <c r="B204" i="1"/>
  <c r="E203" i="1"/>
  <c r="B203" i="1"/>
  <c r="E202" i="1"/>
  <c r="B202" i="1"/>
  <c r="E201" i="1"/>
  <c r="B201" i="1"/>
  <c r="E200" i="1"/>
  <c r="B200" i="1"/>
  <c r="E199" i="1"/>
  <c r="B199" i="1"/>
  <c r="E198" i="1"/>
  <c r="B198" i="1"/>
  <c r="E197" i="1"/>
  <c r="B197" i="1"/>
  <c r="E196" i="1"/>
  <c r="B196" i="1"/>
  <c r="E195" i="1"/>
  <c r="B195" i="1"/>
  <c r="E194" i="1"/>
  <c r="B194" i="1"/>
  <c r="E193" i="1"/>
  <c r="B193" i="1"/>
  <c r="E192" i="1"/>
  <c r="B192" i="1"/>
  <c r="E191" i="1"/>
  <c r="B191" i="1"/>
  <c r="E190" i="1"/>
  <c r="B190" i="1"/>
  <c r="E189" i="1"/>
  <c r="B189" i="1"/>
  <c r="E188" i="1"/>
  <c r="B188" i="1"/>
  <c r="E187" i="1"/>
  <c r="B187" i="1"/>
  <c r="E186" i="1"/>
  <c r="B186" i="1"/>
  <c r="E185" i="1"/>
  <c r="B185" i="1"/>
  <c r="E184" i="1"/>
  <c r="B184" i="1"/>
  <c r="E183" i="1"/>
  <c r="B183" i="1"/>
  <c r="E182" i="1"/>
  <c r="B182" i="1"/>
  <c r="E181" i="1"/>
  <c r="B181" i="1"/>
  <c r="E180" i="1"/>
  <c r="B180" i="1"/>
  <c r="E179" i="1"/>
  <c r="B179" i="1"/>
  <c r="E178" i="1"/>
  <c r="B178" i="1"/>
  <c r="E177" i="1"/>
  <c r="B177" i="1"/>
  <c r="E176" i="1"/>
  <c r="B176" i="1"/>
  <c r="E175" i="1"/>
  <c r="B175" i="1"/>
  <c r="E174" i="1"/>
  <c r="B174" i="1"/>
  <c r="E173" i="1"/>
  <c r="B173" i="1"/>
  <c r="E172" i="1"/>
  <c r="B172" i="1"/>
  <c r="E171" i="1"/>
  <c r="B171" i="1"/>
  <c r="E170" i="1"/>
  <c r="B170" i="1"/>
  <c r="E169" i="1"/>
  <c r="B169" i="1"/>
  <c r="E168" i="1"/>
  <c r="B168" i="1"/>
  <c r="E167" i="1"/>
  <c r="B167" i="1"/>
  <c r="E166" i="1"/>
  <c r="B166" i="1"/>
  <c r="E165" i="1"/>
  <c r="B165" i="1"/>
  <c r="E164" i="1"/>
  <c r="B164" i="1"/>
  <c r="E163" i="1"/>
  <c r="B163" i="1"/>
  <c r="E162" i="1"/>
  <c r="B162" i="1"/>
  <c r="E161" i="1"/>
  <c r="B161" i="1"/>
  <c r="E160" i="1"/>
  <c r="B160" i="1"/>
  <c r="E159" i="1"/>
  <c r="B159" i="1"/>
  <c r="E158" i="1"/>
  <c r="B158" i="1"/>
  <c r="E157" i="1"/>
  <c r="B157" i="1"/>
  <c r="E156" i="1"/>
  <c r="B156" i="1"/>
  <c r="E155" i="1"/>
  <c r="B155" i="1"/>
  <c r="E154" i="1"/>
  <c r="B154" i="1"/>
  <c r="E153" i="1"/>
  <c r="B153" i="1"/>
  <c r="E152" i="1"/>
  <c r="B152" i="1"/>
  <c r="E151" i="1"/>
  <c r="B151" i="1"/>
  <c r="E150" i="1"/>
  <c r="B150" i="1"/>
  <c r="E149" i="1"/>
  <c r="B149" i="1"/>
  <c r="E148" i="1"/>
  <c r="B148" i="1"/>
  <c r="E147" i="1"/>
  <c r="B147" i="1"/>
  <c r="E146" i="1"/>
  <c r="B146" i="1"/>
  <c r="E145" i="1"/>
  <c r="B145" i="1"/>
  <c r="E144" i="1"/>
  <c r="B144" i="1"/>
  <c r="E143" i="1"/>
  <c r="B143" i="1"/>
  <c r="E142" i="1"/>
  <c r="B142" i="1"/>
  <c r="E141" i="1"/>
  <c r="B141" i="1"/>
  <c r="E140" i="1"/>
  <c r="B140" i="1"/>
  <c r="E139" i="1"/>
  <c r="B139" i="1"/>
  <c r="E138" i="1"/>
  <c r="B138" i="1"/>
  <c r="E137" i="1"/>
  <c r="B137" i="1"/>
  <c r="E136" i="1"/>
  <c r="B136" i="1"/>
  <c r="E135" i="1"/>
  <c r="B135" i="1"/>
  <c r="E134" i="1"/>
  <c r="B134" i="1"/>
  <c r="E133" i="1"/>
  <c r="B133" i="1"/>
  <c r="E132" i="1"/>
  <c r="B132" i="1"/>
  <c r="E131" i="1"/>
  <c r="B131" i="1"/>
  <c r="E130" i="1"/>
  <c r="B130" i="1"/>
  <c r="E129" i="1"/>
  <c r="B129" i="1"/>
  <c r="E128" i="1"/>
  <c r="B128" i="1"/>
  <c r="E127" i="1"/>
  <c r="B127" i="1"/>
  <c r="E126" i="1"/>
  <c r="B126" i="1"/>
  <c r="E125" i="1"/>
  <c r="B125" i="1"/>
  <c r="E124" i="1"/>
  <c r="B124" i="1"/>
  <c r="E123" i="1"/>
  <c r="B123" i="1"/>
  <c r="E122" i="1"/>
  <c r="B122" i="1"/>
  <c r="E121" i="1"/>
  <c r="B121" i="1"/>
  <c r="E120" i="1"/>
  <c r="B120" i="1"/>
  <c r="E119" i="1"/>
  <c r="B119" i="1"/>
  <c r="E118" i="1"/>
  <c r="B118" i="1"/>
  <c r="E117" i="1"/>
  <c r="B117" i="1"/>
  <c r="E116" i="1"/>
  <c r="B116" i="1"/>
  <c r="E115" i="1"/>
  <c r="B115" i="1"/>
  <c r="E114" i="1"/>
  <c r="B114" i="1"/>
  <c r="E113" i="1"/>
  <c r="B113" i="1"/>
  <c r="E112" i="1"/>
  <c r="B112" i="1"/>
  <c r="E111" i="1"/>
  <c r="B111" i="1"/>
  <c r="E110" i="1"/>
  <c r="B110" i="1"/>
  <c r="E109" i="1"/>
  <c r="B109" i="1"/>
  <c r="E108" i="1"/>
  <c r="B108" i="1"/>
  <c r="E107" i="1"/>
  <c r="B107" i="1"/>
  <c r="E106" i="1"/>
  <c r="B106" i="1"/>
  <c r="E105" i="1"/>
  <c r="B105" i="1"/>
  <c r="E104" i="1"/>
  <c r="B104" i="1"/>
  <c r="E103" i="1"/>
  <c r="B103" i="1"/>
  <c r="E102" i="1"/>
  <c r="B102" i="1"/>
  <c r="E101" i="1"/>
  <c r="B101" i="1"/>
  <c r="E100" i="1"/>
  <c r="B100" i="1"/>
  <c r="E99" i="1"/>
  <c r="B99" i="1"/>
  <c r="E98" i="1"/>
  <c r="B98" i="1"/>
  <c r="E97" i="1"/>
  <c r="B97" i="1"/>
  <c r="E96" i="1"/>
  <c r="B96" i="1"/>
  <c r="E95" i="1"/>
  <c r="B95" i="1"/>
  <c r="E94" i="1"/>
  <c r="B94" i="1"/>
  <c r="E93" i="1"/>
  <c r="B93" i="1"/>
  <c r="E92" i="1"/>
  <c r="B92" i="1"/>
  <c r="E91" i="1"/>
  <c r="B91" i="1"/>
  <c r="E90" i="1"/>
  <c r="B90" i="1"/>
  <c r="E89" i="1"/>
  <c r="B89" i="1"/>
  <c r="E88" i="1"/>
  <c r="B88" i="1"/>
  <c r="E87" i="1"/>
  <c r="B87" i="1"/>
  <c r="E86" i="1"/>
  <c r="B86" i="1"/>
  <c r="E85" i="1"/>
  <c r="B85" i="1"/>
  <c r="E84" i="1"/>
  <c r="B84" i="1"/>
  <c r="E83" i="1"/>
  <c r="B83" i="1"/>
  <c r="E82" i="1"/>
  <c r="B82" i="1"/>
  <c r="E81" i="1"/>
  <c r="B81" i="1"/>
  <c r="E80" i="1"/>
  <c r="B80" i="1"/>
  <c r="E79" i="1"/>
  <c r="B79" i="1"/>
  <c r="E78" i="1"/>
  <c r="B78" i="1"/>
  <c r="E77" i="1"/>
  <c r="B77" i="1"/>
  <c r="E76" i="1"/>
  <c r="B76" i="1"/>
  <c r="E75" i="1"/>
  <c r="B75" i="1"/>
  <c r="E74" i="1"/>
  <c r="B74" i="1"/>
  <c r="E73" i="1"/>
  <c r="B73" i="1"/>
  <c r="E72" i="1"/>
  <c r="B72" i="1"/>
  <c r="E71" i="1"/>
  <c r="B71" i="1"/>
  <c r="E70" i="1"/>
  <c r="B70" i="1"/>
  <c r="E69" i="1"/>
  <c r="B69" i="1"/>
  <c r="E68" i="1"/>
  <c r="B68" i="1"/>
  <c r="E67" i="1"/>
  <c r="B67" i="1"/>
  <c r="E66" i="1"/>
  <c r="B66" i="1"/>
  <c r="E65" i="1"/>
  <c r="B65" i="1"/>
  <c r="E64" i="1"/>
  <c r="B64" i="1"/>
  <c r="E63" i="1"/>
  <c r="B63" i="1"/>
  <c r="E62" i="1"/>
  <c r="B62" i="1"/>
  <c r="E61" i="1"/>
  <c r="B61" i="1"/>
  <c r="E60" i="1"/>
  <c r="B60" i="1"/>
  <c r="E59" i="1"/>
  <c r="B59" i="1"/>
  <c r="E58" i="1"/>
  <c r="B58" i="1"/>
  <c r="E57" i="1"/>
  <c r="B57" i="1"/>
  <c r="E56" i="1"/>
  <c r="B56" i="1"/>
  <c r="E55" i="1"/>
  <c r="B55" i="1"/>
  <c r="E54" i="1"/>
  <c r="B54" i="1"/>
  <c r="E53" i="1"/>
  <c r="B53" i="1"/>
  <c r="E52" i="1"/>
  <c r="B52" i="1"/>
  <c r="E51" i="1"/>
  <c r="B51" i="1"/>
  <c r="E50" i="1"/>
  <c r="B50" i="1"/>
  <c r="E49" i="1"/>
  <c r="B49" i="1"/>
  <c r="E48" i="1"/>
  <c r="B48" i="1"/>
  <c r="E47" i="1"/>
  <c r="B47" i="1"/>
  <c r="E46" i="1"/>
  <c r="B46" i="1"/>
  <c r="E45" i="1"/>
  <c r="B45" i="1"/>
  <c r="E44" i="1"/>
  <c r="B44" i="1"/>
  <c r="E43" i="1"/>
  <c r="B43" i="1"/>
  <c r="E42" i="1"/>
  <c r="B42" i="1"/>
  <c r="E41" i="1"/>
  <c r="B41" i="1"/>
  <c r="E40" i="1"/>
  <c r="B40" i="1"/>
  <c r="E39" i="1"/>
  <c r="B39" i="1"/>
  <c r="E38" i="1"/>
  <c r="B38" i="1"/>
  <c r="E37" i="1"/>
  <c r="B37" i="1"/>
  <c r="E36" i="1"/>
  <c r="B36" i="1"/>
  <c r="E35" i="1"/>
  <c r="B35" i="1"/>
  <c r="E34" i="1"/>
  <c r="B34" i="1"/>
  <c r="E33" i="1"/>
  <c r="B33" i="1"/>
  <c r="E32" i="1"/>
  <c r="B32" i="1"/>
  <c r="E31" i="1"/>
  <c r="B31" i="1"/>
  <c r="E30" i="1"/>
  <c r="B30" i="1"/>
  <c r="E29" i="1"/>
  <c r="B29" i="1"/>
  <c r="E28" i="1"/>
  <c r="B28" i="1"/>
  <c r="E27" i="1"/>
  <c r="B27" i="1"/>
  <c r="E26" i="1"/>
  <c r="B26" i="1"/>
  <c r="E25" i="1"/>
  <c r="B25" i="1"/>
  <c r="E24" i="1"/>
  <c r="B24" i="1"/>
  <c r="E23" i="1"/>
  <c r="B23" i="1"/>
  <c r="E22" i="1"/>
  <c r="B22" i="1"/>
  <c r="E21" i="1"/>
  <c r="B21" i="1"/>
  <c r="E20" i="1"/>
  <c r="B20" i="1"/>
  <c r="E19" i="1"/>
  <c r="B19" i="1"/>
  <c r="E18" i="1"/>
  <c r="B18" i="1"/>
  <c r="E17" i="1"/>
  <c r="B17" i="1"/>
  <c r="E16" i="1"/>
  <c r="B16" i="1"/>
  <c r="E15" i="1"/>
  <c r="B15" i="1"/>
  <c r="E14" i="1"/>
  <c r="B14" i="1"/>
  <c r="E13" i="1"/>
  <c r="B13" i="1"/>
  <c r="E12" i="1"/>
  <c r="B12" i="1"/>
  <c r="E11" i="1"/>
  <c r="B11" i="1"/>
  <c r="E10" i="1"/>
  <c r="B10" i="1"/>
  <c r="E9" i="1"/>
  <c r="B9" i="1"/>
  <c r="E8" i="1"/>
  <c r="B8" i="1"/>
  <c r="E7" i="1"/>
  <c r="B7" i="1"/>
  <c r="E6" i="1"/>
  <c r="B6" i="1"/>
  <c r="E5" i="1"/>
  <c r="B5" i="1"/>
  <c r="E4" i="1"/>
  <c r="B4" i="1"/>
  <c r="E3" i="1"/>
  <c r="B3" i="1"/>
  <c r="E2" i="1"/>
  <c r="B2" i="1"/>
</calcChain>
</file>

<file path=xl/sharedStrings.xml><?xml version="1.0" encoding="utf-8"?>
<sst xmlns="http://schemas.openxmlformats.org/spreadsheetml/2006/main" count="18606" uniqueCount="4326">
  <si>
    <t>Тип документа</t>
  </si>
  <si>
    <t>№</t>
  </si>
  <si>
    <t>Дата документа</t>
  </si>
  <si>
    <t>Название ритейлера</t>
  </si>
  <si>
    <t>ИНН поставщика</t>
  </si>
  <si>
    <t>Название поставщика</t>
  </si>
  <si>
    <t>Сумма</t>
  </si>
  <si>
    <t>Путь к докменту</t>
  </si>
  <si>
    <t>Источник</t>
  </si>
  <si>
    <t>Результат работы робота</t>
  </si>
  <si>
    <t>Примечание</t>
  </si>
  <si>
    <t>УПД</t>
  </si>
  <si>
    <t>02.05.2023</t>
  </si>
  <si>
    <t xml:space="preserve">ООО "Веранс"
</t>
  </si>
  <si>
    <t>АО «ТК «МЕГАПОЛИС»</t>
  </si>
  <si>
    <t>181 498,80</t>
  </si>
  <si>
    <t>C:\BG\BridgeGroup\result\23.05.2023 17-43\АО «ТК «МЕГАПОЛИС»\УПД №191524_777E от 02.05.23.pdf</t>
  </si>
  <si>
    <t>Контур Диадок</t>
  </si>
  <si>
    <t>Оригинал получен ранее</t>
  </si>
  <si>
    <t>153 849,00</t>
  </si>
  <si>
    <t>C:\BG\BridgeGroup\result\23.05.2023 17-43\АО «ТК «МЕГАПОЛИС»\УПД №191525_777E от 02.05.23.pdf</t>
  </si>
  <si>
    <t>Добавлен в систему 1С</t>
  </si>
  <si>
    <t>3 399,94</t>
  </si>
  <si>
    <t>C:\BG\BridgeGroup\result\23.05.2023 17-43\АО «ТК «МЕГАПОЛИС»\УПД №191527_777E от 02.05.23.pdf</t>
  </si>
  <si>
    <t>1 485,90</t>
  </si>
  <si>
    <t>C:\BG\BridgeGroup\result\23.05.2023 17-43\АО «ТК «МЕГАПОЛИС»\УПД №191526_777E от 02.05.23.pdf</t>
  </si>
  <si>
    <t>ООО "ЭНЕРГИЯ"</t>
  </si>
  <si>
    <t>35 564,72</t>
  </si>
  <si>
    <t>C:\BG\BridgeGroup\result\23.05.2023 17-43\ООО ЭНЕРГИЯ\УПД №UT-104991 от 02.05.23.pdf</t>
  </si>
  <si>
    <t>2 774,74</t>
  </si>
  <si>
    <t>C:\BG\BridgeGroup\result\23.05.2023 17-43\ООО ЭНЕРГИЯ\УПД №UT-104992 от 02.05.23.pdf</t>
  </si>
  <si>
    <t>27 690,54</t>
  </si>
  <si>
    <t>C:\BG\BridgeGroup\result\23.05.2023 17-43\ООО ЭНЕРГИЯ\УПД №UT-104994 от 02.05.23.pdf</t>
  </si>
  <si>
    <t>2 704,62</t>
  </si>
  <si>
    <t>C:\BG\BridgeGroup\result\23.05.2023 17-43\ООО ЭНЕРГИЯ\УПД №UT-104996 от 02.05.23.pdf</t>
  </si>
  <si>
    <t>1 092,48</t>
  </si>
  <si>
    <t>C:\BG\BridgeGroup\result\23.05.2023 17-43\ООО ЭНЕРГИЯ\УПД №UT-104999 от 02.05.23.pdf</t>
  </si>
  <si>
    <t>5 711,05</t>
  </si>
  <si>
    <t>C:\BG\BridgeGroup\result\23.05.2023 17-43\ООО ЭНЕРГИЯ\УПД №UT-105000 от 02.05.23.pdf</t>
  </si>
  <si>
    <t>1 186,74</t>
  </si>
  <si>
    <t>C:\BG\BridgeGroup\result\23.05.2023 17-43\ООО ЭНЕРГИЯ\УПД №UT-105004 от 02.05.23.pdf</t>
  </si>
  <si>
    <t>3 326,55</t>
  </si>
  <si>
    <t>C:\BG\BridgeGroup\result\23.05.2023 17-43\ООО ЭНЕРГИЯ\УПД №UT-105403 от 02.05.23.pdf</t>
  </si>
  <si>
    <t>47 321,94</t>
  </si>
  <si>
    <t>C:\BG\BridgeGroup\result\23.05.2023 17-43\ООО ЭНЕРГИЯ\УПД №UT-105411 от 02.05.23.pdf</t>
  </si>
  <si>
    <t>39 249,89</t>
  </si>
  <si>
    <t>C:\BG\BridgeGroup\result\23.05.2023 17-43\ООО ЭНЕРГИЯ\УПД №UT-105418 от 02.05.23.pdf</t>
  </si>
  <si>
    <t>2 284,28</t>
  </si>
  <si>
    <t>C:\BG\BridgeGroup\result\23.05.2023 17-43\ООО ЭНЕРГИЯ\УПД №UT-105420 от 02.05.23.pdf</t>
  </si>
  <si>
    <t>30.04.2023</t>
  </si>
  <si>
    <t>ООО "ГЕО групп"</t>
  </si>
  <si>
    <t>33 236,01</t>
  </si>
  <si>
    <t>C:\BG\BridgeGroup\result\23.05.2023 17-43\ООО ГЕО групп\УПД №3109 от 30.04.23.pdf</t>
  </si>
  <si>
    <t>01.05.2023</t>
  </si>
  <si>
    <t>ООО "НИЛА СПРИНГС"</t>
  </si>
  <si>
    <t>2 232,00</t>
  </si>
  <si>
    <t>C:\BG\BridgeGroup\result\23.05.2023 17-43\ООО НИЛА СПРИНГС\УПД №2023_30_03_0128238_05 от 01.05.23.pdf</t>
  </si>
  <si>
    <t>ООО "Смартен"</t>
  </si>
  <si>
    <t>2 300,00</t>
  </si>
  <si>
    <t>C:\BG\BridgeGroup\result\23.05.2023 17-43\ООО Смартен\УПД №ОТ-3004-000036 от 30.04.23.pdf</t>
  </si>
  <si>
    <t>C:\BG\BridgeGroup\result\23.05.2023 17-43\ООО Смартен\УПД №ОТ-3004-000035 от 30.04.23.pdf</t>
  </si>
  <si>
    <t>1 190,40</t>
  </si>
  <si>
    <t>C:\BG\BridgeGroup\result\23.05.2023 17-43\ООО НИЛА СПРИНГС\УПД №2023_30_03_0134647_05 от 02.05.23.pdf</t>
  </si>
  <si>
    <t>1 488,00</t>
  </si>
  <si>
    <t>C:\BG\BridgeGroup\result\23.05.2023 17-43\ООО НИЛА СПРИНГС\УПД №2023_30_03_0134679_05 от 02.05.23.pdf</t>
  </si>
  <si>
    <t>03.05.2023</t>
  </si>
  <si>
    <t>4 369,92</t>
  </si>
  <si>
    <t>C:\BG\BridgeGroup\result\23.05.2023 17-43\ООО ЭНЕРГИЯ\УПД №UT-107016 от 03.05.23.pdf</t>
  </si>
  <si>
    <t>19 322,33</t>
  </si>
  <si>
    <t>C:\BG\BridgeGroup\result\23.05.2023 17-43\ООО ЭНЕРГИЯ\УПД №UT-106703 от 03.05.23.pdf</t>
  </si>
  <si>
    <t>5 502,25</t>
  </si>
  <si>
    <t>C:\BG\BridgeGroup\result\23.05.2023 17-43\ООО ЭНЕРГИЯ\УПД №UT-106571 от 03.05.23.pdf</t>
  </si>
  <si>
    <t>4 546,38</t>
  </si>
  <si>
    <t>C:\BG\BridgeGroup\result\23.05.2023 17-43\ООО ЭНЕРГИЯ\УПД №UT-106628 от 03.05.23.pdf</t>
  </si>
  <si>
    <t>13 529,77</t>
  </si>
  <si>
    <t>C:\BG\BridgeGroup\result\23.05.2023 17-43\ООО ЭНЕРГИЯ\УПД №UT-106704 от 03.05.23.pdf</t>
  </si>
  <si>
    <t>ООО "БРИДЖ ГРУПП"</t>
  </si>
  <si>
    <t>310 942,80</t>
  </si>
  <si>
    <t>C:\BG\BridgeGroup\result\23.05.2023 17-43\ООО БРИДЖ ГРУПП\УПД №877 от 30.04.23.pdf</t>
  </si>
  <si>
    <t>17 701,20</t>
  </si>
  <si>
    <t>C:\BG\BridgeGroup\result\23.05.2023 17-43\ООО БРИДЖ ГРУПП\УПД №907 от 30.04.23.pdf</t>
  </si>
  <si>
    <t>23 706,00</t>
  </si>
  <si>
    <t>C:\BG\BridgeGroup\result\23.05.2023 17-43\ООО БРИДЖ ГРУПП\УПД №935 от 30.04.23.pdf</t>
  </si>
  <si>
    <t>35 888,40</t>
  </si>
  <si>
    <t>C:\BG\BridgeGroup\result\23.05.2023 17-43\ООО БРИДЖ ГРУПП\УПД №979 от 30.04.23.pdf</t>
  </si>
  <si>
    <t>ООО ТД "ЛФБ"</t>
  </si>
  <si>
    <t>10 120,92</t>
  </si>
  <si>
    <t>C:\BG\BridgeGroup\result\23.05.2023 17-43\ООО ТД ЛФБ\УПД №27216 от 02.05.23.pdf</t>
  </si>
  <si>
    <t>8 784,96</t>
  </si>
  <si>
    <t>C:\BG\BridgeGroup\result\23.05.2023 17-43\ООО ТД ЛФБ\УПД №27204 от 02.05.23.pdf</t>
  </si>
  <si>
    <t>338,52</t>
  </si>
  <si>
    <t>C:\BG\BridgeGroup\result\23.05.2023 17-43\ООО ТД ЛФБ\УПД №26729 от 02.05.23.pdf</t>
  </si>
  <si>
    <t>677,04</t>
  </si>
  <si>
    <t>C:\BG\BridgeGroup\result\23.05.2023 17-43\ООО ТД ЛФБ\УПД №26722 от 02.05.23.pdf</t>
  </si>
  <si>
    <t>C:\BG\BridgeGroup\result\23.05.2023 17-43\ООО ТД ЛФБ\УПД №26706 от 02.05.23.pdf</t>
  </si>
  <si>
    <t>C:\BG\BridgeGroup\result\23.05.2023 17-43\ООО ТД ЛФБ\УПД №26685 от 02.05.23.pdf</t>
  </si>
  <si>
    <t>C:\BG\BridgeGroup\result\23.05.2023 17-43\ООО ТД ЛФБ\УПД №26636 от 02.05.23.pdf</t>
  </si>
  <si>
    <t>ООО "ПС СОЛЮШН"</t>
  </si>
  <si>
    <t>177 360,00</t>
  </si>
  <si>
    <t>C:\BG\BridgeGroup\result\23.05.2023 17-43\ООО ПС СОЛЮШН\УПД №150 от 30.04.23.pdf</t>
  </si>
  <si>
    <t>04.05.2023</t>
  </si>
  <si>
    <t>ООО "ВКУС ОН ТРЕЙД"</t>
  </si>
  <si>
    <t>34 694,33</t>
  </si>
  <si>
    <t>C:\BG\BridgeGroup\result\23.05.2023 17-43\ООО ВКУС ОН ТРЕЙД\УПД №SR110023284 от 04.05.23.pdf</t>
  </si>
  <si>
    <t>19 976,61</t>
  </si>
  <si>
    <t>C:\BG\BridgeGroup\result\23.05.2023 17-43\ООО ЭНЕРГИЯ\УПД №UT-108209 от 04.05.23.pdf</t>
  </si>
  <si>
    <t>05.05.2023</t>
  </si>
  <si>
    <t>17 630,52</t>
  </si>
  <si>
    <t>C:\BG\BridgeGroup\result\23.05.2023 17-43\ООО ВКУС ОН ТРЕЙД\УПД №SR110023118 от 05.05.23.pdf</t>
  </si>
  <si>
    <t>ООО "КОМУС"</t>
  </si>
  <si>
    <t>14 847,36</t>
  </si>
  <si>
    <t>C:\BG\BridgeGroup\result\23.05.2023 17-43\ООО КОМУС\УПД №28334664 от 03.05.23.pdf</t>
  </si>
  <si>
    <t>18 159,34</t>
  </si>
  <si>
    <t>C:\BG\BridgeGroup\result\23.05.2023 17-43\ООО ВКУС ОН ТРЕЙД\УПД №SR110023454 от 04.05.23.pdf</t>
  </si>
  <si>
    <t>28 896,86</t>
  </si>
  <si>
    <t>C:\BG\BridgeGroup\result\23.05.2023 17-43\ООО ВКУС ОН ТРЕЙД\УПД №SR110023480 от 04.05.23.pdf</t>
  </si>
  <si>
    <t>C:\BG\BridgeGroup\result\23.05.2023 17-43\ООО НИЛА СПРИНГС\УПД №2023_30_03_0138052_05 от 04.05.23.pdf</t>
  </si>
  <si>
    <t>892,80</t>
  </si>
  <si>
    <t>C:\BG\BridgeGroup\result\23.05.2023 17-43\ООО НИЛА СПРИНГС\УПД №2023_30_03_0138053_05 от 04.05.23.pdf</t>
  </si>
  <si>
    <t>07.05.2023</t>
  </si>
  <si>
    <t>27 635,37</t>
  </si>
  <si>
    <t>C:\BG\BridgeGroup\result\23.05.2023 17-43\ООО ВКУС ОН ТРЕЙД\УПД №SR110024037 от 07.05.23.pdf</t>
  </si>
  <si>
    <t xml:space="preserve">ООО "Виктория"
</t>
  </si>
  <si>
    <t>18 054,24</t>
  </si>
  <si>
    <t>C:\BG\BridgeGroup\result\23.05.2023 17-43\ООО ЭНЕРГИЯ\УПД №UT-105639 от 01.05.23.pdf</t>
  </si>
  <si>
    <t>16 342,49</t>
  </si>
  <si>
    <t>C:\BG\BridgeGroup\result\23.05.2023 17-43\ООО ЭНЕРГИЯ\УПД №UT-105641 от 01.05.23.pdf</t>
  </si>
  <si>
    <t>6 290,35</t>
  </si>
  <si>
    <t>C:\BG\BridgeGroup\result\23.05.2023 17-43\ООО ЭНЕРГИЯ\УПД №UT-105367 от 01.05.23.pdf</t>
  </si>
  <si>
    <t>68 546,85</t>
  </si>
  <si>
    <t>C:\BG\BridgeGroup\result\23.05.2023 17-43\ООО ЭНЕРГИЯ\УПД №UT-105370 от 01.05.23.pdf</t>
  </si>
  <si>
    <t>ООО "Полезные продукты"</t>
  </si>
  <si>
    <t>21 066,39</t>
  </si>
  <si>
    <t>C:\BG\BridgeGroup\result\23.05.2023 17-43\ООО Полезные продукты\УПД №АРРО0501_03 от 01.05.23.pdf</t>
  </si>
  <si>
    <t>8 642,30</t>
  </si>
  <si>
    <t>C:\BG\BridgeGroup\result\23.05.2023 17-43\ООО Полезные продукты\УПД №АРРО0501_11 от 01.05.23.pdf</t>
  </si>
  <si>
    <t>3 228,55</t>
  </si>
  <si>
    <t>C:\BG\BridgeGroup\result\23.05.2023 17-43\АО «ТК «МЕГАПОЛИС»\УПД №148603_780E от 02.05.23.pdf</t>
  </si>
  <si>
    <t>74 212,80</t>
  </si>
  <si>
    <t>C:\BG\BridgeGroup\result\23.05.2023 17-43\АО «ТК «МЕГАПОЛИС»\УПД №148605_780E от 02.05.23.pdf</t>
  </si>
  <si>
    <t>18 541,75</t>
  </si>
  <si>
    <t>C:\BG\BridgeGroup\result\23.05.2023 17-43\АО «ТК «МЕГАПОЛИС»\УПД №148606_780E от 02.05.23.pdf</t>
  </si>
  <si>
    <t>52 963,44</t>
  </si>
  <si>
    <t>C:\BG\BridgeGroup\result\23.05.2023 17-43\АО «ТК «МЕГАПОЛИС»\УПД №148607_780E от 02.05.23.pdf</t>
  </si>
  <si>
    <t>4 804,71</t>
  </si>
  <si>
    <t>C:\BG\BridgeGroup\result\23.05.2023 17-43\АО «ТК «МЕГАПОЛИС»\УПД №148638_780E от 02.05.23.pdf</t>
  </si>
  <si>
    <t>31 666,92</t>
  </si>
  <si>
    <t>C:\BG\BridgeGroup\result\23.05.2023 17-43\АО «ТК «МЕГАПОЛИС»\УПД №148637_780E от 02.05.23.pdf</t>
  </si>
  <si>
    <t>98 915,88</t>
  </si>
  <si>
    <t>C:\BG\BridgeGroup\result\23.05.2023 17-43\АО «ТК «МЕГАПОЛИС»\УПД №148639_780E от 02.05.23.pdf</t>
  </si>
  <si>
    <t>92 044,80</t>
  </si>
  <si>
    <t>C:\BG\BridgeGroup\result\23.05.2023 17-43\ООО ВКУС ОН ТРЕЙД\УПД №SR110022789 от 02.05.23.pdf</t>
  </si>
  <si>
    <t>ООО "ТД МЕГА ОПТ"</t>
  </si>
  <si>
    <t>5 306,88</t>
  </si>
  <si>
    <t>C:\BG\BridgeGroup\result\23.05.2023 17-43\ООО ТД МЕГА ОПТ\УПД №33190 от 02.05.23.pdf</t>
  </si>
  <si>
    <t>ООО "РУСИЧИ"</t>
  </si>
  <si>
    <t>4 137,28</t>
  </si>
  <si>
    <t>C:\BG\BridgeGroup\result\23.05.2023 17-43\ООО РУСИЧИ\УПД №УТР0166583 от 02.05.23.pdf</t>
  </si>
  <si>
    <t>7 468,62</t>
  </si>
  <si>
    <t>C:\BG\BridgeGroup\result\23.05.2023 17-43\ООО РУСИЧИ\УПД №УТР0166582 от 02.05.23.pdf</t>
  </si>
  <si>
    <t>9 234,31</t>
  </si>
  <si>
    <t>C:\BG\BridgeGroup\result\23.05.2023 17-43\ООО Полезные продукты\УПД №АРРО0502_03 от 02.05.23.pdf</t>
  </si>
  <si>
    <t>4 053,00</t>
  </si>
  <si>
    <t>C:\BG\BridgeGroup\result\23.05.2023 17-43\ООО Полезные продукты\УПД №БАШМ0502_01 от 02.05.23.pdf</t>
  </si>
  <si>
    <t>0,00</t>
  </si>
  <si>
    <t>C:\BG\BridgeGroup\result\23.05.2023 17-43\ООО НИЛА СПРИНГС\УПД №2023_40_03_0034024_06 от 30.04.23.pdf</t>
  </si>
  <si>
    <t>Документ не найден</t>
  </si>
  <si>
    <t>C:\BG\BridgeGroup\result\23.05.2023 17-43\ООО НИЛА СПРИНГС\УПД №2023_40_03_0033183_06 от 30.04.23.pdf</t>
  </si>
  <si>
    <t>C:\BG\BridgeGroup\result\23.05.2023 17-43\ООО НИЛА СПРИНГС\УПД №2023_40_03_0033187_06 от 30.04.23.pdf</t>
  </si>
  <si>
    <t>C:\BG\BridgeGroup\result\23.05.2023 17-43\ООО НИЛА СПРИНГС\УПД №2023_40_03_0033184_06 от 30.04.23.pdf</t>
  </si>
  <si>
    <t>C:\BG\BridgeGroup\result\23.05.2023 17-43\ООО НИЛА СПРИНГС\УПД №2023_40_03_0033185_06 от 30.04.23.pdf</t>
  </si>
  <si>
    <t>C:\BG\BridgeGroup\result\23.05.2023 17-43\ООО НИЛА СПРИНГС\УПД №2023_40_03_0033189_06 от 30.04.23.pdf</t>
  </si>
  <si>
    <t>C:\BG\BridgeGroup\result\23.05.2023 17-43\ООО НИЛА СПРИНГС\УПД №2023_40_03_0033186_06 от 30.04.23.pdf</t>
  </si>
  <si>
    <t>C:\BG\BridgeGroup\result\23.05.2023 17-43\ООО НИЛА СПРИНГС\УПД №2023_40_03_0033188_06 от 30.04.23.pdf</t>
  </si>
  <si>
    <t>2 630,02</t>
  </si>
  <si>
    <t>C:\BG\BridgeGroup\result\23.05.2023 17-43\АО «ТК «МЕГАПОЛИС»\УПД №150353_780E от 03.05.23.pdf</t>
  </si>
  <si>
    <t>106 852,68</t>
  </si>
  <si>
    <t>C:\BG\BridgeGroup\result\23.05.2023 17-43\АО «ТК «МЕГАПОЛИС»\УПД №150352_780E от 03.05.23.pdf</t>
  </si>
  <si>
    <t>6 047,43</t>
  </si>
  <si>
    <t>C:\BG\BridgeGroup\result\23.05.2023 17-43\АО «ТК «МЕГАПОЛИС»\УПД №150355_780E от 03.05.23.pdf</t>
  </si>
  <si>
    <t>1 667,52</t>
  </si>
  <si>
    <t>C:\BG\BridgeGroup\result\23.05.2023 17-43\АО «ТК «МЕГАПОЛИС»\УПД №150354_780E от 03.05.23.pdf</t>
  </si>
  <si>
    <t>935,28</t>
  </si>
  <si>
    <t>C:\BG\BridgeGroup\result\23.05.2023 17-43\АО «ТК «МЕГАПОЛИС»\УПД №150356_780E от 03.05.23.pdf</t>
  </si>
  <si>
    <t>32 232,83</t>
  </si>
  <si>
    <t>C:\BG\BridgeGroup\result\23.05.2023 17-43\АО «ТК «МЕГАПОЛИС»\УПД №150357_780E от 03.05.23.pdf</t>
  </si>
  <si>
    <t>47 963,40</t>
  </si>
  <si>
    <t>C:\BG\BridgeGroup\result\23.05.2023 17-43\АО «ТК «МЕГАПОЛИС»\УПД №150358_780E от 03.05.23.pdf</t>
  </si>
  <si>
    <t>2 191,20</t>
  </si>
  <si>
    <t>C:\BG\BridgeGroup\result\23.05.2023 17-43\АО «ТК «МЕГАПОЛИС»\УПД №150360_780E от 03.05.23.pdf</t>
  </si>
  <si>
    <t>67 963,56</t>
  </si>
  <si>
    <t>C:\BG\BridgeGroup\result\23.05.2023 17-43\АО «ТК «МЕГАПОЛИС»\УПД №150361_780E от 03.05.23.pdf</t>
  </si>
  <si>
    <t>223 184,52</t>
  </si>
  <si>
    <t>C:\BG\BridgeGroup\result\23.05.2023 17-43\АО «ТК «МЕГАПОЛИС»\УПД №150359_780E от 03.05.23.pdf</t>
  </si>
  <si>
    <t>395,40</t>
  </si>
  <si>
    <t>C:\BG\BridgeGroup\result\23.05.2023 17-43\АО «ТК «МЕГАПОЛИС»\УПД №150362_780E от 03.05.23.pdf</t>
  </si>
  <si>
    <t>1 844,56</t>
  </si>
  <si>
    <t>C:\BG\BridgeGroup\result\23.05.2023 17-43\АО «ТК «МЕГАПОЛИС»\УПД №150363_780E от 03.05.23.pdf</t>
  </si>
  <si>
    <t>80 556,36</t>
  </si>
  <si>
    <t>C:\BG\BridgeGroup\result\23.05.2023 17-43\АО «ТК «МЕГАПОЛИС»\УПД №150364_780E от 03.05.23.pdf</t>
  </si>
  <si>
    <t>1 567,20</t>
  </si>
  <si>
    <t>C:\BG\BridgeGroup\result\23.05.2023 17-43\АО «ТК «МЕГАПОЛИС»\УПД №150365_780E от 03.05.23.pdf</t>
  </si>
  <si>
    <t>206 385,72</t>
  </si>
  <si>
    <t>C:\BG\BridgeGroup\result\23.05.2023 17-43\АО «ТК «МЕГАПОЛИС»\УПД №150366_780E от 03.05.23.pdf</t>
  </si>
  <si>
    <t>238 038,36</t>
  </si>
  <si>
    <t>C:\BG\BridgeGroup\result\23.05.2023 17-43\АО «ТК «МЕГАПОЛИС»\УПД №150367_780E от 03.05.23.pdf</t>
  </si>
  <si>
    <t>415,05</t>
  </si>
  <si>
    <t>C:\BG\BridgeGroup\result\23.05.2023 17-43\АО «ТК «МЕГАПОЛИС»\УПД №150369_780E от 03.05.23.pdf</t>
  </si>
  <si>
    <t>68 120,50</t>
  </si>
  <si>
    <t>C:\BG\BridgeGroup\result\23.05.2023 17-43\АО «ТК «МЕГАПОЛИС»\УПД №150368_780E от 03.05.23.pdf</t>
  </si>
  <si>
    <t>17 680,05</t>
  </si>
  <si>
    <t>C:\BG\BridgeGroup\result\23.05.2023 17-43\АО «ТК «МЕГАПОЛИС»\УПД №150370_780E от 03.05.23.pdf</t>
  </si>
  <si>
    <t>1 250,64</t>
  </si>
  <si>
    <t>C:\BG\BridgeGroup\result\23.05.2023 17-43\АО «ТК «МЕГАПОЛИС»\УПД №150372_780E от 03.05.23.pdf</t>
  </si>
  <si>
    <t>326 837,04</t>
  </si>
  <si>
    <t>C:\BG\BridgeGroup\result\23.05.2023 17-43\АО «ТК «МЕГАПОЛИС»\УПД №150371_780E от 03.05.23.pdf</t>
  </si>
  <si>
    <t>73 513,95</t>
  </si>
  <si>
    <t>C:\BG\BridgeGroup\result\23.05.2023 17-43\ООО ЭНЕРГИЯ\УПД №UT-106705 от 03.05.23.pdf</t>
  </si>
  <si>
    <t>123 611,14</t>
  </si>
  <si>
    <t>C:\BG\BridgeGroup\result\23.05.2023 17-43\ООО ЭНЕРГИЯ\УПД №UT-106732 от 03.05.23.pdf</t>
  </si>
  <si>
    <t>1 111,36</t>
  </si>
  <si>
    <t>C:\BG\BridgeGroup\result\23.05.2023 17-43\ООО ЭНЕРГИЯ\УПД №UT-106731 от 03.05.23.pdf</t>
  </si>
  <si>
    <t>8 357,05</t>
  </si>
  <si>
    <t>C:\BG\BridgeGroup\result\23.05.2023 17-43\ООО ЭНЕРГИЯ\УПД №UT-106733 от 03.05.23.pdf</t>
  </si>
  <si>
    <t>5 852,16</t>
  </si>
  <si>
    <t>C:\BG\BridgeGroup\result\23.05.2023 17-43\ООО ЭНЕРГИЯ\УПД №UT-107043 от 03.05.23.pdf</t>
  </si>
  <si>
    <t>15 232,75</t>
  </si>
  <si>
    <t>C:\BG\BridgeGroup\result\23.05.2023 17-43\ООО ЭНЕРГИЯ\УПД №UT-107020 от 03.05.23.pdf</t>
  </si>
  <si>
    <t>115 601,18</t>
  </si>
  <si>
    <t>C:\BG\BridgeGroup\result\23.05.2023 17-43\ООО ЭНЕРГИЯ\УПД №UT-107021 от 03.05.23.pdf</t>
  </si>
  <si>
    <t>4 771,00</t>
  </si>
  <si>
    <t>C:\BG\BridgeGroup\result\23.05.2023 17-43\ООО КОМУС\УПД №28288646 от 02.05.23.pdf</t>
  </si>
  <si>
    <t>71 524,45</t>
  </si>
  <si>
    <t>C:\BG\BridgeGroup\result\23.05.2023 17-43\ООО ЭНЕРГИЯ\УПД №UT-107018 от 03.05.23.pdf</t>
  </si>
  <si>
    <t>2 102,11</t>
  </si>
  <si>
    <t>C:\BG\BridgeGroup\result\23.05.2023 17-43\ООО ЭНЕРГИЯ\УПД №UT-107019 от 03.05.23.pdf</t>
  </si>
  <si>
    <t>2 456,06</t>
  </si>
  <si>
    <t>C:\BG\BridgeGroup\result\23.05.2023 17-43\ООО ЭНЕРГИЯ\УПД №UT-107111 от 03.05.23.pdf</t>
  </si>
  <si>
    <t>7 327,18</t>
  </si>
  <si>
    <t>C:\BG\BridgeGroup\result\23.05.2023 17-43\ООО РУСИЧИ\УПД №УТР0166965 от 03.05.23.pdf</t>
  </si>
  <si>
    <t>5 389,69</t>
  </si>
  <si>
    <t>C:\BG\BridgeGroup\result\23.05.2023 17-43\ООО ВКУС ОН ТРЕЙД\УПД №SR110022979 от 03.05.23.pdf</t>
  </si>
  <si>
    <t>276 393,60</t>
  </si>
  <si>
    <t>C:\BG\BridgeGroup\result\23.05.2023 17-43\ООО БРИДЖ ГРУПП\УПД №878 от 30.04.23.pdf</t>
  </si>
  <si>
    <t>15 734,40</t>
  </si>
  <si>
    <t>C:\BG\BridgeGroup\result\23.05.2023 17-43\ООО БРИДЖ ГРУПП\УПД №908 от 30.04.23.pdf</t>
  </si>
  <si>
    <t>21 072,00</t>
  </si>
  <si>
    <t>C:\BG\BridgeGroup\result\23.05.2023 17-43\ООО БРИДЖ ГРУПП\УПД №936 от 30.04.23.pdf</t>
  </si>
  <si>
    <t>31 900,80</t>
  </si>
  <si>
    <t>C:\BG\BridgeGroup\result\23.05.2023 17-43\ООО БРИДЖ ГРУПП\УПД №980 от 30.04.23.pdf</t>
  </si>
  <si>
    <t>14 106,54</t>
  </si>
  <si>
    <t>C:\BG\BridgeGroup\result\23.05.2023 17-43\ООО НИЛА СПРИНГС\УПД №2023_40_03_0034384_06 от 02.05.23.pdf</t>
  </si>
  <si>
    <t>C:\BG\BridgeGroup\result\23.05.2023 17-43\ООО НИЛА СПРИНГС\УПД №2023_40_03_0034383_06 от 02.05.23.pdf</t>
  </si>
  <si>
    <t>10 076,10</t>
  </si>
  <si>
    <t>C:\BG\BridgeGroup\result\23.05.2023 17-43\ООО НИЛА СПРИНГС\УПД №2023_40_03_0034397_06 от 02.05.23.pdf</t>
  </si>
  <si>
    <t>6 045,66</t>
  </si>
  <si>
    <t>C:\BG\BridgeGroup\result\23.05.2023 17-43\ООО НИЛА СПРИНГС\УПД №2023_40_03_0034412_06 от 02.05.23.pdf</t>
  </si>
  <si>
    <t>C:\BG\BridgeGroup\result\23.05.2023 17-43\ООО НИЛА СПРИНГС\УПД №2023_40_03_0034413_06 от 02.05.23.pdf</t>
  </si>
  <si>
    <t>4 836,53</t>
  </si>
  <si>
    <t>C:\BG\BridgeGroup\result\23.05.2023 17-43\ООО НИЛА СПРИНГС\УПД №2023_40_03_0034192_06 от 02.05.23.pdf</t>
  </si>
  <si>
    <t>10 513,10</t>
  </si>
  <si>
    <t>C:\BG\BridgeGroup\result\23.05.2023 17-43\ООО КОМУС\УПД №28306057 от 02.05.23.pdf</t>
  </si>
  <si>
    <t>14 216,76</t>
  </si>
  <si>
    <t>C:\BG\BridgeGroup\result\23.05.2023 17-43\ООО ТД ЛФБ\УПД №28122 от 03.05.23.pdf</t>
  </si>
  <si>
    <t>8 490,18</t>
  </si>
  <si>
    <t>C:\BG\BridgeGroup\result\23.05.2023 17-43\ООО ТД ЛФБ\УПД №28102 от 03.05.23.pdf</t>
  </si>
  <si>
    <t>25 450,69</t>
  </si>
  <si>
    <t>C:\BG\BridgeGroup\result\23.05.2023 17-43\ООО ТД ЛФБ\УПД №28069 от 03.05.23.pdf</t>
  </si>
  <si>
    <t>3 245,88</t>
  </si>
  <si>
    <t>C:\BG\BridgeGroup\result\23.05.2023 17-43\ООО ТД ЛФБ\УПД №27884 от 02.05.23.pdf</t>
  </si>
  <si>
    <t>5 725,24</t>
  </si>
  <si>
    <t>C:\BG\BridgeGroup\result\23.05.2023 17-43\ООО ТД ЛФБ\УПД №27843 от 02.05.23.pdf</t>
  </si>
  <si>
    <t>7 601,80</t>
  </si>
  <si>
    <t>C:\BG\BridgeGroup\result\23.05.2023 17-43\ООО ТД ЛФБ\УПД №27836 от 02.05.23.pdf</t>
  </si>
  <si>
    <t>11 541,72</t>
  </si>
  <si>
    <t>C:\BG\BridgeGroup\result\23.05.2023 17-43\ООО ТД ЛФБ\УПД №27834 от 02.05.23.pdf</t>
  </si>
  <si>
    <t>8 659,84</t>
  </si>
  <si>
    <t>C:\BG\BridgeGroup\result\23.05.2023 17-43\ООО ТД ЛФБ\УПД №27832 от 02.05.23.pdf</t>
  </si>
  <si>
    <t>8 021,52</t>
  </si>
  <si>
    <t>C:\BG\BridgeGroup\result\23.05.2023 17-43\ООО ТД ЛФБ\УПД №27824 от 02.05.23.pdf</t>
  </si>
  <si>
    <t>5 162,24</t>
  </si>
  <si>
    <t>C:\BG\BridgeGroup\result\23.05.2023 17-43\ООО ТД ЛФБ\УПД №27823 от 02.05.23.pdf</t>
  </si>
  <si>
    <t>2 840,04</t>
  </si>
  <si>
    <t>C:\BG\BridgeGroup\result\23.05.2023 17-43\ООО ТД ЛФБ\УПД №27746 от 02.05.23.pdf</t>
  </si>
  <si>
    <t>11 764,56</t>
  </si>
  <si>
    <t>C:\BG\BridgeGroup\result\23.05.2023 17-43\ООО ТД ЛФБ\УПД №27735 от 02.05.23.pdf</t>
  </si>
  <si>
    <t>3 434,50</t>
  </si>
  <si>
    <t>C:\BG\BridgeGroup\result\23.05.2023 17-43\ООО ТД ЛФБ\УПД №27724 от 02.05.23.pdf</t>
  </si>
  <si>
    <t>2 495,00</t>
  </si>
  <si>
    <t>C:\BG\BridgeGroup\result\23.05.2023 17-43\ООО КОМУС\УПД №28309676 от 02.05.23.pdf</t>
  </si>
  <si>
    <t>Акт</t>
  </si>
  <si>
    <t>ООО "МедПроф"</t>
  </si>
  <si>
    <t>19 180,00</t>
  </si>
  <si>
    <t>C:\BG\BridgeGroup\result\23.05.2023 17-43\ООО МедПроф\Акт №30042023116 от 30.04.23.pdf</t>
  </si>
  <si>
    <t>43 326,33</t>
  </si>
  <si>
    <t>C:\BG\BridgeGroup\result\23.05.2023 17-43\ООО Смартен\УПД №УТ-405-000075 от 04.05.23.pdf</t>
  </si>
  <si>
    <t>36 098,94</t>
  </si>
  <si>
    <t>C:\BG\BridgeGroup\result\23.05.2023 17-43\ООО Смартен\УПД №УТ-405-000069 от 04.05.23.pdf</t>
  </si>
  <si>
    <t>37 873,68</t>
  </si>
  <si>
    <t>C:\BG\BridgeGroup\result\23.05.2023 17-43\ООО Смартен\УПД №УТ-405-000068 от 04.05.23.pdf</t>
  </si>
  <si>
    <t>13.04.2023</t>
  </si>
  <si>
    <t>11 666,43</t>
  </si>
  <si>
    <t>C:\BG\BridgeGroup\result\23.05.2023 17-43\ООО Смартен\УПД №УТ-1304-000027 от 13.04.23.pdf</t>
  </si>
  <si>
    <t>34 531,96</t>
  </si>
  <si>
    <t>C:\BG\BridgeGroup\result\23.05.2023 17-43\ООО ВКУС ОН ТРЕЙД\УПД №SR110023172 от 03.05.23.pdf</t>
  </si>
  <si>
    <t>221 340,00</t>
  </si>
  <si>
    <t>C:\BG\BridgeGroup\result\23.05.2023 17-43\ООО ПС СОЛЮШН\УПД №151 от 30.04.23.pdf</t>
  </si>
  <si>
    <t>126 765,84</t>
  </si>
  <si>
    <t>C:\BG\BridgeGroup\result\23.05.2023 17-43\АО «ТК «МЕГАПОЛИС»\УПД №152604_780E от 04.05.23.pdf</t>
  </si>
  <si>
    <t>42 222,48</t>
  </si>
  <si>
    <t>C:\BG\BridgeGroup\result\23.05.2023 17-43\АО «ТК «МЕГАПОЛИС»\УПД №152605_780E от 04.05.23.pdf</t>
  </si>
  <si>
    <t>9 266,41</t>
  </si>
  <si>
    <t>C:\BG\BridgeGroup\result\23.05.2023 17-43\АО «ТК «МЕГАПОЛИС»\УПД №152606_780E от 04.05.23.pdf</t>
  </si>
  <si>
    <t>187 873,44</t>
  </si>
  <si>
    <t>C:\BG\BridgeGroup\result\23.05.2023 17-43\АО «ТК «МЕГАПОЛИС»\УПД №152607_780E от 04.05.23.pdf</t>
  </si>
  <si>
    <t>36 666,96</t>
  </si>
  <si>
    <t>C:\BG\BridgeGroup\result\23.05.2023 17-43\АО «ТК «МЕГАПОЛИС»\УПД №152609_780E от 04.05.23.pdf</t>
  </si>
  <si>
    <t>14 303,25</t>
  </si>
  <si>
    <t>C:\BG\BridgeGroup\result\23.05.2023 17-43\АО «ТК «МЕГАПОЛИС»\УПД №152608_780E от 04.05.23.pdf</t>
  </si>
  <si>
    <t>26 766,89</t>
  </si>
  <si>
    <t>C:\BG\BridgeGroup\result\23.05.2023 17-43\ООО ЭНЕРГИЯ\УПД №UT-108331 от 04.05.23.pdf</t>
  </si>
  <si>
    <t>5 955,12</t>
  </si>
  <si>
    <t>C:\BG\BridgeGroup\result\23.05.2023 17-43\ООО КОМУС\УПД №28316444 от 03.05.23.pdf</t>
  </si>
  <si>
    <t>340,56</t>
  </si>
  <si>
    <t>C:\BG\BridgeGroup\result\23.05.2023 17-43\ООО КОМУС\УПД №28317026 от 03.05.23.pdf</t>
  </si>
  <si>
    <t>8 622,16</t>
  </si>
  <si>
    <t>C:\BG\BridgeGroup\result\23.05.2023 17-43\ООО ЭНЕРГИЯ\УПД №UT-108210 от 04.05.23.pdf</t>
  </si>
  <si>
    <t>43 330,67</t>
  </si>
  <si>
    <t>C:\BG\BridgeGroup\result\23.05.2023 17-43\ООО ВКУС ОН ТРЕЙД\УПД №SR110023383 от 04.05.23.pdf</t>
  </si>
  <si>
    <t>68 198,22</t>
  </si>
  <si>
    <t>C:\BG\BridgeGroup\result\23.05.2023 17-43\ООО ЭНЕРГИЯ\УПД №UT-108211 от 04.05.23.pdf</t>
  </si>
  <si>
    <t>12 325,48</t>
  </si>
  <si>
    <t>C:\BG\BridgeGroup\result\23.05.2023 17-43\ООО ЭНЕРГИЯ\УПД №UT-108482 от 04.05.23.pdf</t>
  </si>
  <si>
    <t>99 155,25</t>
  </si>
  <si>
    <t>C:\BG\BridgeGroup\result\23.05.2023 17-43\ООО ЭНЕРГИЯ\УПД №UT-108483 от 04.05.23.pdf</t>
  </si>
  <si>
    <t>C:\BG\BridgeGroup\result\23.05.2023 17-43\ООО ЭНЕРГИЯ\УПД №UT-108332 от 04.05.23.pdf</t>
  </si>
  <si>
    <t>C:\BG\BridgeGroup\result\23.05.2023 17-43\ООО ЭНЕРГИЯ\УПД №UT-108481 от 04.05.23.pdf</t>
  </si>
  <si>
    <t>4 098,00</t>
  </si>
  <si>
    <t>C:\BG\BridgeGroup\result\23.05.2023 17-43\ООО КОМУС\УПД №28330476 от 03.05.23.pdf</t>
  </si>
  <si>
    <t>5 595,20</t>
  </si>
  <si>
    <t>C:\BG\BridgeGroup\result\23.05.2023 17-43\ООО КОМУС\УПД №28330856 от 03.05.23.pdf</t>
  </si>
  <si>
    <t>ООО "СНС-Холдинг"</t>
  </si>
  <si>
    <t>37 233,84</t>
  </si>
  <si>
    <t>C:\BG\BridgeGroup\result\23.05.2023 17-43\ООО СНС-Холдинг\УПД №7810_8174463762 от 04.05.23.pdf</t>
  </si>
  <si>
    <t>C:\BG\BridgeGroup\result\23.05.2023 17-43\ООО НИЛА СПРИНГС\УПД №2023_40_03_0034949_06 от 03.05.23.pdf</t>
  </si>
  <si>
    <t>4 030,44</t>
  </si>
  <si>
    <t>C:\BG\BridgeGroup\result\23.05.2023 17-43\ООО НИЛА СПРИНГС\УПД №2023_40_03_0034831_06 от 03.05.23.pdf</t>
  </si>
  <si>
    <t>5 519,00</t>
  </si>
  <si>
    <t>C:\BG\BridgeGroup\result\23.05.2023 17-43\ООО КОМУС\УПД №28334408 от 03.05.23.pdf</t>
  </si>
  <si>
    <t>2 299,00</t>
  </si>
  <si>
    <t>C:\BG\BridgeGroup\result\23.05.2023 17-43\ООО КОМУС\УПД №28334424 от 03.05.23.pdf</t>
  </si>
  <si>
    <t>ООО "РИТЕЙЛ ПЕРСОНАЛ"</t>
  </si>
  <si>
    <t>50 000,00</t>
  </si>
  <si>
    <t>C:\BG\BridgeGroup\result\23.05.2023 17-43\ООО РИТЕЙЛ ПЕРСОНАЛ\УПД №105 от 30.04.23.pdf</t>
  </si>
  <si>
    <t>18 299,00</t>
  </si>
  <si>
    <t>C:\BG\BridgeGroup\result\23.05.2023 17-43\ООО КОМУС\УПД №28337328 от 03.05.23.pdf</t>
  </si>
  <si>
    <t>202,68</t>
  </si>
  <si>
    <t>C:\BG\BridgeGroup\result\23.05.2023 17-43\ООО КОМУС\УПД №28340219 от 03.05.23.pdf</t>
  </si>
  <si>
    <t>3 985,74</t>
  </si>
  <si>
    <t>C:\BG\BridgeGroup\result\23.05.2023 17-43\ООО КОМУС\УПД №28340812 от 03.05.23.pdf</t>
  </si>
  <si>
    <t>16 599,82</t>
  </si>
  <si>
    <t>C:\BG\BridgeGroup\result\23.05.2023 17-43\ООО ТД ЛФБ\УПД №28955 от 05.05.23.pdf</t>
  </si>
  <si>
    <t>29 801,37</t>
  </si>
  <si>
    <t>C:\BG\BridgeGroup\result\23.05.2023 17-43\ООО ЭНЕРГИЯ\УПД №UT-109650 от 05.05.23.pdf</t>
  </si>
  <si>
    <t>18 698,04</t>
  </si>
  <si>
    <t>C:\BG\BridgeGroup\result\23.05.2023 17-43\ООО ЭНЕРГИЯ\УПД №UT-109795 от 05.05.23.pdf</t>
  </si>
  <si>
    <t>128 932,98</t>
  </si>
  <si>
    <t>C:\BG\BridgeGroup\result\23.05.2023 17-43\ООО ЭНЕРГИЯ\УПД №UT-109796 от 05.05.23.pdf</t>
  </si>
  <si>
    <t>1 751,86</t>
  </si>
  <si>
    <t>C:\BG\BridgeGroup\result\23.05.2023 17-43\ООО ЭНЕРГИЯ\УПД №UT-109648 от 05.05.23.pdf</t>
  </si>
  <si>
    <t>849,00</t>
  </si>
  <si>
    <t>C:\BG\BridgeGroup\result\23.05.2023 17-43\ООО КОМУС\УПД №28348094 от 04.05.23.pdf</t>
  </si>
  <si>
    <t>670,02</t>
  </si>
  <si>
    <t>C:\BG\BridgeGroup\result\23.05.2023 17-43\ООО КОМУС\УПД №28348354 от 04.05.23.pdf</t>
  </si>
  <si>
    <t>4 360,02</t>
  </si>
  <si>
    <t>C:\BG\BridgeGroup\result\23.05.2023 17-43\ООО КОМУС\УПД №28348591 от 04.05.23.pdf</t>
  </si>
  <si>
    <t>362,04</t>
  </si>
  <si>
    <t>C:\BG\BridgeGroup\result\23.05.2023 17-43\ООО КОМУС\УПД №28348688 от 04.05.23.pdf</t>
  </si>
  <si>
    <t>58 785,64</t>
  </si>
  <si>
    <t>C:\BG\BridgeGroup\result\23.05.2023 17-43\ООО ЭНЕРГИЯ\УПД №UT-109647 от 05.05.23.pdf</t>
  </si>
  <si>
    <t>109 259,91</t>
  </si>
  <si>
    <t>C:\BG\BridgeGroup\result\23.05.2023 17-43\ООО ЭНЕРГИЯ\УПД №UT-109824 от 05.05.23.pdf</t>
  </si>
  <si>
    <t>167 544,80</t>
  </si>
  <si>
    <t>C:\BG\BridgeGroup\result\23.05.2023 17-43\ООО ВКУС ОН ТРЕЙД\УПД №SR110023572 от 05.05.23.pdf</t>
  </si>
  <si>
    <t>60 016,71</t>
  </si>
  <si>
    <t>C:\BG\BridgeGroup\result\23.05.2023 17-43\ООО ВКУС ОН ТРЕЙД\УПД №SR110023570 от 05.05.23.pdf</t>
  </si>
  <si>
    <t>1 253,00</t>
  </si>
  <si>
    <t>C:\BG\BridgeGroup\result\23.05.2023 17-43\ООО КОМУС\УПД №28362987 от 04.05.23.pdf</t>
  </si>
  <si>
    <t>Найдено более одного документа в 1С</t>
  </si>
  <si>
    <t>45 244,22</t>
  </si>
  <si>
    <t>C:\BG\BridgeGroup\result\23.05.2023 17-43\ООО СНС-Холдинг\УПД №7810_8174514012 от 05.05.23.pdf</t>
  </si>
  <si>
    <t>99 216,20</t>
  </si>
  <si>
    <t>C:\BG\BridgeGroup\result\23.05.2023 17-43\ООО СНС-Холдинг\УПД №7810_8174512629 от 05.05.23.pdf</t>
  </si>
  <si>
    <t>27 205,50</t>
  </si>
  <si>
    <t>C:\BG\BridgeGroup\result\23.05.2023 17-43\ООО СНС-Холдинг\УПД №7810_8174517754 от 05.05.23.pdf</t>
  </si>
  <si>
    <t>7 421,22</t>
  </si>
  <si>
    <t>C:\BG\BridgeGroup\result\23.05.2023 17-43\ООО РУСИЧИ\УПД №УТР0167685 от 05.05.23.pdf</t>
  </si>
  <si>
    <t>4 829,94</t>
  </si>
  <si>
    <t>C:\BG\BridgeGroup\result\23.05.2023 17-43\ООО РУСИЧИ\УПД №УТР0167684 от 05.05.23.pdf</t>
  </si>
  <si>
    <t>6 758,14</t>
  </si>
  <si>
    <t>C:\BG\BridgeGroup\result\23.05.2023 17-43\ООО РУСИЧИ\УПД №УТР0167537 от 05.05.23.pdf</t>
  </si>
  <si>
    <t>4 239,36</t>
  </si>
  <si>
    <t>C:\BG\BridgeGroup\result\23.05.2023 17-43\ООО РУСИЧИ\УПД №УТР0167536 от 05.05.23.pdf</t>
  </si>
  <si>
    <t>5 706,54</t>
  </si>
  <si>
    <t>C:\BG\BridgeGroup\result\23.05.2023 17-43\ООО РУСИЧИ\УПД №УТР0167513 от 05.05.23.pdf</t>
  </si>
  <si>
    <t>5 565,43</t>
  </si>
  <si>
    <t>C:\BG\BridgeGroup\result\23.05.2023 17-43\ООО РУСИЧИ\УПД №УТР0167512 от 05.05.23.pdf</t>
  </si>
  <si>
    <t>ООО "ПепсиКо Холдингс"</t>
  </si>
  <si>
    <t>13 772,18</t>
  </si>
  <si>
    <t>C:\BG\BridgeGroup\result\23.05.2023 17-43\ООО ПепсиКо Холдингс\УПД №30_00159844-23 от 05.05.23.pdf</t>
  </si>
  <si>
    <t>16 121,76</t>
  </si>
  <si>
    <t>C:\BG\BridgeGroup\result\23.05.2023 17-43\ООО НИЛА СПРИНГС\УПД №2023_40_03_0035257_06 от 04.05.23.pdf</t>
  </si>
  <si>
    <t>C:\BG\BridgeGroup\result\23.05.2023 17-43\ООО НИЛА СПРИНГС\УПД №2023_40_03_0035304_06 от 04.05.23.pdf</t>
  </si>
  <si>
    <t>C:\BG\BridgeGroup\result\23.05.2023 17-43\ООО НИЛА СПРИНГС\УПД №2023_40_03_0035289_06 от 04.05.23.pdf</t>
  </si>
  <si>
    <t>8 212,97</t>
  </si>
  <si>
    <t>C:\BG\BridgeGroup\result\23.05.2023 17-43\ООО ЭНЕРГИЯ\УПД №UT-109649 от 05.05.23.pdf</t>
  </si>
  <si>
    <t>4 685,60</t>
  </si>
  <si>
    <t>C:\BG\BridgeGroup\result\23.05.2023 17-43\ООО Полезные продукты\УПД №АРРО0505_05 от 05.05.23.pdf</t>
  </si>
  <si>
    <t>40 759,15</t>
  </si>
  <si>
    <t>C:\BG\BridgeGroup\result\23.05.2023 17-43\ООО ВКУС ОН ТРЕЙД\УПД №SR110023667 от 05.05.23.pdf</t>
  </si>
  <si>
    <t>06.05.2023</t>
  </si>
  <si>
    <t>32 301,17</t>
  </si>
  <si>
    <t>C:\BG\BridgeGroup\result\23.05.2023 17-43\ООО Смартен\УПД №УТ-605-000113 от 06.05.23.pdf</t>
  </si>
  <si>
    <t>6 252,88</t>
  </si>
  <si>
    <t>C:\BG\BridgeGroup\result\23.05.2023 17-43\ООО Смартен\УПД №УТ-605-000110 от 06.05.23.pdf</t>
  </si>
  <si>
    <t>49 438,50</t>
  </si>
  <si>
    <t>C:\BG\BridgeGroup\result\23.05.2023 17-43\ООО ВКУС ОН ТРЕЙД\УПД №SR110023964 от 06.05.23.pdf</t>
  </si>
  <si>
    <t>9 310,42</t>
  </si>
  <si>
    <t>C:\BG\BridgeGroup\result\23.05.2023 17-43\ООО ВКУС ОН ТРЕЙД\УПД №SR110023841 от 06.05.23.pdf</t>
  </si>
  <si>
    <t>C:\BG\BridgeGroup\result\23.05.2023 17-43\ООО ВКУС ОН ТРЕЙД\УПД №SR110023840 от 06.05.23.pdf</t>
  </si>
  <si>
    <t>5 055,04</t>
  </si>
  <si>
    <t>C:\BG\BridgeGroup\result\23.05.2023 17-43\ООО ВКУС ОН ТРЕЙД\УПД №SR110024008 от 06.05.23.pdf</t>
  </si>
  <si>
    <t>4 655,21</t>
  </si>
  <si>
    <t>C:\BG\BridgeGroup\result\23.05.2023 17-43\ООО ВКУС ОН ТРЕЙД\УПД №SR110024077 от 07.05.23.pdf</t>
  </si>
  <si>
    <t xml:space="preserve">ООО "ВОЛГА ОЙЛ"
</t>
  </si>
  <si>
    <t>614,76</t>
  </si>
  <si>
    <t>C:\BG\BridgeGroup\result\23.05.2023 17-43\ООО Полезные продукты\УПД №ПЕВЛ0501_03 от 01.05.23.pdf</t>
  </si>
  <si>
    <t>6 666,72</t>
  </si>
  <si>
    <t>C:\BG\BridgeGroup\result\23.05.2023 17-43\АО «ТК «МЕГАПОЛИС»\УПД №56421_160E от 02.05.23.pdf</t>
  </si>
  <si>
    <t>11 666,76</t>
  </si>
  <si>
    <t>C:\BG\BridgeGroup\result\23.05.2023 17-43\АО «ТК «МЕГАПОЛИС»\УПД №56422_160E от 02.05.23.pdf</t>
  </si>
  <si>
    <t>1 666,68</t>
  </si>
  <si>
    <t>C:\BG\BridgeGroup\result\23.05.2023 17-43\АО «ТК «МЕГАПОЛИС»\УПД №56423_160E от 02.05.23.pdf</t>
  </si>
  <si>
    <t>3 333,36</t>
  </si>
  <si>
    <t>C:\BG\BridgeGroup\result\23.05.2023 17-43\АО «ТК «МЕГАПОЛИС»\УПД №56424_160E от 02.05.23.pdf</t>
  </si>
  <si>
    <t>C:\BG\BridgeGroup\result\23.05.2023 17-43\АО «ТК «МЕГАПОЛИС»\УПД №56425_160E от 02.05.23.pdf</t>
  </si>
  <si>
    <t>C:\BG\BridgeGroup\result\23.05.2023 17-43\АО «ТК «МЕГАПОЛИС»\УПД №56426_160E от 02.05.23.pdf</t>
  </si>
  <si>
    <t>C:\BG\BridgeGroup\result\23.05.2023 17-43\АО «ТК «МЕГАПОЛИС»\УПД №56427_160E от 02.05.23.pdf</t>
  </si>
  <si>
    <t>C:\BG\BridgeGroup\result\23.05.2023 17-43\АО «ТК «МЕГАПОЛИС»\УПД №56432_160E от 02.05.23.pdf</t>
  </si>
  <si>
    <t>3 009,71</t>
  </si>
  <si>
    <t>C:\BG\BridgeGroup\result\23.05.2023 17-43\ООО ЭНЕРГИЯ\УПД №UT-105873 от 02.05.23.pdf</t>
  </si>
  <si>
    <t>21 877,27</t>
  </si>
  <si>
    <t>C:\BG\BridgeGroup\result\23.05.2023 17-43\ООО ЭНЕРГИЯ\УПД №UT-105256 от 02.05.23.pdf</t>
  </si>
  <si>
    <t>3 427,50</t>
  </si>
  <si>
    <t>C:\BG\BridgeGroup\result\23.05.2023 17-43\ООО ЭНЕРГИЯ\УПД №UT-105285 от 02.05.23.pdf</t>
  </si>
  <si>
    <t>8 453,63</t>
  </si>
  <si>
    <t>C:\BG\BridgeGroup\result\23.05.2023 17-43\ООО ЭНЕРГИЯ\УПД №UT-105334 от 02.05.23.pdf</t>
  </si>
  <si>
    <t>51 673,16</t>
  </si>
  <si>
    <t>C:\BG\BridgeGroup\result\23.05.2023 17-43\ООО ЭНЕРГИЯ\УПД №UT-105336 от 02.05.23.pdf</t>
  </si>
  <si>
    <t>29 505,17</t>
  </si>
  <si>
    <t>C:\BG\BridgeGroup\result\23.05.2023 17-43\ООО ЭНЕРГИЯ\УПД №UT-105339 от 02.05.23.pdf</t>
  </si>
  <si>
    <t>3 242,73</t>
  </si>
  <si>
    <t>C:\BG\BridgeGroup\result\23.05.2023 17-43\ООО ЭНЕРГИЯ\УПД №UT-105342 от 02.05.23.pdf</t>
  </si>
  <si>
    <t>25 899,33</t>
  </si>
  <si>
    <t>C:\BG\BridgeGroup\result\23.05.2023 17-43\ООО ЭНЕРГИЯ\УПД №UT-105422 от 02.05.23.pdf</t>
  </si>
  <si>
    <t>640,50</t>
  </si>
  <si>
    <t>C:\BG\BridgeGroup\result\23.05.2023 17-43\ООО ЭНЕРГИЯ\УПД №UT-105423 от 02.05.23.pdf</t>
  </si>
  <si>
    <t>4 762,53</t>
  </si>
  <si>
    <t>C:\BG\BridgeGroup\result\23.05.2023 17-43\ООО ЭНЕРГИЯ\УПД №UT-105424 от 02.05.23.pdf</t>
  </si>
  <si>
    <t>3 159,96</t>
  </si>
  <si>
    <t>C:\BG\BridgeGroup\result\23.05.2023 17-43\ООО Полезные продукты\УПД №ПЕВЛ0501_07 от 01.05.23.pdf</t>
  </si>
  <si>
    <t>ООО "Партнер Логистик"</t>
  </si>
  <si>
    <t>2 935,60</t>
  </si>
  <si>
    <t>C:\BG\BridgeGroup\result\23.05.2023 17-43\ООО Партнер Логистик\УПД №МгПЛГ-1220300140 от 02.05.23.pdf</t>
  </si>
  <si>
    <t>80 221,68</t>
  </si>
  <si>
    <t>C:\BG\BridgeGroup\result\23.05.2023 17-43\АО «ТК «МЕГАПОЛИС»\УПД №56307_160E от 02.05.23.pdf</t>
  </si>
  <si>
    <t>2 875,97</t>
  </si>
  <si>
    <t>C:\BG\BridgeGroup\result\23.05.2023 17-43\АО «ТК «МЕГАПОЛИС»\УПД №56309_160E от 02.05.23.pdf</t>
  </si>
  <si>
    <t>7 784,77</t>
  </si>
  <si>
    <t>C:\BG\BridgeGroup\result\23.05.2023 17-43\АО «ТК «МЕГАПОЛИС»\УПД №56316_160E от 02.05.23.pdf</t>
  </si>
  <si>
    <t>223 161,60</t>
  </si>
  <si>
    <t>C:\BG\BridgeGroup\result\23.05.2023 17-43\АО «ТК «МЕГАПОЛИС»\УПД №56312_160E от 02.05.23.pdf</t>
  </si>
  <si>
    <t>1 075,96</t>
  </si>
  <si>
    <t>C:\BG\BridgeGroup\result\23.05.2023 17-43\АО «ТК «МЕГАПОЛИС»\УПД №56319_160E от 02.05.23.pdf</t>
  </si>
  <si>
    <t>88 025,16</t>
  </si>
  <si>
    <t>C:\BG\BridgeGroup\result\23.05.2023 17-43\АО «ТК «МЕГАПОЛИС»\УПД №56314_160E от 02.05.23.pdf</t>
  </si>
  <si>
    <t>4 386,67</t>
  </si>
  <si>
    <t>C:\BG\BridgeGroup\result\23.05.2023 17-43\АО «ТК «МЕГАПОЛИС»\УПД №56310_160E от 02.05.23.pdf</t>
  </si>
  <si>
    <t>99 510,36</t>
  </si>
  <si>
    <t>C:\BG\BridgeGroup\result\23.05.2023 17-43\АО «ТК «МЕГАПОЛИС»\УПД №56313_160E от 02.05.23.pdf</t>
  </si>
  <si>
    <t>12 417,99</t>
  </si>
  <si>
    <t>C:\BG\BridgeGroup\result\23.05.2023 17-43\АО «ТК «МЕГАПОЛИС»\УПД №56317_160E от 02.05.23.pdf</t>
  </si>
  <si>
    <t>152 262,24</t>
  </si>
  <si>
    <t>C:\BG\BridgeGroup\result\23.05.2023 17-43\АО «ТК «МЕГАПОЛИС»\УПД №56320_160E от 02.05.23.pdf</t>
  </si>
  <si>
    <t>8 727,05</t>
  </si>
  <si>
    <t>C:\BG\BridgeGroup\result\23.05.2023 17-43\АО «ТК «МЕГАПОЛИС»\УПД №56308_160E от 02.05.23.pdf</t>
  </si>
  <si>
    <t>200 520,00</t>
  </si>
  <si>
    <t>C:\BG\BridgeGroup\result\23.05.2023 17-43\АО «ТК «МЕГАПОЛИС»\УПД №56311_160E от 02.05.23.pdf</t>
  </si>
  <si>
    <t>1 269,36</t>
  </si>
  <si>
    <t>C:\BG\BridgeGroup\result\23.05.2023 17-43\АО «ТК «МЕГАПОЛИС»\УПД №56306_160E от 02.05.23.pdf</t>
  </si>
  <si>
    <t>89 234,76</t>
  </si>
  <si>
    <t>C:\BG\BridgeGroup\result\23.05.2023 17-43\АО «ТК «МЕГАПОЛИС»\УПД №56315_160E от 02.05.23.pdf</t>
  </si>
  <si>
    <t>149 001,48</t>
  </si>
  <si>
    <t>C:\BG\BridgeGroup\result\23.05.2023 17-43\АО «ТК «МЕГАПОЛИС»\УПД №56318_160E от 02.05.23.pdf</t>
  </si>
  <si>
    <t>38 266,38</t>
  </si>
  <si>
    <t>C:\BG\BridgeGroup\result\23.05.2023 17-43\ООО СНС-Холдинг\УПД №1610_8174366786 от 02.05.23.pdf</t>
  </si>
  <si>
    <t>13 475,10</t>
  </si>
  <si>
    <t>C:\BG\BridgeGroup\result\23.05.2023 17-43\ООО СНС-Холдинг\УПД №1610_8174366705 от 02.05.23.pdf</t>
  </si>
  <si>
    <t>29.04.2023</t>
  </si>
  <si>
    <t>ООО "Тэмле +"</t>
  </si>
  <si>
    <t>22 933,92</t>
  </si>
  <si>
    <t>C:\BG\BridgeGroup\result\23.05.2023 17-43\ООО Тэмле +\УПД №8651 от 29.04.23.pdf</t>
  </si>
  <si>
    <t>36 479,86</t>
  </si>
  <si>
    <t>C:\BG\BridgeGroup\result\23.05.2023 17-43\ООО СНС-Холдинг\УПД №1610_8174360508 от 02.05.23.pdf</t>
  </si>
  <si>
    <t>15 724,30</t>
  </si>
  <si>
    <t>C:\BG\BridgeGroup\result\23.05.2023 17-43\ООО СНС-Холдинг\УПД №1610_8174366748 от 02.05.23.pdf</t>
  </si>
  <si>
    <t>26 289,20</t>
  </si>
  <si>
    <t>C:\BG\BridgeGroup\result\23.05.2023 17-43\ООО Тэмле +\УПД №8619 от 29.04.23.pdf</t>
  </si>
  <si>
    <t>15 790,62</t>
  </si>
  <si>
    <t>C:\BG\BridgeGroup\result\23.05.2023 17-43\ООО СНС-Холдинг\УПД №1610_8174360461 от 02.05.23.pdf</t>
  </si>
  <si>
    <t>17 721,00</t>
  </si>
  <si>
    <t>C:\BG\BridgeGroup\result\23.05.2023 17-43\ООО СНС-Холдинг\УПД №1610_8174360601 от 02.05.23.pdf</t>
  </si>
  <si>
    <t>4 930,02</t>
  </si>
  <si>
    <t>C:\BG\BridgeGroup\result\23.05.2023 17-43\ООО Тэмле +\УПД №8620 от 29.04.23.pdf</t>
  </si>
  <si>
    <t>10 884,55</t>
  </si>
  <si>
    <t>C:\BG\BridgeGroup\result\23.05.2023 17-43\ООО ЭНЕРГИЯ\УПД №UT-106825 от 03.05.23.pdf</t>
  </si>
  <si>
    <t>54 158,51</t>
  </si>
  <si>
    <t>C:\BG\BridgeGroup\result\23.05.2023 17-43\ООО ЭНЕРГИЯ\УПД №UT-106826 от 03.05.23.pdf</t>
  </si>
  <si>
    <t>ООО "АкваТрэйдэр"</t>
  </si>
  <si>
    <t>1 690,40</t>
  </si>
  <si>
    <t>C:\BG\BridgeGroup\result\23.05.2023 17-43\ООО АкваТрэйдэр\УПД №5-228433 от 03.05.23.pdf</t>
  </si>
  <si>
    <t>26.04.2023</t>
  </si>
  <si>
    <t>31 186,65</t>
  </si>
  <si>
    <t>C:\BG\BridgeGroup\result\23.05.2023 17-43\ООО Тэмле +\УПД №8345 от 26.04.23.pdf</t>
  </si>
  <si>
    <t>16 612,58</t>
  </si>
  <si>
    <t>C:\BG\BridgeGroup\result\23.05.2023 17-43\ООО Тэмле +\УПД №8621 от 29.04.23.pdf</t>
  </si>
  <si>
    <t>ООО "ПОЛИГРАФЫЧЪ"</t>
  </si>
  <si>
    <t>390,00</t>
  </si>
  <si>
    <t>C:\BG\BridgeGroup\result\23.05.2023 17-43\ООО ПОЛИГРАФЫЧЪ\УПД №Б-1252 от 03.05.23.pdf</t>
  </si>
  <si>
    <t>26 880,00</t>
  </si>
  <si>
    <t>C:\BG\BridgeGroup\result\23.05.2023 17-43\ООО ПОЛИГРАФЫЧЪ\УПД №Б-1253 от 03.05.23.pdf</t>
  </si>
  <si>
    <t>3 077,40</t>
  </si>
  <si>
    <t>C:\BG\BridgeGroup\result\23.05.2023 17-43\ООО АкваТрэйдэр\УПД №5-229099 от 04.05.23.pdf</t>
  </si>
  <si>
    <t>1 545,20</t>
  </si>
  <si>
    <t>C:\BG\BridgeGroup\result\23.05.2023 17-43\ООО АкваТрэйдэр\УПД №5-229059 от 04.05.23.pdf</t>
  </si>
  <si>
    <t>2 167,00</t>
  </si>
  <si>
    <t>C:\BG\BridgeGroup\result\23.05.2023 17-43\ООО АкваТрэйдэр\УПД №5-229033 от 04.05.23.pdf</t>
  </si>
  <si>
    <t>22 168,30</t>
  </si>
  <si>
    <t>C:\BG\BridgeGroup\result\23.05.2023 17-43\ООО СНС-Холдинг\УПД №1610_8174446120 от 04.05.23.pdf</t>
  </si>
  <si>
    <t>18 182,30</t>
  </si>
  <si>
    <t>C:\BG\BridgeGroup\result\23.05.2023 17-43\ООО СНС-Холдинг\УПД №1610_8174446146 от 04.05.23.pdf</t>
  </si>
  <si>
    <t>10 930,07</t>
  </si>
  <si>
    <t>C:\BG\BridgeGroup\result\23.05.2023 17-43\ООО Тэмле +\УПД №8861 от 04.05.23.pdf</t>
  </si>
  <si>
    <t>36 701,10</t>
  </si>
  <si>
    <t>C:\BG\BridgeGroup\result\23.05.2023 17-43\ООО Тэмле +\УПД №8887 от 04.05.23.pdf</t>
  </si>
  <si>
    <t>4 304,94</t>
  </si>
  <si>
    <t>C:\BG\BridgeGroup\result\23.05.2023 17-43\ООО Тэмле +\УПД №8888 от 04.05.23.pdf</t>
  </si>
  <si>
    <t>36 613,12</t>
  </si>
  <si>
    <t>C:\BG\BridgeGroup\result\23.05.2023 17-43\ООО Тэмле +\УПД №8889 от 04.05.23.pdf</t>
  </si>
  <si>
    <t>28.04.2023</t>
  </si>
  <si>
    <t>ООО "АЛЕФ ТРЕЙД МСК"</t>
  </si>
  <si>
    <t>1 600,00</t>
  </si>
  <si>
    <t>C:\BG\BridgeGroup\result\23.05.2023 17-43\ООО АЛЕФ ТРЕЙД МСК\УПД №1091 от 28.04.23.pdf</t>
  </si>
  <si>
    <t>3 522,99</t>
  </si>
  <si>
    <t>C:\BG\BridgeGroup\result\23.05.2023 17-43\ООО КОМУС\УПД №28342067 от 03.05.23.pdf</t>
  </si>
  <si>
    <t>3 078,00</t>
  </si>
  <si>
    <t>C:\BG\BridgeGroup\result\23.05.2023 17-43\ООО КОМУС\УПД №28342370 от 03.05.23.pdf</t>
  </si>
  <si>
    <t>5 013,50</t>
  </si>
  <si>
    <t>C:\BG\BridgeGroup\result\23.05.2023 17-43\ООО КОМУС\УПД №28342381 от 03.05.23.pdf</t>
  </si>
  <si>
    <t>58 922,58</t>
  </si>
  <si>
    <t>C:\BG\BridgeGroup\result\23.05.2023 17-43\ООО ЭНЕРГИЯ\УПД №UT-109449 от 05.05.23.pdf</t>
  </si>
  <si>
    <t>7 310,89</t>
  </si>
  <si>
    <t>C:\BG\BridgeGroup\result\23.05.2023 17-43\ООО ЭНЕРГИЯ\УПД №UT-109450 от 05.05.23.pdf</t>
  </si>
  <si>
    <t>C:\BG\BridgeGroup\result\23.05.2023 17-43\ООО ЭНЕРГИЯ\УПД №UT-109448 от 05.05.23.pdf</t>
  </si>
  <si>
    <t>1 273,80</t>
  </si>
  <si>
    <t>C:\BG\BridgeGroup\result\23.05.2023 17-43\ООО АкваТрэйдэр\УПД №5-229589 от 05.05.23.pdf</t>
  </si>
  <si>
    <t>925,00</t>
  </si>
  <si>
    <t>C:\BG\BridgeGroup\result\23.05.2023 17-43\ООО АкваТрэйдэр\УПД №5-229554 от 05.05.23.pdf</t>
  </si>
  <si>
    <t>2 378,40</t>
  </si>
  <si>
    <t>C:\BG\BridgeGroup\result\23.05.2023 17-43\ООО АкваТрэйдэр\УПД №5-229818 от 05.05.23.pdf</t>
  </si>
  <si>
    <t>3 667,84</t>
  </si>
  <si>
    <t>C:\BG\BridgeGroup\result\23.05.2023 17-43\ООО Тэмле +\УПД №9008 от 05.05.23.pdf</t>
  </si>
  <si>
    <t>34 033,25</t>
  </si>
  <si>
    <t>C:\BG\BridgeGroup\result\23.05.2023 17-43\ООО Тэмле +\УПД №8887 от 04.05.23 (1).pdf</t>
  </si>
  <si>
    <t>38 567,66</t>
  </si>
  <si>
    <t>C:\BG\BridgeGroup\result\23.05.2023 17-43\ООО Тэмле +\УПД №8890 от 04.05.23.pdf</t>
  </si>
  <si>
    <t>5 508,79</t>
  </si>
  <si>
    <t>C:\BG\BridgeGroup\result\23.05.2023 17-43\ООО КОМУС\УПД №28374188 от 04.05.23.pdf</t>
  </si>
  <si>
    <t>ООО "ЮТУБИ-КАЗАНЬ"</t>
  </si>
  <si>
    <t>2 056,18</t>
  </si>
  <si>
    <t>C:\BG\BridgeGroup\result\23.05.2023 17-43\ООО ЮТУБИ-КАЗАНЬ\УПД №ТКЗН0004491 от 05.05.23.pdf</t>
  </si>
  <si>
    <t>4 210,92</t>
  </si>
  <si>
    <t>C:\BG\BridgeGroup\result\23.05.2023 17-43\ООО ЮТУБИ-КАЗАНЬ\УПД №ТКЗН0004469 от 05.05.23.pdf</t>
  </si>
  <si>
    <t>1 254,40</t>
  </si>
  <si>
    <t>C:\BG\BridgeGroup\result\23.05.2023 17-43\ООО АкваТрэйдэр\УПД №5-230230 от 06.05.23.pdf</t>
  </si>
  <si>
    <t>740,00</t>
  </si>
  <si>
    <t>C:\BG\BridgeGroup\result\23.05.2023 17-43\ООО АкваТрэйдэр\УПД №5-230218 от 06.05.23.pdf</t>
  </si>
  <si>
    <t xml:space="preserve">ООО "Гудфьюл"
</t>
  </si>
  <si>
    <t>5 021,10</t>
  </si>
  <si>
    <t>C:\BG\BridgeGroup\result\23.05.2023 17-43\ООО РУСИЧИ\УПД №УТР0166218 от 29.04.23.pdf</t>
  </si>
  <si>
    <t>4 772,94</t>
  </si>
  <si>
    <t>C:\BG\BridgeGroup\result\23.05.2023 17-43\ООО РУСИЧИ\УПД №УТР0166201 от 29.04.23.pdf</t>
  </si>
  <si>
    <t>549,00</t>
  </si>
  <si>
    <t>C:\BG\BridgeGroup\result\23.05.2023 17-43\ООО КОМУС\УПД №28259036 от 28.04.23.pdf</t>
  </si>
  <si>
    <t>1 124,04</t>
  </si>
  <si>
    <t>C:\BG\BridgeGroup\result\23.05.2023 17-43\ООО КОМУС\УПД №28259065 от 28.04.23.pdf</t>
  </si>
  <si>
    <t>C:\BG\BridgeGroup\result\23.05.2023 17-43\ООО НИЛА СПРИНГС\УПД №2023_40_03_0032300_06 от 01.05.23.pdf</t>
  </si>
  <si>
    <t>C:\BG\BridgeGroup\result\23.05.2023 17-43\ООО НИЛА СПРИНГС\УПД №2023_40_03_0032255_06 от 01.05.23.pdf</t>
  </si>
  <si>
    <t>7 402,75</t>
  </si>
  <si>
    <t>C:\BG\BridgeGroup\result\23.05.2023 17-43\ООО Смартен\УПД №УТ-305-000058 от 03.05.23.pdf</t>
  </si>
  <si>
    <t>15 941,36</t>
  </si>
  <si>
    <t>C:\BG\BridgeGroup\result\23.05.2023 17-43\ООО Смартен\УПД №УТ-305-000057 от 03.05.23.pdf</t>
  </si>
  <si>
    <t>25 693,01</t>
  </si>
  <si>
    <t>C:\BG\BridgeGroup\result\23.05.2023 17-43\ООО Смартен\УПД №УТ-305-000056 от 03.05.23.pdf</t>
  </si>
  <si>
    <t>1 215,00</t>
  </si>
  <si>
    <t>C:\BG\BridgeGroup\result\23.05.2023 17-43\ООО Смартен\УПД №УТ-305-000055 от 03.05.23.pdf</t>
  </si>
  <si>
    <t>23 751,09</t>
  </si>
  <si>
    <t>C:\BG\BridgeGroup\result\23.05.2023 17-43\ООО Смартен\УПД №УТ-305-000054 от 03.05.23.pdf</t>
  </si>
  <si>
    <t>17 672,40</t>
  </si>
  <si>
    <t>C:\BG\BridgeGroup\result\23.05.2023 17-43\ООО Смартен\УПД №УТ-305-000046 от 03.05.23.pdf</t>
  </si>
  <si>
    <t>46 305,90</t>
  </si>
  <si>
    <t>C:\BG\BridgeGroup\result\23.05.2023 17-43\ООО Смартен\УПД №УТ-305-000044 от 03.05.23.pdf</t>
  </si>
  <si>
    <t>1 500,00</t>
  </si>
  <si>
    <t>C:\BG\BridgeGroup\result\23.05.2023 17-43\ООО Смартен\УПД №УТ-305-000041 от 03.05.23.pdf</t>
  </si>
  <si>
    <t>4 762,40</t>
  </si>
  <si>
    <t>C:\BG\BridgeGroup\result\23.05.2023 17-43\ООО Смартен\УПД №УТ-305-000040 от 03.05.23.pdf</t>
  </si>
  <si>
    <t>ООО "СК"</t>
  </si>
  <si>
    <t>144 000,00</t>
  </si>
  <si>
    <t>C:\BG\BridgeGroup\result\23.05.2023 17-43\ООО СК\Акт №49 от 30.04.23.pdf</t>
  </si>
  <si>
    <t>2 247,71</t>
  </si>
  <si>
    <t>C:\BG\BridgeGroup\result\23.05.2023 17-43\АО «ТК «МЕГАПОЛИС»\УПД №150373_780E от 03.05.23.pdf</t>
  </si>
  <si>
    <t>65 185,68</t>
  </si>
  <si>
    <t>C:\BG\BridgeGroup\result\23.05.2023 17-43\АО «ТК «МЕГАПОЛИС»\УПД №150374_780E от 03.05.23.pdf</t>
  </si>
  <si>
    <t>3 134,40</t>
  </si>
  <si>
    <t>C:\BG\BridgeGroup\result\23.05.2023 17-43\АО «ТК «МЕГАПОЛИС»\УПД №150375_780E от 03.05.23.pdf</t>
  </si>
  <si>
    <t>465 460,68</t>
  </si>
  <si>
    <t>C:\BG\BridgeGroup\result\23.05.2023 17-43\АО «ТК «МЕГАПОЛИС»\УПД №150376_780E от 03.05.23.pdf</t>
  </si>
  <si>
    <t>966,96</t>
  </si>
  <si>
    <t>C:\BG\BridgeGroup\result\23.05.2023 17-43\АО «ТК «МЕГАПОЛИС»\УПД №150377_780E от 03.05.23.pdf</t>
  </si>
  <si>
    <t>28 738,51</t>
  </si>
  <si>
    <t>C:\BG\BridgeGroup\result\23.05.2023 17-43\АО «ТК «МЕГАПОЛИС»\УПД №150378_780E от 03.05.23.pdf</t>
  </si>
  <si>
    <t>82 037,88</t>
  </si>
  <si>
    <t>C:\BG\BridgeGroup\result\23.05.2023 17-43\АО «ТК «МЕГАПОЛИС»\УПД №150380_780E от 03.05.23.pdf</t>
  </si>
  <si>
    <t>34 636,04</t>
  </si>
  <si>
    <t>C:\BG\BridgeGroup\result\23.05.2023 17-43\АО «ТК «МЕГАПОЛИС»\УПД №150381_780E от 03.05.23.pdf</t>
  </si>
  <si>
    <t>332 855,76</t>
  </si>
  <si>
    <t>C:\BG\BridgeGroup\result\23.05.2023 17-43\АО «ТК «МЕГАПОЛИС»\УПД №150379_780E от 03.05.23.pdf</t>
  </si>
  <si>
    <t>7 437,47</t>
  </si>
  <si>
    <t>C:\BG\BridgeGroup\result\23.05.2023 17-43\ООО ЭНЕРГИЯ\УПД №UT-106675 от 03.05.23.pdf</t>
  </si>
  <si>
    <t>57 813,58</t>
  </si>
  <si>
    <t>C:\BG\BridgeGroup\result\23.05.2023 17-43\ООО ЭНЕРГИЯ\УПД №UT-106706 от 03.05.23.pdf</t>
  </si>
  <si>
    <t>23 277,94</t>
  </si>
  <si>
    <t>C:\BG\BridgeGroup\result\23.05.2023 17-43\ООО ЭНЕРГИЯ\УПД №UT-106676 от 03.05.23.pdf</t>
  </si>
  <si>
    <t>17 092,41</t>
  </si>
  <si>
    <t>C:\BG\BridgeGroup\result\23.05.2023 17-43\ООО ЭНЕРГИЯ\УПД №UT-106967 от 03.05.23.pdf</t>
  </si>
  <si>
    <t>2 843,24</t>
  </si>
  <si>
    <t>C:\BG\BridgeGroup\result\23.05.2023 17-43\ООО ЭНЕРГИЯ\УПД №UT-107094 от 03.05.23.pdf</t>
  </si>
  <si>
    <t>14 368,60</t>
  </si>
  <si>
    <t>C:\BG\BridgeGroup\result\23.05.2023 17-43\ООО ЭНЕРГИЯ\УПД №UT-107095 от 03.05.23.pdf</t>
  </si>
  <si>
    <t>34 090,93</t>
  </si>
  <si>
    <t>C:\BG\BridgeGroup\result\23.05.2023 17-43\ООО ЭНЕРГИЯ\УПД №UT-107096 от 03.05.23.pdf</t>
  </si>
  <si>
    <t>9 296,31</t>
  </si>
  <si>
    <t>C:\BG\BridgeGroup\result\23.05.2023 17-43\ООО ЭНЕРГИЯ\УПД №UT-107112 от 03.05.23.pdf</t>
  </si>
  <si>
    <t>91 957,72</t>
  </si>
  <si>
    <t>C:\BG\BridgeGroup\result\23.05.2023 17-43\ООО ВКУС ОН ТРЕЙД\УПД №SR110023065 от 03.05.23.pdf</t>
  </si>
  <si>
    <t>345 492,00</t>
  </si>
  <si>
    <t>C:\BG\BridgeGroup\result\23.05.2023 17-43\ООО БРИДЖ ГРУПП\УПД №851 от 30.04.23.pdf</t>
  </si>
  <si>
    <t>83 623,16</t>
  </si>
  <si>
    <t>C:\BG\BridgeGroup\result\23.05.2023 17-43\ООО СНС-Холдинг\УПД №7810_8174426673 от 03.05.23.pdf</t>
  </si>
  <si>
    <t>19 668,00</t>
  </si>
  <si>
    <t>C:\BG\BridgeGroup\result\23.05.2023 17-43\ООО БРИДЖ ГРУПП\УПД №888 от 30.04.23.pdf</t>
  </si>
  <si>
    <t>26 340,00</t>
  </si>
  <si>
    <t>C:\BG\BridgeGroup\result\23.05.2023 17-43\ООО БРИДЖ ГРУПП\УПД №915 от 30.04.23.pdf</t>
  </si>
  <si>
    <t>39 876,00</t>
  </si>
  <si>
    <t>C:\BG\BridgeGroup\result\23.05.2023 17-43\ООО БРИДЖ ГРУПП\УПД №958 от 30.04.23.pdf</t>
  </si>
  <si>
    <t>63 183,36</t>
  </si>
  <si>
    <t>C:\BG\BridgeGroup\result\23.05.2023 17-43\ООО СНС-Холдинг\УПД №7810_8174420267 от 03.05.23.pdf</t>
  </si>
  <si>
    <t>C:\BG\BridgeGroup\result\23.05.2023 17-43\ООО НИЛА СПРИНГС\УПД №2023_40_03_0034151_06 от 02.05.23.pdf</t>
  </si>
  <si>
    <t>4 028,00</t>
  </si>
  <si>
    <t>C:\BG\BridgeGroup\result\23.05.2023 17-43\ООО ТД ЛФБ\УПД №27870 от 02.05.23.pdf</t>
  </si>
  <si>
    <t>13 812,92</t>
  </si>
  <si>
    <t>C:\BG\BridgeGroup\result\23.05.2023 17-43\ООО ТД ЛФБ\УПД №27847 от 02.05.23.pdf</t>
  </si>
  <si>
    <t>5 372,68</t>
  </si>
  <si>
    <t>C:\BG\BridgeGroup\result\23.05.2023 17-43\ООО ТД ЛФБ\УПД №27841 от 02.05.23.pdf</t>
  </si>
  <si>
    <t>5 551,04</t>
  </si>
  <si>
    <t>C:\BG\BridgeGroup\result\23.05.2023 17-43\ООО ТД ЛФБ\УПД №27715 от 02.05.23.pdf</t>
  </si>
  <si>
    <t>4 833,35</t>
  </si>
  <si>
    <t>C:\BG\BridgeGroup\result\23.05.2023 17-43\ООО ТД ЛФБ\УПД №27750 от 02.05.23.pdf</t>
  </si>
  <si>
    <t>20 792,86</t>
  </si>
  <si>
    <t>C:\BG\BridgeGroup\result\23.05.2023 17-43\ООО ТД ЛФБ\УПД №27710 от 02.05.23.pdf</t>
  </si>
  <si>
    <t>4 097,00</t>
  </si>
  <si>
    <t>C:\BG\BridgeGroup\result\23.05.2023 17-43\ООО ТД ЛФБ\УПД №27707 от 02.05.23.pdf</t>
  </si>
  <si>
    <t>7 864,66</t>
  </si>
  <si>
    <t>C:\BG\BridgeGroup\result\23.05.2023 17-43\ООО ТД ЛФБ\УПД №27699 от 02.05.23.pdf</t>
  </si>
  <si>
    <t>11 022,90</t>
  </si>
  <si>
    <t>C:\BG\BridgeGroup\result\23.05.2023 17-43\ООО ТД ЛФБ\УПД №27688 от 02.05.23.pdf</t>
  </si>
  <si>
    <t>C:\BG\BridgeGroup\result\23.05.2023 17-43\ООО Смартен\УПД №УТ-2804-000100 от 28.04.23.pdf</t>
  </si>
  <si>
    <t>C:\BG\BridgeGroup\result\23.05.2023 17-43\ООО Смартен\УПД №УТ-2804-000095 от 28.04.23.pdf</t>
  </si>
  <si>
    <t>18 270,29</t>
  </si>
  <si>
    <t>C:\BG\BridgeGroup\result\23.05.2023 17-43\ООО Смартен\УПД №УТ-2804-000094 от 28.04.23.pdf</t>
  </si>
  <si>
    <t>15 997,40</t>
  </si>
  <si>
    <t>C:\BG\BridgeGroup\result\23.05.2023 17-43\ООО Смартен\УПД №УТ-2804-000093 от 28.04.23.pdf</t>
  </si>
  <si>
    <t>7 161,70</t>
  </si>
  <si>
    <t>C:\BG\BridgeGroup\result\23.05.2023 17-43\ООО Смартен\УПД №УТ-2804-000092 от 28.04.23.pdf</t>
  </si>
  <si>
    <t>67 643,64</t>
  </si>
  <si>
    <t>C:\BG\BridgeGroup\result\23.05.2023 17-43\ООО Смартен\УПД №УТ-2804-000091 от 28.04.23.pdf</t>
  </si>
  <si>
    <t>C:\BG\BridgeGroup\result\23.05.2023 17-43\ООО РИТЕЙЛ ПЕРСОНАЛ\УПД №112 от 30.04.23.pdf</t>
  </si>
  <si>
    <t>Внимание. Возможно документ из закрытого периода.</t>
  </si>
  <si>
    <t>14.04.2023</t>
  </si>
  <si>
    <t>11 770,27</t>
  </si>
  <si>
    <t>C:\BG\BridgeGroup\result\23.05.2023 17-43\ООО Смартен\УПД №УТ-1404-000069 от 14.04.23.pdf</t>
  </si>
  <si>
    <t>14 889,01</t>
  </si>
  <si>
    <t>C:\BG\BridgeGroup\result\23.05.2023 17-43\ООО Смартен\УПД №УТ-1404-000059 от 14.04.23.pdf</t>
  </si>
  <si>
    <t>244 464,00</t>
  </si>
  <si>
    <t>C:\BG\BridgeGroup\result\23.05.2023 17-43\ООО ПС СОЛЮШН\УПД №153 от 30.04.23.pdf</t>
  </si>
  <si>
    <t>18 067,44</t>
  </si>
  <si>
    <t>C:\BG\BridgeGroup\result\23.05.2023 17-43\ООО ТД ЛФБ\УПД №28544 от 04.05.23.pdf</t>
  </si>
  <si>
    <t>54 082,80</t>
  </si>
  <si>
    <t>C:\BG\BridgeGroup\result\23.05.2023 17-43\АО «ТК «МЕГАПОЛИС»\УПД №152611_780E от 04.05.23.pdf</t>
  </si>
  <si>
    <t>5 185,20</t>
  </si>
  <si>
    <t>C:\BG\BridgeGroup\result\23.05.2023 17-43\АО «ТК «МЕГАПОЛИС»\УПД №152610_780E от 04.05.23.pdf</t>
  </si>
  <si>
    <t>1 564,42</t>
  </si>
  <si>
    <t>C:\BG\BridgeGroup\result\23.05.2023 17-43\АО «ТК «МЕГАПОЛИС»\УПД №152612_780E от 04.05.23.pdf</t>
  </si>
  <si>
    <t>47 222,52</t>
  </si>
  <si>
    <t>C:\BG\BridgeGroup\result\23.05.2023 17-43\АО «ТК «МЕГАПОЛИС»\УПД №152614_780E от 04.05.23.pdf</t>
  </si>
  <si>
    <t>165 796,56</t>
  </si>
  <si>
    <t>C:\BG\BridgeGroup\result\23.05.2023 17-43\АО «ТК «МЕГАПОЛИС»\УПД №152613_780E от 04.05.23.pdf</t>
  </si>
  <si>
    <t>4 016,31</t>
  </si>
  <si>
    <t>C:\BG\BridgeGroup\result\23.05.2023 17-43\АО «ТК «МЕГАПОЛИС»\УПД №152615_780E от 04.05.23.pdf</t>
  </si>
  <si>
    <t>11 705,92</t>
  </si>
  <si>
    <t>C:\BG\BridgeGroup\result\23.05.2023 17-43\АО «ТК «МЕГАПОЛИС»\УПД №152616_780E от 04.05.23.pdf</t>
  </si>
  <si>
    <t>30 051,24</t>
  </si>
  <si>
    <t>C:\BG\BridgeGroup\result\23.05.2023 17-43\АО «ТК «МЕГАПОЛИС»\УПД №152639_780E от 04.05.23.pdf</t>
  </si>
  <si>
    <t>129 737,32</t>
  </si>
  <si>
    <t>C:\BG\BridgeGroup\result\23.05.2023 17-43\ООО ЭНЕРГИЯ\УПД №UT-108254 от 04.05.23.pdf</t>
  </si>
  <si>
    <t>1 052,63</t>
  </si>
  <si>
    <t>C:\BG\BridgeGroup\result\23.05.2023 17-43\ООО ЭНЕРГИЯ\УПД №UT-108253 от 04.05.23.pdf</t>
  </si>
  <si>
    <t>8 353,54</t>
  </si>
  <si>
    <t>C:\BG\BridgeGroup\result\23.05.2023 17-43\ООО ЭНЕРГИЯ\УПД №UT-108084 от 04.05.23.pdf</t>
  </si>
  <si>
    <t>5 748,04</t>
  </si>
  <si>
    <t>C:\BG\BridgeGroup\result\23.05.2023 17-43\ООО ЭНЕРГИЯ\УПД №UT-108447 от 04.05.23.pdf</t>
  </si>
  <si>
    <t>4 732,81</t>
  </si>
  <si>
    <t>C:\BG\BridgeGroup\result\23.05.2023 17-43\ООО ПепсиКо Холдингс\УПД №30_00157830-23 от 04.05.23.pdf</t>
  </si>
  <si>
    <t>C:\BG\BridgeGroup\result\23.05.2023 17-43\ООО ВКУС ОН ТРЕЙД\УПД №SR110023406 от 04.05.23.pdf</t>
  </si>
  <si>
    <t>C:\BG\BridgeGroup\result\23.05.2023 17-43\ООО НИЛА СПРИНГС\УПД №2023_40_03_0034793_06 от 03.05.23.pdf</t>
  </si>
  <si>
    <t>12 091,32</t>
  </si>
  <si>
    <t>C:\BG\BridgeGroup\result\23.05.2023 17-43\ООО НИЛА СПРИНГС\УПД №2023_40_03_0035006_06 от 03.05.23.pdf</t>
  </si>
  <si>
    <t>5 642,62</t>
  </si>
  <si>
    <t>C:\BG\BridgeGroup\result\23.05.2023 17-43\ООО НИЛА СПРИНГС\УПД №2023_40_03_0035001_06 от 03.05.23.pdf</t>
  </si>
  <si>
    <t>367,12</t>
  </si>
  <si>
    <t>C:\BG\BridgeGroup\result\23.05.2023 17-43\ООО АЛЕФ ТРЕЙД МСК\УПД №1097 от 28.04.23.pdf</t>
  </si>
  <si>
    <t>5 600,00</t>
  </si>
  <si>
    <t>C:\BG\BridgeGroup\result\23.05.2023 17-43\ООО АЛЕФ ТРЕЙД МСК\УПД №1113 от 29.04.23.pdf</t>
  </si>
  <si>
    <t>36 966,34</t>
  </si>
  <si>
    <t>C:\BG\BridgeGroup\result\23.05.2023 17-43\ООО ЭНЕРГИЯ\УПД №UT-109532 от 05.05.23.pdf</t>
  </si>
  <si>
    <t>7 125,31</t>
  </si>
  <si>
    <t>C:\BG\BridgeGroup\result\23.05.2023 17-43\ООО ЭНЕРГИЯ\УПД №UT-109531 от 05.05.23.pdf</t>
  </si>
  <si>
    <t>20 562,88</t>
  </si>
  <si>
    <t>C:\BG\BridgeGroup\result\23.05.2023 17-43\ООО ЭНЕРГИЯ\УПД №UT-109746 от 05.05.23.pdf</t>
  </si>
  <si>
    <t>40 619,15</t>
  </si>
  <si>
    <t>C:\BG\BridgeGroup\result\23.05.2023 17-43\ООО ЭНЕРГИЯ\УПД №UT-109451 от 05.05.23.pdf</t>
  </si>
  <si>
    <t>16 259,92</t>
  </si>
  <si>
    <t>C:\BG\BridgeGroup\result\23.05.2023 17-43\ООО ЭНЕРГИЯ\УПД №UT-109797 от 05.05.23.pdf</t>
  </si>
  <si>
    <t>116 495,98</t>
  </si>
  <si>
    <t>C:\BG\BridgeGroup\result\23.05.2023 17-43\ООО ЭНЕРГИЯ\УПД №UT-109885 от 05.05.23.pdf</t>
  </si>
  <si>
    <t>60 991,20</t>
  </si>
  <si>
    <t>C:\BG\BridgeGroup\result\23.05.2023 17-43\ООО СНС-Холдинг\УПД №7810_8174513751 от 05.05.23.pdf</t>
  </si>
  <si>
    <t>7 341,90</t>
  </si>
  <si>
    <t>C:\BG\BridgeGroup\result\23.05.2023 17-43\ООО РУСИЧИ\УПД №УТР0167491 от 05.05.23.pdf</t>
  </si>
  <si>
    <t>C:\BG\BridgeGroup\result\23.05.2023 17-43\ООО НИЛА СПРИНГС\УПД №2023_40_03_0035185_06 от 04.05.23.pdf</t>
  </si>
  <si>
    <t>3 224,35</t>
  </si>
  <si>
    <t>C:\BG\BridgeGroup\result\23.05.2023 17-43\ООО НИЛА СПРИНГС\УПД №2023_40_03_0035103_06 от 04.05.23.pdf</t>
  </si>
  <si>
    <t>108 700,04</t>
  </si>
  <si>
    <t>C:\BG\BridgeGroup\result\23.05.2023 17-43\ООО СНС-Холдинг\УПД №7810_8174517834 от 05.05.23.pdf</t>
  </si>
  <si>
    <t>84 531,70</t>
  </si>
  <si>
    <t>C:\BG\BridgeGroup\result\23.05.2023 17-43\ООО СНС-Холдинг\УПД №7810_8174517861 от 05.05.23.pdf</t>
  </si>
  <si>
    <t>3 520,00</t>
  </si>
  <si>
    <t>C:\BG\BridgeGroup\result\23.05.2023 17-43\ООО Смартен\УПД №УТ-505-000095 от 05.05.23.pdf</t>
  </si>
  <si>
    <t>17 683,19</t>
  </si>
  <si>
    <t>C:\BG\BridgeGroup\result\23.05.2023 17-43\ООО Смартен\УПД №УТ-505-000063 от 05.05.23.pdf</t>
  </si>
  <si>
    <t>14 701,66</t>
  </si>
  <si>
    <t>C:\BG\BridgeGroup\result\23.05.2023 17-43\ООО Смартен\УПД №УТ-505-000041 от 05.05.23.pdf</t>
  </si>
  <si>
    <t>8 684,90</t>
  </si>
  <si>
    <t>C:\BG\BridgeGroup\result\23.05.2023 17-43\ООО Смартен\УПД №УТ-505-000039 от 05.05.23.pdf</t>
  </si>
  <si>
    <t>24 408,41</t>
  </si>
  <si>
    <t>C:\BG\BridgeGroup\result\23.05.2023 17-43\ООО Смартен\УПД №УТ-505-000036 от 05.05.23.pdf</t>
  </si>
  <si>
    <t>44 787,04</t>
  </si>
  <si>
    <t>C:\BG\BridgeGroup\result\23.05.2023 17-43\ООО Смартен\УПД №УТ-505-000035 от 05.05.23.pdf</t>
  </si>
  <si>
    <t>21 452,70</t>
  </si>
  <si>
    <t>C:\BG\BridgeGroup\result\23.05.2023 17-43\ООО Смартен\УПД №УТ-505-000034 от 05.05.23.pdf</t>
  </si>
  <si>
    <t>5 271,78</t>
  </si>
  <si>
    <t>C:\BG\BridgeGroup\result\23.05.2023 17-43\ООО КОМУС\УПД №28372016 от 04.05.23.pdf</t>
  </si>
  <si>
    <t>3 510,00</t>
  </si>
  <si>
    <t>C:\BG\BridgeGroup\result\23.05.2023 17-43\ООО КОМУС\УПД №28372026 от 04.05.23.pdf</t>
  </si>
  <si>
    <t>8 548,50</t>
  </si>
  <si>
    <t>C:\BG\BridgeGroup\result\23.05.2023 17-43\ООО КОМУС\УПД №28373586 от 04.05.23.pdf</t>
  </si>
  <si>
    <t>C:\BG\BridgeGroup\result\23.05.2023 17-43\ООО Смартен\УПД №УТ-605-000115 от 06.05.23.pdf</t>
  </si>
  <si>
    <t>65 229,88</t>
  </si>
  <si>
    <t>C:\BG\BridgeGroup\result\23.05.2023 17-43\ООО Смартен\УПД №УТ-605-000114 от 06.05.23.pdf</t>
  </si>
  <si>
    <t>88 936,66</t>
  </si>
  <si>
    <t>C:\BG\BridgeGroup\result\23.05.2023 17-43\ООО ВКУС ОН ТРЕЙД\УПД №SR110023901 от 06.05.23.pdf</t>
  </si>
  <si>
    <t>1 146,13</t>
  </si>
  <si>
    <t>C:\BG\BridgeGroup\result\23.05.2023 17-43\ООО ПепсиКо Холдингс\УПД №30_00161107-23 от 06.05.23.pdf</t>
  </si>
  <si>
    <t>3 228,86</t>
  </si>
  <si>
    <t>C:\BG\BridgeGroup\result\23.05.2023 17-43\ООО ПепсиКо Холдингс\УПД №30_00161925-23 от 06.05.23.pdf</t>
  </si>
  <si>
    <t>C:\BG\BridgeGroup\result\23.05.2023 17-43\ООО ВКУС ОН ТРЕЙД\УПД №SR110024002 от 06.05.23.pdf</t>
  </si>
  <si>
    <t xml:space="preserve">ООО "Игма"
</t>
  </si>
  <si>
    <t>38 386,11</t>
  </si>
  <si>
    <t>C:\BG\BridgeGroup\result\23.05.2023 17-43\ООО ЭНЕРГИЯ\УПД №UT-105364 от 01.05.23.pdf</t>
  </si>
  <si>
    <t>17 399,81</t>
  </si>
  <si>
    <t>C:\BG\BridgeGroup\result\23.05.2023 17-43\ООО ЭНЕРГИЯ\УПД №UT-105327 от 01.05.23.pdf</t>
  </si>
  <si>
    <t>10 471,78</t>
  </si>
  <si>
    <t>C:\BG\BridgeGroup\result\23.05.2023 17-43\ООО ЭНЕРГИЯ\УПД №UT-105332 от 01.05.23.pdf</t>
  </si>
  <si>
    <t>C:\BG\BridgeGroup\result\23.05.2023 17-43\ООО ЭНЕРГИЯ\УПД №UT-105362 от 01.05.23.pdf</t>
  </si>
  <si>
    <t>3 817,02</t>
  </si>
  <si>
    <t>C:\BG\BridgeGroup\result\23.05.2023 17-43\ООО КОМУС\УПД №28259063 от 28.04.23.pdf</t>
  </si>
  <si>
    <t>680,04</t>
  </si>
  <si>
    <t>C:\BG\BridgeGroup\result\23.05.2023 17-43\ООО КОМУС\УПД №28259037 от 28.04.23.pdf</t>
  </si>
  <si>
    <t>1 947,06</t>
  </si>
  <si>
    <t>C:\BG\BridgeGroup\result\23.05.2023 17-43\ООО КОМУС\УПД №28259048 от 28.04.23.pdf</t>
  </si>
  <si>
    <t>699,00</t>
  </si>
  <si>
    <t>C:\BG\BridgeGroup\result\23.05.2023 17-43\ООО КОМУС\УПД №28263493 от 28.04.23.pdf</t>
  </si>
  <si>
    <t>4 471,58</t>
  </si>
  <si>
    <t>C:\BG\BridgeGroup\result\23.05.2023 17-43\ООО КОМУС\УПД №28271910 от 28.04.23.pdf</t>
  </si>
  <si>
    <t>3 239,60</t>
  </si>
  <si>
    <t>C:\BG\BridgeGroup\result\23.05.2023 17-43\ООО КОМУС\УПД №28273762 от 28.04.23.pdf</t>
  </si>
  <si>
    <t>3 828,92</t>
  </si>
  <si>
    <t>C:\BG\BridgeGroup\result\23.05.2023 17-43\ООО КОМУС\УПД №28276571 от 28.04.23.pdf</t>
  </si>
  <si>
    <t>Морозкин Кирилл Владимирович</t>
  </si>
  <si>
    <t>138 670,00</t>
  </si>
  <si>
    <t>C:\BG\BridgeGroup\result\23.05.2023 17-43\Морозкин Кирилл Владимирович\Акт №16 от 02.05.23.pdf</t>
  </si>
  <si>
    <t>20 152,20</t>
  </si>
  <si>
    <t>C:\BG\BridgeGroup\result\23.05.2023 17-43\ООО НИЛА СПРИНГС\УПД №2023_40_03_0032268_06 от 01.05.23.pdf</t>
  </si>
  <si>
    <t>C:\BG\BridgeGroup\result\23.05.2023 17-43\ООО НИЛА СПРИНГС\УПД №2023_40_03_0032267_06 от 01.05.23.pdf</t>
  </si>
  <si>
    <t>105 505,57</t>
  </si>
  <si>
    <t>C:\BG\BridgeGroup\result\23.05.2023 17-43\ООО Смартен\УПД №УТ-2804-000076 от 28.04.23.pdf</t>
  </si>
  <si>
    <t>C:\BG\BridgeGroup\result\23.05.2023 17-43\ООО Смартен\УПД №ОТ-3004-000011 от 30.04.23.pdf</t>
  </si>
  <si>
    <t>5 900,00</t>
  </si>
  <si>
    <t>C:\BG\BridgeGroup\result\23.05.2023 17-43\ООО Смартен\УПД №ОТ-3004-000001 от 30.04.23.pdf</t>
  </si>
  <si>
    <t>97 722,73</t>
  </si>
  <si>
    <t>C:\BG\BridgeGroup\result\23.05.2023 17-43\ООО Смартен\УПД №УТ-305-000051 от 03.05.23.pdf</t>
  </si>
  <si>
    <t>C:\BG\BridgeGroup\result\23.05.2023 17-43\ООО Смартен\УПД №УТ-305-000049 от 03.05.23.pdf</t>
  </si>
  <si>
    <t>20 303,11</t>
  </si>
  <si>
    <t>C:\BG\BridgeGroup\result\23.05.2023 17-43\ООО Смартен\УПД №УТ-305-000048 от 03.05.23.pdf</t>
  </si>
  <si>
    <t>129 600,00</t>
  </si>
  <si>
    <t>C:\BG\BridgeGroup\result\23.05.2023 17-43\ООО СК\Акт №50 от 30.04.23.pdf</t>
  </si>
  <si>
    <t>Счет-фактура</t>
  </si>
  <si>
    <t/>
  </si>
  <si>
    <t>C:\BG\BridgeGroup\result\23.05.2023 17-43\ООО СК\Счет-фактура №50 от 30 апреля 2023 г.pdf</t>
  </si>
  <si>
    <t>75 741,48</t>
  </si>
  <si>
    <t>C:\BG\BridgeGroup\result\23.05.2023 17-43\АО «ТК «МЕГАПОЛИС»\УПД №150341_780E от 03.05.23.pdf</t>
  </si>
  <si>
    <t>21 761,73</t>
  </si>
  <si>
    <t>C:\BG\BridgeGroup\result\23.05.2023 17-43\АО «ТК «МЕГАПОЛИС»\УПД №150342_780E от 03.05.23.pdf</t>
  </si>
  <si>
    <t>6 892,28</t>
  </si>
  <si>
    <t>C:\BG\BridgeGroup\result\23.05.2023 17-43\АО «ТК «МЕГАПОЛИС»\УПД №150343_780E от 03.05.23.pdf</t>
  </si>
  <si>
    <t>1 245,16</t>
  </si>
  <si>
    <t>C:\BG\BridgeGroup\result\23.05.2023 17-43\АО «ТК «МЕГАПОЛИС»\УПД №150344_780E от 03.05.23.pdf</t>
  </si>
  <si>
    <t>1 864,37</t>
  </si>
  <si>
    <t>C:\BG\BridgeGroup\result\23.05.2023 17-43\АО «ТК «МЕГАПОЛИС»\УПД №150345_780E от 03.05.23.pdf</t>
  </si>
  <si>
    <t>191 244,12</t>
  </si>
  <si>
    <t>C:\BG\BridgeGroup\result\23.05.2023 17-43\АО «ТК «МЕГАПОЛИС»\УПД №150346_780E от 03.05.23.pdf</t>
  </si>
  <si>
    <t>150 240,48</t>
  </si>
  <si>
    <t>C:\BG\BridgeGroup\result\23.05.2023 17-43\АО «ТК «МЕГАПОЛИС»\УПД №150347_780E от 03.05.23.pdf</t>
  </si>
  <si>
    <t>1 117,44</t>
  </si>
  <si>
    <t>C:\BG\BridgeGroup\result\23.05.2023 17-43\АО «ТК «МЕГАПОЛИС»\УПД №150348_780E от 03.05.23.pdf</t>
  </si>
  <si>
    <t>37 593,00</t>
  </si>
  <si>
    <t>C:\BG\BridgeGroup\result\23.05.2023 17-43\АО «ТК «МЕГАПОЛИС»\УПД №150349_780E от 03.05.23.pdf</t>
  </si>
  <si>
    <t>73 333,92</t>
  </si>
  <si>
    <t>C:\BG\BridgeGroup\result\23.05.2023 17-43\АО «ТК «МЕГАПОЛИС»\УПД №150350_780E от 03.05.23.pdf</t>
  </si>
  <si>
    <t>52 669,20</t>
  </si>
  <si>
    <t>C:\BG\BridgeGroup\result\23.05.2023 17-43\АО «ТК «МЕГАПОЛИС»\УПД №150351_780E от 03.05.23.pdf</t>
  </si>
  <si>
    <t>17 260,21</t>
  </si>
  <si>
    <t>C:\BG\BridgeGroup\result\23.05.2023 17-43\ООО ЭНЕРГИЯ\УПД №UT-106968 от 03.05.23.pdf</t>
  </si>
  <si>
    <t>110 328,76</t>
  </si>
  <si>
    <t>C:\BG\BridgeGroup\result\23.05.2023 17-43\ООО ЭНЕРГИЯ\УПД №UT-107022 от 03.05.23.pdf</t>
  </si>
  <si>
    <t>7 613,58</t>
  </si>
  <si>
    <t>C:\BG\BridgeGroup\result\23.05.2023 17-43\ООО ЭНЕРГИЯ\УПД №UT-106629 от 03.05.23.pdf</t>
  </si>
  <si>
    <t>114 725,84</t>
  </si>
  <si>
    <t>C:\BG\BridgeGroup\result\23.05.2023 17-43\ООО ЭНЕРГИЯ\УПД №UT-106707 от 03.05.23.pdf</t>
  </si>
  <si>
    <t>21 083,38</t>
  </si>
  <si>
    <t>C:\BG\BridgeGroup\result\23.05.2023 17-43\ООО ВКУС ОН ТРЕЙД\УПД №SR110023025 от 03.05.23.pdf</t>
  </si>
  <si>
    <t>41 017,96</t>
  </si>
  <si>
    <t>C:\BG\BridgeGroup\result\23.05.2023 17-43\ООО ВКУС ОН ТРЕЙД\УПД №SR110022985 от 03.05.23.pdf</t>
  </si>
  <si>
    <t>120 002,80</t>
  </si>
  <si>
    <t>C:\BG\BridgeGroup\result\23.05.2023 17-43\ООО СНС-Холдинг\УПД №7810_8174420533 от 03.05.23.pdf</t>
  </si>
  <si>
    <t>23 740,40</t>
  </si>
  <si>
    <t>C:\BG\BridgeGroup\result\23.05.2023 17-43\ООО СНС-Холдинг\УПД №7810_8174420075 от 03.05.23.pdf</t>
  </si>
  <si>
    <t>C:\BG\BridgeGroup\result\23.05.2023 17-43\ООО БРИДЖ ГРУПП\УПД №852 от 30.04.23.pdf</t>
  </si>
  <si>
    <t>C:\BG\BridgeGroup\result\23.05.2023 17-43\ООО БРИДЖ ГРУПП\УПД №889 от 30.04.23.pdf</t>
  </si>
  <si>
    <t>C:\BG\BridgeGroup\result\23.05.2023 17-43\ООО БРИДЖ ГРУПП\УПД №916 от 30.04.23.pdf</t>
  </si>
  <si>
    <t>C:\BG\BridgeGroup\result\23.05.2023 17-43\ООО БРИДЖ ГРУПП\УПД №959 от 30.04.23.pdf</t>
  </si>
  <si>
    <t>ООО "Маркон"</t>
  </si>
  <si>
    <t>7 434,00</t>
  </si>
  <si>
    <t>C:\BG\BridgeGroup\result\23.05.2023 17-43\ООО Маркон\УПД №2282 от 02.05.23.pdf</t>
  </si>
  <si>
    <t>23 766,62</t>
  </si>
  <si>
    <t>C:\BG\BridgeGroup\result\23.05.2023 17-43\ООО ВКУС ОН ТРЕЙД\УПД №SR110023081 от 03.05.23.pdf</t>
  </si>
  <si>
    <t>2 685,60</t>
  </si>
  <si>
    <t>C:\BG\BridgeGroup\result\23.05.2023 17-43\ООО Маркон\УПД №2274 от 02.05.23.pdf</t>
  </si>
  <si>
    <t>25 720,58</t>
  </si>
  <si>
    <t>C:\BG\BridgeGroup\result\23.05.2023 17-43\ООО СНС-Холдинг\УПД №7810_8174420202 от 03.05.23.pdf</t>
  </si>
  <si>
    <t>C:\BG\BridgeGroup\result\23.05.2023 17-43\ООО НИЛА СПРИНГС\УПД №2023_40_03_0034262_06 от 02.05.23.pdf</t>
  </si>
  <si>
    <t>24 182,64</t>
  </si>
  <si>
    <t>C:\BG\BridgeGroup\result\23.05.2023 17-43\ООО НИЛА СПРИНГС\УПД №2023_40_03_0034414_06 от 02.05.23.pdf</t>
  </si>
  <si>
    <t>27.04.2023</t>
  </si>
  <si>
    <t>9 290,88</t>
  </si>
  <si>
    <t>C:\BG\BridgeGroup\result\23.05.2023 17-43\ООО РУСИЧИ\УПД №УТР0165420 от 27.04.23.pdf</t>
  </si>
  <si>
    <t>5 946,04</t>
  </si>
  <si>
    <t>C:\BG\BridgeGroup\result\23.05.2023 17-43\ООО ТД ЛФБ\УПД №27868 от 02.05.23.pdf</t>
  </si>
  <si>
    <t>3 816,92</t>
  </si>
  <si>
    <t>C:\BG\BridgeGroup\result\23.05.2023 17-43\ООО ТД ЛФБ\УПД №27697 от 02.05.23.pdf</t>
  </si>
  <si>
    <t>5 505,48</t>
  </si>
  <si>
    <t>C:\BG\BridgeGroup\result\23.05.2023 17-43\ООО ТД ЛФБ\УПД №27696 от 02.05.23.pdf</t>
  </si>
  <si>
    <t>C:\BG\BridgeGroup\result\23.05.2023 17-43\ООО ТД ЛФБ\УПД №26824 от 02.05.23.pdf</t>
  </si>
  <si>
    <t>ООО "ХОЗПЕТРОВОЗ"</t>
  </si>
  <si>
    <t>6 705,50</t>
  </si>
  <si>
    <t>C:\BG\BridgeGroup\result\23.05.2023 17-43\ООО ХОЗПЕТРОВОЗ\УПД №06085 от 03.05.23.pdf</t>
  </si>
  <si>
    <t>96 503,25</t>
  </si>
  <si>
    <t>C:\BG\BridgeGroup\result\23.05.2023 17-43\ООО Смартен\УПД №УТ-2804-000103 от 28.04.23.pdf</t>
  </si>
  <si>
    <t>3 257,60</t>
  </si>
  <si>
    <t>C:\BG\BridgeGroup\result\23.05.2023 17-43\ООО Смартен\УПД №УТ-2804-000097 от 28.04.23.pdf</t>
  </si>
  <si>
    <t>33 169,65</t>
  </si>
  <si>
    <t>C:\BG\BridgeGroup\result\23.05.2023 17-43\ООО Смартен\УПД №УТ-2804-000090 от 28.04.23.pdf</t>
  </si>
  <si>
    <t>C:\BG\BridgeGroup\result\23.05.2023 17-43\ООО Смартен\УПД №УТ-2804-000089 от 28.04.23.pdf</t>
  </si>
  <si>
    <t>Исправление</t>
  </si>
  <si>
    <t>C:\BG\BridgeGroup\result\23.05.2023 17-43\ООО ПепсиКо Холдингс\Исправление №1 от 03.05.23 УПД №30_00155954-23 от 03.05.23.pdf</t>
  </si>
  <si>
    <t>230 304,00</t>
  </si>
  <si>
    <t>C:\BG\BridgeGroup\result\23.05.2023 17-43\ООО ПС СОЛЮШН\УПД №154 от 30.04.23.pdf</t>
  </si>
  <si>
    <t>15 421,93</t>
  </si>
  <si>
    <t>C:\BG\BridgeGroup\result\23.05.2023 17-43\ООО ТД ЛФБ\УПД №28523 от 04.05.23.pdf</t>
  </si>
  <si>
    <t>2 667,72</t>
  </si>
  <si>
    <t>C:\BG\BridgeGroup\result\23.05.2023 17-43\АО «ТК «МЕГАПОЛИС»\УПД №152588_780E от 04.05.23.pdf</t>
  </si>
  <si>
    <t>3 744,48</t>
  </si>
  <si>
    <t>C:\BG\BridgeGroup\result\23.05.2023 17-43\АО «ТК «МЕГАПОЛИС»\УПД №152590_780E от 04.05.23.pdf</t>
  </si>
  <si>
    <t>34 444,80</t>
  </si>
  <si>
    <t>C:\BG\BridgeGroup\result\23.05.2023 17-43\АО «ТК «МЕГАПОЛИС»\УПД №152591_780E от 04.05.23.pdf</t>
  </si>
  <si>
    <t>442,10</t>
  </si>
  <si>
    <t>C:\BG\BridgeGroup\result\23.05.2023 17-43\АО «ТК «МЕГАПОЛИС»\УПД №152589_780E от 04.05.23.pdf</t>
  </si>
  <si>
    <t>26 287,79</t>
  </si>
  <si>
    <t>C:\BG\BridgeGroup\result\23.05.2023 17-43\АО «ТК «МЕГАПОЛИС»\УПД №152592_780E от 04.05.23.pdf</t>
  </si>
  <si>
    <t>893,95</t>
  </si>
  <si>
    <t>C:\BG\BridgeGroup\result\23.05.2023 17-43\АО «ТК «МЕГАПОЛИС»\УПД №152593_780E от 04.05.23.pdf</t>
  </si>
  <si>
    <t>884,20</t>
  </si>
  <si>
    <t>C:\BG\BridgeGroup\result\23.05.2023 17-43\АО «ТК «МЕГАПОЛИС»\УПД №152594_780E от 04.05.23.pdf</t>
  </si>
  <si>
    <t>C:\BG\BridgeGroup\result\23.05.2023 17-43\АО «ТК «МЕГАПОЛИС»\УПД №152595_780E от 04.05.23.pdf</t>
  </si>
  <si>
    <t>13 333,44</t>
  </si>
  <si>
    <t>C:\BG\BridgeGroup\result\23.05.2023 17-43\АО «ТК «МЕГАПОЛИС»\УПД №152597_780E от 04.05.23.pdf</t>
  </si>
  <si>
    <t>212 253,60</t>
  </si>
  <si>
    <t>C:\BG\BridgeGroup\result\23.05.2023 17-43\АО «ТК «МЕГАПОЛИС»\УПД №152596_780E от 04.05.23.pdf</t>
  </si>
  <si>
    <t>66 029,88</t>
  </si>
  <si>
    <t>C:\BG\BridgeGroup\result\23.05.2023 17-43\АО «ТК «МЕГАПОЛИС»\УПД №152599_780E от 04.05.23.pdf</t>
  </si>
  <si>
    <t>1 075,97</t>
  </si>
  <si>
    <t>C:\BG\BridgeGroup\result\23.05.2023 17-43\АО «ТК «МЕГАПОЛИС»\УПД №152598_780E от 04.05.23.pdf</t>
  </si>
  <si>
    <t>C:\BG\BridgeGroup\result\23.05.2023 17-43\АО «ТК «МЕГАПОЛИС»\УПД №152600_780E от 04.05.23.pdf</t>
  </si>
  <si>
    <t>7 630,70</t>
  </si>
  <si>
    <t>C:\BG\BridgeGroup\result\23.05.2023 17-43\АО «ТК «МЕГАПОЛИС»\УПД №152601_780E от 04.05.23.pdf</t>
  </si>
  <si>
    <t>11 196,16</t>
  </si>
  <si>
    <t>C:\BG\BridgeGroup\result\23.05.2023 17-43\АО «ТК «МЕГАПОЛИС»\УПД №152603_780E от 04.05.23.pdf</t>
  </si>
  <si>
    <t>1 070,03</t>
  </si>
  <si>
    <t>C:\BG\BridgeGroup\result\23.05.2023 17-43\АО «ТК «МЕГАПОЛИС»\УПД №152602_780E от 04.05.23.pdf</t>
  </si>
  <si>
    <t>47 778,24</t>
  </si>
  <si>
    <t>C:\BG\BridgeGroup\result\23.05.2023 17-43\АО «ТК «МЕГАПОЛИС»\УПД №152638_780E от 04.05.23.pdf</t>
  </si>
  <si>
    <t>307 865,28</t>
  </si>
  <si>
    <t>C:\BG\BridgeGroup\result\23.05.2023 17-43\АО «ТК «МЕГАПОЛИС»\УПД №152637_780E от 04.05.23.pdf</t>
  </si>
  <si>
    <t>10 183,54</t>
  </si>
  <si>
    <t>C:\BG\BridgeGroup\result\23.05.2023 17-43\ООО ЭНЕРГИЯ\УПД №UT-108162 от 04.05.23.pdf</t>
  </si>
  <si>
    <t>131 891,29</t>
  </si>
  <si>
    <t>C:\BG\BridgeGroup\result\23.05.2023 17-43\ООО ЭНЕРГИЯ\УПД №UT-108213 от 04.05.23.pdf</t>
  </si>
  <si>
    <t>8 307,51</t>
  </si>
  <si>
    <t>C:\BG\BridgeGroup\result\23.05.2023 17-43\ООО ЭНЕРГИЯ\УПД №UT-108448 от 04.05.23.pdf</t>
  </si>
  <si>
    <t>95 227,21</t>
  </si>
  <si>
    <t>C:\BG\BridgeGroup\result\23.05.2023 17-43\ООО ЭНЕРГИЯ\УПД №UT-108212 от 04.05.23.pdf</t>
  </si>
  <si>
    <t>68 140,52</t>
  </si>
  <si>
    <t>C:\BG\BridgeGroup\result\23.05.2023 17-43\ООО ЭНЕРГИЯ\УПД №UT-108456 от 04.05.23.pdf</t>
  </si>
  <si>
    <t>7 827,26</t>
  </si>
  <si>
    <t>C:\BG\BridgeGroup\result\23.05.2023 17-43\ООО ЭНЕРГИЯ\УПД №UT-108185 от 04.05.23.pdf</t>
  </si>
  <si>
    <t>46 126,44</t>
  </si>
  <si>
    <t>C:\BG\BridgeGroup\result\23.05.2023 17-43\ООО ВКУС ОН ТРЕЙД\УПД №SR110023365 от 04.05.23.pdf</t>
  </si>
  <si>
    <t>10 648,98</t>
  </si>
  <si>
    <t>C:\BG\BridgeGroup\result\23.05.2023 17-43\ООО ВКУС ОН ТРЕЙД\УПД №SR110023364 от 04.05.23.pdf</t>
  </si>
  <si>
    <t>0,01</t>
  </si>
  <si>
    <t>C:\BG\BridgeGroup\result\23.05.2023 17-43\ООО РУСИЧИ\УПД №УТР0167141 от 04.05.23.pdf</t>
  </si>
  <si>
    <t>4 267,83</t>
  </si>
  <si>
    <t>C:\BG\BridgeGroup\result\23.05.2023 17-43\ООО РУСИЧИ\УПД №УТР0167140 от 04.05.23.pdf</t>
  </si>
  <si>
    <t>10 323,72</t>
  </si>
  <si>
    <t>C:\BG\BridgeGroup\result\23.05.2023 17-43\ООО РУСИЧИ\УПД №УТР0167073 от 04.05.23.pdf</t>
  </si>
  <si>
    <t>6 419,91</t>
  </si>
  <si>
    <t>C:\BG\BridgeGroup\result\23.05.2023 17-43\ООО РУСИЧИ\УПД №УТР0167072 от 04.05.23.pdf</t>
  </si>
  <si>
    <t>C:\BG\BridgeGroup\result\23.05.2023 17-43\ООО РУСИЧИ\УПД №УТР0167364 от 04.05.23.pdf</t>
  </si>
  <si>
    <t>61 071,90</t>
  </si>
  <si>
    <t>C:\BG\BridgeGroup\result\23.05.2023 17-43\ООО СНС-Холдинг\УПД №7810_8174463755 от 04.05.23.pdf</t>
  </si>
  <si>
    <t>C:\BG\BridgeGroup\result\23.05.2023 17-43\ООО НИЛА СПРИНГС\УПД №2023_40_03_0034886_06 от 03.05.23.pdf</t>
  </si>
  <si>
    <t>C:\BG\BridgeGroup\result\23.05.2023 17-43\ООО НИЛА СПРИНГС\УПД №2023_40_03_0034849_06 от 03.05.23.pdf</t>
  </si>
  <si>
    <t>11 444,10</t>
  </si>
  <si>
    <t>C:\BG\BridgeGroup\result\23.05.2023 17-43\ООО НИЛА СПРИНГС\УПД №2023_40_03_0034887_06 от 03.05.23.pdf</t>
  </si>
  <si>
    <t>2 745,26</t>
  </si>
  <si>
    <t>C:\BG\BridgeGroup\result\23.05.2023 17-43\ООО КОМУС\УПД №28339435 от 03.05.23.pdf</t>
  </si>
  <si>
    <t>2 912,80</t>
  </si>
  <si>
    <t>C:\BG\BridgeGroup\result\23.05.2023 17-43\ООО КОМУС\УПД №28341704 от 03.05.23.pdf</t>
  </si>
  <si>
    <t>1 662,00</t>
  </si>
  <si>
    <t>C:\BG\BridgeGroup\result\23.05.2023 17-43\ООО Полезные продукты\УПД №ПОСА0504_07 от 04.05.23.pdf</t>
  </si>
  <si>
    <t>12 138,80</t>
  </si>
  <si>
    <t>C:\BG\BridgeGroup\result\23.05.2023 17-43\ООО КОМУС\УПД №28342100 от 03.05.23.pdf</t>
  </si>
  <si>
    <t>3 481,80</t>
  </si>
  <si>
    <t>C:\BG\BridgeGroup\result\23.05.2023 17-43\ООО ХОЗПЕТРОВОЗ\УПД №06199 от 04.05.23.pdf</t>
  </si>
  <si>
    <t>9 639,80</t>
  </si>
  <si>
    <t>C:\BG\BridgeGroup\result\23.05.2023 17-43\ООО ХОЗПЕТРОВОЗ\УПД №06200 от 04.05.23.pdf</t>
  </si>
  <si>
    <t>15 749,27</t>
  </si>
  <si>
    <t>C:\BG\BridgeGroup\result\23.05.2023 17-43\ООО ТД ЛФБ\УПД №28957 от 05.05.23.pdf</t>
  </si>
  <si>
    <t>11 926,32</t>
  </si>
  <si>
    <t>C:\BG\BridgeGroup\result\23.05.2023 17-43\ООО ТД ЛФБ\УПД №28953 от 05.05.23.pdf</t>
  </si>
  <si>
    <t>28 091,79</t>
  </si>
  <si>
    <t>C:\BG\BridgeGroup\result\23.05.2023 17-43\ООО ТД ЛФБ\УПД №28528 от 05.05.23.pdf</t>
  </si>
  <si>
    <t>C:\BG\BridgeGroup\result\23.05.2023 17-43\АО «ТК «МЕГАПОЛИС»\УПД №6345_780K от 05.05.23.pdf</t>
  </si>
  <si>
    <t>99 439,68</t>
  </si>
  <si>
    <t>C:\BG\BridgeGroup\result\23.05.2023 17-43\АО «ТК «МЕГАПОЛИС»\УПД №6346_780K от 05.05.23.pdf</t>
  </si>
  <si>
    <t>2 234,88</t>
  </si>
  <si>
    <t>C:\BG\BridgeGroup\result\23.05.2023 17-43\АО «ТК «МЕГАПОЛИС»\УПД №6348_780K от 05.05.23.pdf</t>
  </si>
  <si>
    <t>19 259,52</t>
  </si>
  <si>
    <t>C:\BG\BridgeGroup\result\23.05.2023 17-43\АО «ТК «МЕГАПОЛИС»\УПД №6347_780K от 05.05.23.pdf</t>
  </si>
  <si>
    <t>7 336,67</t>
  </si>
  <si>
    <t>C:\BG\BridgeGroup\result\23.05.2023 17-43\ООО ЭНЕРГИЯ\УПД №UT-109533 от 05.05.23.pdf</t>
  </si>
  <si>
    <t>C:\BG\BridgeGroup\result\23.05.2023 17-43\ООО ЭНЕРГИЯ\УПД №UT-109652 от 05.05.23.pdf</t>
  </si>
  <si>
    <t>2 809,14</t>
  </si>
  <si>
    <t>C:\BG\BridgeGroup\result\23.05.2023 17-43\ООО ЭНЕРГИЯ\УПД №UT-109704 от 05.05.23.pdf</t>
  </si>
  <si>
    <t>78 248,47</t>
  </si>
  <si>
    <t>C:\BG\BridgeGroup\result\23.05.2023 17-43\ООО ЭНЕРГИЯ\УПД №UT-109653 от 05.05.23.pdf</t>
  </si>
  <si>
    <t>1 731,24</t>
  </si>
  <si>
    <t>C:\BG\BridgeGroup\result\23.05.2023 17-43\ООО КОМУС\УПД №28348395 от 04.05.23.pdf</t>
  </si>
  <si>
    <t>63 533,80</t>
  </si>
  <si>
    <t>C:\BG\BridgeGroup\result\23.05.2023 17-43\ООО ЭНЕРГИЯ\УПД №UT-109825 от 05.05.23.pdf</t>
  </si>
  <si>
    <t>5 461,78</t>
  </si>
  <si>
    <t>C:\BG\BridgeGroup\result\23.05.2023 17-43\ООО ЭНЕРГИЯ\УПД №UT-109497 от 05.05.23.pdf</t>
  </si>
  <si>
    <t>3 089,52</t>
  </si>
  <si>
    <t>C:\BG\BridgeGroup\result\23.05.2023 17-43\ООО ЭНЕРГИЯ\УПД №UT-109498 от 05.05.23.pdf</t>
  </si>
  <si>
    <t>23 053,06</t>
  </si>
  <si>
    <t>C:\BG\BridgeGroup\result\23.05.2023 17-43\ООО ЭНЕРГИЯ\УПД №UT-109799 от 05.05.23.pdf</t>
  </si>
  <si>
    <t>3 586,68</t>
  </si>
  <si>
    <t>C:\BG\BridgeGroup\result\23.05.2023 17-43\ООО ПепсиКо Холдингс\УПД №30_00159218-23 от 05.05.23.pdf</t>
  </si>
  <si>
    <t>2 939,47</t>
  </si>
  <si>
    <t>C:\BG\BridgeGroup\result\23.05.2023 17-43\ООО ПепсиКо Холдингс\УПД №30_00159261-23 от 05.05.23.pdf</t>
  </si>
  <si>
    <t>C:\BG\BridgeGroup\result\23.05.2023 17-43\ООО НИЛА СПРИНГС\УПД №2023_40_03_0035344_06 от 04.05.23.pdf</t>
  </si>
  <si>
    <t>139 631,58</t>
  </si>
  <si>
    <t>C:\BG\BridgeGroup\result\23.05.2023 17-43\ООО СНС-Холдинг\УПД №7810_8174518013 от 05.05.23.pdf</t>
  </si>
  <si>
    <t>1 337,60</t>
  </si>
  <si>
    <t>C:\BG\BridgeGroup\result\23.05.2023 17-43\ООО Смартен\УПД №УТ-505-000042 от 05.05.23.pdf</t>
  </si>
  <si>
    <t>C:\BG\BridgeGroup\result\23.05.2023 17-43\ООО Смартен\УПД №УТ-505-000040 от 05.05.23.pdf</t>
  </si>
  <si>
    <t>41 409,90</t>
  </si>
  <si>
    <t>C:\BG\BridgeGroup\result\23.05.2023 17-43\ООО Смартен\УПД №УТ-505-000038 от 05.05.23.pdf</t>
  </si>
  <si>
    <t>51 707,30</t>
  </si>
  <si>
    <t>C:\BG\BridgeGroup\result\23.05.2023 17-43\ООО Смартен\УПД №УТ-505-000037 от 05.05.23.pdf</t>
  </si>
  <si>
    <t>10 500,48</t>
  </si>
  <si>
    <t>C:\BG\BridgeGroup\result\23.05.2023 17-43\ООО Смартен\УПД №УТ-505-000033 от 05.05.23.pdf</t>
  </si>
  <si>
    <t>33 337,66</t>
  </si>
  <si>
    <t>C:\BG\BridgeGroup\result\23.05.2023 17-43\ООО ВКУС ОН ТРЕЙД\УПД №SR110023976 от 06.05.23.pdf</t>
  </si>
  <si>
    <t>C:\BG\BridgeGroup\result\23.05.2023 17-43\ООО ВКУС ОН ТРЕЙД\УПД №SR110023973 от 06.05.23.pdf</t>
  </si>
  <si>
    <t>11 923,90</t>
  </si>
  <si>
    <t>C:\BG\BridgeGroup\result\23.05.2023 17-43\ООО ВКУС ОН ТРЕЙД\УПД №SR110023925 от 06.05.23.pdf</t>
  </si>
  <si>
    <t>4 702,35</t>
  </si>
  <si>
    <t>C:\BG\BridgeGroup\result\23.05.2023 17-43\ООО ВКУС ОН ТРЕЙД\УПД №SR110023922 от 06.05.23.pdf</t>
  </si>
  <si>
    <t>15 222,40</t>
  </si>
  <si>
    <t>C:\BG\BridgeGroup\result\23.05.2023 17-43\ООО ВКУС ОН ТРЕЙД\УПД №SR110023993 от 06.05.23.pdf</t>
  </si>
  <si>
    <t xml:space="preserve">ООО "КАМА ОЙЛ"
</t>
  </si>
  <si>
    <t>3 023,60</t>
  </si>
  <si>
    <t>C:\BG\BridgeGroup\result\23.05.2023 17-43\ООО Полезные продукты\УПД №ПЕВЛ0501_04 от 01.05.23.pdf</t>
  </si>
  <si>
    <t>58 730,76</t>
  </si>
  <si>
    <t>C:\BG\BridgeGroup\result\23.05.2023 17-43\АО «ТК «МЕГАПОЛИС»\УПД №56428_160E от 02.05.23.pdf</t>
  </si>
  <si>
    <t>176 997,96</t>
  </si>
  <si>
    <t>C:\BG\BridgeGroup\result\23.05.2023 17-43\АО «ТК «МЕГАПОЛИС»\УПД №56429_160E от 02.05.23.pdf</t>
  </si>
  <si>
    <t>73 702,92</t>
  </si>
  <si>
    <t>C:\BG\BridgeGroup\result\23.05.2023 17-43\АО «ТК «МЕГАПОЛИС»\УПД №56431_160E от 02.05.23.pdf</t>
  </si>
  <si>
    <t>11 076,30</t>
  </si>
  <si>
    <t>C:\BG\BridgeGroup\result\23.05.2023 17-43\ООО ЭНЕРГИЯ\УПД №UT-104977 от 02.05.23.pdf</t>
  </si>
  <si>
    <t>96 138,10</t>
  </si>
  <si>
    <t>C:\BG\BridgeGroup\result\23.05.2023 17-43\ООО ЭНЕРГИЯ\УПД №UT-104947 от 02.05.23.pdf</t>
  </si>
  <si>
    <t>2 507,61</t>
  </si>
  <si>
    <t>C:\BG\BridgeGroup\result\23.05.2023 17-43\ООО ЭНЕРГИЯ\УПД №UT-104953 от 02.05.23.pdf</t>
  </si>
  <si>
    <t>C:\BG\BridgeGroup\result\23.05.2023 17-43\ООО ЭНЕРГИЯ\УПД №UT-104955 от 02.05.23.pdf</t>
  </si>
  <si>
    <t>21 666,26</t>
  </si>
  <si>
    <t>C:\BG\BridgeGroup\result\23.05.2023 17-43\ООО ЭНЕРГИЯ\УПД №UT-104957 от 02.05.23.pdf</t>
  </si>
  <si>
    <t>50 510,65</t>
  </si>
  <si>
    <t>C:\BG\BridgeGroup\result\23.05.2023 17-43\ООО ЭНЕРГИЯ\УПД №UT-104960 от 02.05.23.pdf</t>
  </si>
  <si>
    <t>14 080,92</t>
  </si>
  <si>
    <t>C:\BG\BridgeGroup\result\23.05.2023 17-43\ООО ЭНЕРГИЯ\УПД №UT-104961 от 02.05.23.pdf</t>
  </si>
  <si>
    <t>C:\BG\BridgeGroup\result\23.05.2023 17-43\ООО ЭНЕРГИЯ\УПД №UT-104962 от 02.05.23.pdf</t>
  </si>
  <si>
    <t>22 485,65</t>
  </si>
  <si>
    <t>C:\BG\BridgeGroup\result\23.05.2023 17-43\ООО ЭНЕРГИЯ\УПД №UT-104963 от 02.05.23.pdf</t>
  </si>
  <si>
    <t>3 804,63</t>
  </si>
  <si>
    <t>C:\BG\BridgeGroup\result\23.05.2023 17-43\ООО ЭНЕРГИЯ\УПД №UT-104966 от 02.05.23.pdf</t>
  </si>
  <si>
    <t>62 078,06</t>
  </si>
  <si>
    <t>C:\BG\BridgeGroup\result\23.05.2023 17-43\ООО ЭНЕРГИЯ\УПД №UT-104969 от 02.05.23.pdf</t>
  </si>
  <si>
    <t>2 047,24</t>
  </si>
  <si>
    <t>C:\BG\BridgeGroup\result\23.05.2023 17-43\ООО ЭНЕРГИЯ\УПД №UT-104971 от 02.05.23.pdf</t>
  </si>
  <si>
    <t>10 984,77</t>
  </si>
  <si>
    <t>C:\BG\BridgeGroup\result\23.05.2023 17-43\ООО ЭНЕРГИЯ\УПД №UT-104975 от 02.05.23.pdf</t>
  </si>
  <si>
    <t>2 724,77</t>
  </si>
  <si>
    <t>C:\BG\BridgeGroup\result\23.05.2023 17-43\ООО ЭНЕРГИЯ\УПД №UT-104976 от 02.05.23.pdf</t>
  </si>
  <si>
    <t>4 509,09</t>
  </si>
  <si>
    <t>C:\BG\BridgeGroup\result\23.05.2023 17-43\ООО ЭНЕРГИЯ\УПД №UT-105398 от 02.05.23.pdf</t>
  </si>
  <si>
    <t>9 414,72</t>
  </si>
  <si>
    <t>C:\BG\BridgeGroup\result\23.05.2023 17-43\ООО ЭНЕРГИЯ\УПД №UT-105399 от 02.05.23.pdf</t>
  </si>
  <si>
    <t>50 372,16</t>
  </si>
  <si>
    <t>C:\BG\BridgeGroup\result\23.05.2023 17-43\ООО ЭНЕРГИЯ\УПД №UT-105400 от 02.05.23.pdf</t>
  </si>
  <si>
    <t>1 896,62</t>
  </si>
  <si>
    <t>C:\BG\BridgeGroup\result\23.05.2023 17-43\ООО ЭНЕРГИЯ\УПД №UT-105416 от 02.05.23.pdf</t>
  </si>
  <si>
    <t>10 863,13</t>
  </si>
  <si>
    <t>C:\BG\BridgeGroup\result\23.05.2023 17-43\АО «ТК «МЕГАПОЛИС»\УПД №56430_160E от 02.05.23.pdf</t>
  </si>
  <si>
    <t>79 234,44</t>
  </si>
  <si>
    <t>C:\BG\BridgeGroup\result\23.05.2023 17-43\АО «ТК «МЕГАПОЛИС»\УПД №56185_160E от 02.05.23.pdf</t>
  </si>
  <si>
    <t>C:\BG\BridgeGroup\result\23.05.2023 17-43\АО «ТК «МЕГАПОЛИС»\УПД №56187_160E от 02.05.23.pdf</t>
  </si>
  <si>
    <t>148 560,24</t>
  </si>
  <si>
    <t>C:\BG\BridgeGroup\result\23.05.2023 17-43\АО «ТК «МЕГАПОЛИС»\УПД №56183_160E от 02.05.23.pdf</t>
  </si>
  <si>
    <t>17 379,92</t>
  </si>
  <si>
    <t>C:\BG\BridgeGroup\result\23.05.2023 17-43\АО «ТК «МЕГАПОЛИС»\УПД №56184_160E от 02.05.23.pdf</t>
  </si>
  <si>
    <t>190 991,04</t>
  </si>
  <si>
    <t>C:\BG\BridgeGroup\result\23.05.2023 17-43\АО «ТК «МЕГАПОЛИС»\УПД №56186_160E от 02.05.23.pdf</t>
  </si>
  <si>
    <t>18 437,38</t>
  </si>
  <si>
    <t>C:\BG\BridgeGroup\result\23.05.2023 17-43\ООО СНС-Холдинг\УПД №1610_8174351804 от 02.05.23.pdf</t>
  </si>
  <si>
    <t>34 726,50</t>
  </si>
  <si>
    <t>C:\BG\BridgeGroup\result\23.05.2023 17-43\ООО СНС-Холдинг\УПД №1610_8174351703 от 02.05.23.pdf</t>
  </si>
  <si>
    <t>48 290,88</t>
  </si>
  <si>
    <t>C:\BG\BridgeGroup\result\23.05.2023 17-43\ООО СНС-Холдинг\УПД №1610_8174351785 от 02.05.23.pdf</t>
  </si>
  <si>
    <t>7 498,32</t>
  </si>
  <si>
    <t>C:\BG\BridgeGroup\result\23.05.2023 17-43\ООО Полезные продукты\УПД №ПЕВЛ0502_01 от 02.05.23.pdf</t>
  </si>
  <si>
    <t>19 105,96</t>
  </si>
  <si>
    <t>C:\BG\BridgeGroup\result\23.05.2023 17-43\ООО Тэмле +\УПД №8622 от 29.04.23.pdf</t>
  </si>
  <si>
    <t>37 497,12</t>
  </si>
  <si>
    <t>C:\BG\BridgeGroup\result\23.05.2023 17-43\АО «ТК «МЕГАПОЛИС»\УПД №21308_160F от 03.05.23.pdf</t>
  </si>
  <si>
    <t>42 183,60</t>
  </si>
  <si>
    <t>C:\BG\BridgeGroup\result\23.05.2023 17-43\АО «ТК «МЕГАПОЛИС»\УПД №21309_160F от 03.05.23.pdf</t>
  </si>
  <si>
    <t>283 639,92</t>
  </si>
  <si>
    <t>C:\BG\BridgeGroup\result\23.05.2023 17-43\АО «ТК «МЕГАПОЛИС»\УПД №57303_160E от 03.05.23.pdf</t>
  </si>
  <si>
    <t>9 729,80</t>
  </si>
  <si>
    <t>C:\BG\BridgeGroup\result\23.05.2023 17-43\АО «ТК «МЕГАПОЛИС»\УПД №57302_160E от 03.05.23.pdf</t>
  </si>
  <si>
    <t>3 766,60</t>
  </si>
  <si>
    <t>C:\BG\BridgeGroup\result\23.05.2023 17-43\ООО АкваТрэйдэр\УПД №5-228469 от 03.05.23.pdf</t>
  </si>
  <si>
    <t>3 593,60</t>
  </si>
  <si>
    <t>C:\BG\BridgeGroup\result\23.05.2023 17-43\ООО АкваТрэйдэр\УПД №5-228436 от 03.05.23.pdf</t>
  </si>
  <si>
    <t>5 041,00</t>
  </si>
  <si>
    <t>C:\BG\BridgeGroup\result\23.05.2023 17-43\ООО АкваТрэйдэр\УПД №5-228403 от 03.05.23.pdf</t>
  </si>
  <si>
    <t>C:\BG\BridgeGroup\result\23.05.2023 17-43\ООО БРИДЖ ГРУПП\УПД №853 от 30.04.23.pdf</t>
  </si>
  <si>
    <t>C:\BG\BridgeGroup\result\23.05.2023 17-43\ООО БРИДЖ ГРУПП\УПД №890 от 30.04.23.pdf</t>
  </si>
  <si>
    <t>C:\BG\BridgeGroup\result\23.05.2023 17-43\ООО БРИДЖ ГРУПП\УПД №917 от 30.04.23.pdf</t>
  </si>
  <si>
    <t>C:\BG\BridgeGroup\result\23.05.2023 17-43\ООО БРИДЖ ГРУПП\УПД №960 от 30.04.23.pdf</t>
  </si>
  <si>
    <t>C:\BG\BridgeGroup\result\23.05.2023 17-43\ООО СНС-Холдинг\Акт сверки №1800001472 от 04.05.23.pdf</t>
  </si>
  <si>
    <t>5 380,02</t>
  </si>
  <si>
    <t>C:\BG\BridgeGroup\result\23.05.2023 17-43\ООО ПепсиКо Холдингс\УПД №60_00098101-23 от 04.05.23.pdf</t>
  </si>
  <si>
    <t>2 646,00</t>
  </si>
  <si>
    <t>C:\BG\BridgeGroup\result\23.05.2023 17-43\ООО АкваТрэйдэр\УПД №5-229172 от 04.05.23.pdf</t>
  </si>
  <si>
    <t>2 338,60</t>
  </si>
  <si>
    <t>C:\BG\BridgeGroup\result\23.05.2023 17-43\ООО АкваТрэйдэр\УПД №5-229155 от 04.05.23.pdf</t>
  </si>
  <si>
    <t>21 543,00</t>
  </si>
  <si>
    <t>C:\BG\BridgeGroup\result\23.05.2023 17-43\ООО СНС-Холдинг\УПД №1610_8174446150 от 04.05.23.pdf</t>
  </si>
  <si>
    <t>14 012,20</t>
  </si>
  <si>
    <t>C:\BG\BridgeGroup\result\23.05.2023 17-43\ООО СНС-Холдинг\УПД №1610_8174446266 от 04.05.23.pdf</t>
  </si>
  <si>
    <t>16 108,60</t>
  </si>
  <si>
    <t>C:\BG\BridgeGroup\result\23.05.2023 17-43\ООО СНС-Холдинг\УПД №1610_8174446280 от 04.05.23.pdf</t>
  </si>
  <si>
    <t>21 638,00</t>
  </si>
  <si>
    <t>C:\BG\BridgeGroup\result\23.05.2023 17-43\ООО ПОЛИГРАФЫЧЪ\УПД №Б-1258 от 04.05.23.pdf</t>
  </si>
  <si>
    <t>42 307,36</t>
  </si>
  <si>
    <t>C:\BG\BridgeGroup\result\23.05.2023 17-43\ООО Тэмле +\УПД №8859 от 04.05.23.pdf</t>
  </si>
  <si>
    <t>10 073,76</t>
  </si>
  <si>
    <t>C:\BG\BridgeGroup\result\23.05.2023 17-43\ООО Полезные продукты\УПД №ПЕВЛ0504_12 от 04.05.23.pdf</t>
  </si>
  <si>
    <t>C:\BG\BridgeGroup\result\23.05.2023 17-43\ООО Полезные продукты\УПД №ПЕВЛ0504_13 от 04.05.23.pdf</t>
  </si>
  <si>
    <t>4 106,00</t>
  </si>
  <si>
    <t>C:\BG\BridgeGroup\result\23.05.2023 17-43\ООО АкваТрэйдэр\УПД №5-229811 от 05.05.23.pdf</t>
  </si>
  <si>
    <t>47 082,97</t>
  </si>
  <si>
    <t>C:\BG\BridgeGroup\result\23.05.2023 17-43\ООО Тэмле +\УПД №9013 от 05.05.23.pdf</t>
  </si>
  <si>
    <t>6 773,16</t>
  </si>
  <si>
    <t>C:\BG\BridgeGroup\result\23.05.2023 17-43\ООО Тэмле +\УПД №9015 от 05.05.23.pdf</t>
  </si>
  <si>
    <t>46 126,02</t>
  </si>
  <si>
    <t>C:\BG\BridgeGroup\result\23.05.2023 17-43\ООО Тэмле +\УПД №9016 от 05.05.23.pdf</t>
  </si>
  <si>
    <t>52 257,42</t>
  </si>
  <si>
    <t>C:\BG\BridgeGroup\result\23.05.2023 17-43\ООО Тэмле +\УПД №9017 от 05.05.23.pdf</t>
  </si>
  <si>
    <t>08.05.2023</t>
  </si>
  <si>
    <t>2 615,40</t>
  </si>
  <si>
    <t>C:\BG\BridgeGroup\result\23.05.2023 17-43\ООО АкваТрэйдэр\УПД №5-230013 от 08.05.23.pdf</t>
  </si>
  <si>
    <t>C:\BG\BridgeGroup\result\23.05.2023 17-43\ООО АкваТрэйдэр\УПД №5-230006 от 08.05.23.pdf</t>
  </si>
  <si>
    <t>8 608,88</t>
  </si>
  <si>
    <t>C:\BG\BridgeGroup\result\23.05.2023 17-43\ООО ПепсиКо Холдингс\УПД №60_00101044-23 от 06.05.23.pdf</t>
  </si>
  <si>
    <t xml:space="preserve">ООО "Лидер"
</t>
  </si>
  <si>
    <t>Роздухов Максим Евгеньевич</t>
  </si>
  <si>
    <t>2 797,47</t>
  </si>
  <si>
    <t>C:\BG\BridgeGroup\result\23.05.2023 17-43\Роздухов Максим Евгеньевич\УПД №01-01-116308 от 28.04.23.pdf</t>
  </si>
  <si>
    <t>4 747,80</t>
  </si>
  <si>
    <t>C:\BG\BridgeGroup\result\23.05.2023 17-43\ООО КОМУС\УПД №28262455 от 28.04.23.pdf</t>
  </si>
  <si>
    <t>5 480,20</t>
  </si>
  <si>
    <t>C:\BG\BridgeGroup\result\23.05.2023 17-43\ООО КОМУС\УПД №28271408 от 28.04.23.pdf</t>
  </si>
  <si>
    <t>8 490,10</t>
  </si>
  <si>
    <t>C:\BG\BridgeGroup\result\23.05.2023 17-43\ООО КОМУС\УПД №28277715 от 28.04.23.pdf</t>
  </si>
  <si>
    <t>91 851,40</t>
  </si>
  <si>
    <t>C:\BG\BridgeGroup\result\23.05.2023 17-43\ООО СНС-Холдинг\УПД №3520_8174387922 от 02.05.23.pdf</t>
  </si>
  <si>
    <t>ООО "ВОДОЛЕЙ"</t>
  </si>
  <si>
    <t>1 620,00</t>
  </si>
  <si>
    <t>C:\BG\BridgeGroup\result\23.05.2023 17-43\ООО ВОДОЛЕЙ\УПД №1468 от 02.05.23.pdf</t>
  </si>
  <si>
    <t>ООО "ТД Айсберри"</t>
  </si>
  <si>
    <t>9 986,42</t>
  </si>
  <si>
    <t>C:\BG\BridgeGroup\result\23.05.2023 17-43\ООО ТД Айсберри\УПД №23-0667833 от 02.05.23.pdf</t>
  </si>
  <si>
    <t>1 260,00</t>
  </si>
  <si>
    <t>C:\BG\BridgeGroup\result\23.05.2023 17-43\ООО ВОДОЛЕЙ\УПД №1469 от 02.05.23.pdf</t>
  </si>
  <si>
    <t>4 912,00</t>
  </si>
  <si>
    <t>C:\BG\BridgeGroup\result\23.05.2023 17-43\ООО КОМУС\УПД №28284131 от 29.04.23.pdf</t>
  </si>
  <si>
    <t>C:\BG\BridgeGroup\result\23.05.2023 17-43\ООО СК\Счет-фактура №51 от 30 апреля 2023 г.pdf</t>
  </si>
  <si>
    <t>174 600,00</t>
  </si>
  <si>
    <t>C:\BG\BridgeGroup\result\23.05.2023 17-43\ООО СК\Акт №51 от 30.04.23.pdf</t>
  </si>
  <si>
    <t>1 768,40</t>
  </si>
  <si>
    <t>C:\BG\BridgeGroup\result\23.05.2023 17-43\АО «ТК «МЕГАПОЛИС»\УПД №10581_350E от 03.05.23.pdf</t>
  </si>
  <si>
    <t>75 021,00</t>
  </si>
  <si>
    <t>C:\BG\BridgeGroup\result\23.05.2023 17-43\АО «ТК «МЕГАПОЛИС»\УПД №10582_350E от 03.05.23.pdf</t>
  </si>
  <si>
    <t>1 080,00</t>
  </si>
  <si>
    <t>C:\BG\BridgeGroup\result\23.05.2023 17-43\ООО ВОДОЛЕЙ\УПД №1482 от 03.05.23.pdf</t>
  </si>
  <si>
    <t>94 252,80</t>
  </si>
  <si>
    <t>C:\BG\BridgeGroup\result\23.05.2023 17-43\ООО СНС-Холдинг\УПД №3510_8174428473 от 03.05.23.pdf</t>
  </si>
  <si>
    <t>414 590,40</t>
  </si>
  <si>
    <t>C:\BG\BridgeGroup\result\23.05.2023 17-43\ООО БРИДЖ ГРУПП\УПД №856 от 30.04.23.pdf</t>
  </si>
  <si>
    <t>23 601,60</t>
  </si>
  <si>
    <t>C:\BG\BridgeGroup\result\23.05.2023 17-43\ООО БРИДЖ ГРУПП\УПД №891 от 30.04.23.pdf</t>
  </si>
  <si>
    <t>31 608,00</t>
  </si>
  <si>
    <t>C:\BG\BridgeGroup\result\23.05.2023 17-43\ООО БРИДЖ ГРУПП\УПД №918 от 30.04.23.pdf</t>
  </si>
  <si>
    <t>47 851,20</t>
  </si>
  <si>
    <t>C:\BG\BridgeGroup\result\23.05.2023 17-43\ООО БРИДЖ ГРУПП\УПД №961 от 30.04.23.pdf</t>
  </si>
  <si>
    <t>9 678,00</t>
  </si>
  <si>
    <t>C:\BG\BridgeGroup\result\23.05.2023 17-43\ООО Маркон\УПД №2280 от 02.05.23.pdf</t>
  </si>
  <si>
    <t>37 617,24</t>
  </si>
  <si>
    <t>C:\BG\BridgeGroup\result\23.05.2023 17-43\ООО ЭНЕРГИЯ\УПД №UT-106894 от 03.05.23.pdf</t>
  </si>
  <si>
    <t>15 333,34</t>
  </si>
  <si>
    <t>C:\BG\BridgeGroup\result\23.05.2023 17-43\ООО ЭНЕРГИЯ\УПД №UT-106954 от 03.05.23.pdf</t>
  </si>
  <si>
    <t>7 917,26</t>
  </si>
  <si>
    <t>C:\BG\BridgeGroup\result\23.05.2023 17-43\ООО ЭНЕРГИЯ\УПД №UT-106866 от 03.05.23.pdf</t>
  </si>
  <si>
    <t>2 549,53</t>
  </si>
  <si>
    <t>C:\BG\BridgeGroup\result\23.05.2023 17-43\ООО ЭНЕРГИЯ\УПД №UT-106867 от 03.05.23.pdf</t>
  </si>
  <si>
    <t>20 563,79</t>
  </si>
  <si>
    <t>C:\BG\BridgeGroup\result\23.05.2023 17-43\ООО ЭНЕРГИЯ\УПД №UT-106893 от 03.05.23.pdf</t>
  </si>
  <si>
    <t>13 428,88</t>
  </si>
  <si>
    <t>C:\BG\BridgeGroup\result\23.05.2023 17-43\ООО ЭНЕРГИЯ\УПД №UT-106915 от 03.05.23.pdf</t>
  </si>
  <si>
    <t>3 055,68</t>
  </si>
  <si>
    <t>C:\BG\BridgeGroup\result\23.05.2023 17-43\ООО ЭНЕРГИЯ\УПД №UT-106916 от 03.05.23.pdf</t>
  </si>
  <si>
    <t>1 847,52</t>
  </si>
  <si>
    <t>C:\BG\BridgeGroup\result\23.05.2023 17-43\ООО ЭНЕРГИЯ\УПД №UT-106917 от 03.05.23.pdf</t>
  </si>
  <si>
    <t>3 774,52</t>
  </si>
  <si>
    <t>C:\BG\BridgeGroup\result\23.05.2023 17-43\ООО ЭНЕРГИЯ\УПД №UT-106919 от 03.05.23.pdf</t>
  </si>
  <si>
    <t>5 427,85</t>
  </si>
  <si>
    <t>C:\BG\BridgeGroup\result\23.05.2023 17-43\ООО ЭНЕРГИЯ\УПД №UT-106921 от 03.05.23.pdf</t>
  </si>
  <si>
    <t>42 631,09</t>
  </si>
  <si>
    <t>C:\BG\BridgeGroup\result\23.05.2023 17-43\ООО ЭНЕРГИЯ\УПД №UT-106953 от 03.05.23.pdf</t>
  </si>
  <si>
    <t>35 764,09</t>
  </si>
  <si>
    <t>C:\BG\BridgeGroup\result\23.05.2023 17-43\ООО ЭНЕРГИЯ\УПД №UT-106956 от 03.05.23.pdf</t>
  </si>
  <si>
    <t>4 585,39</t>
  </si>
  <si>
    <t>C:\BG\BridgeGroup\result\23.05.2023 17-43\ООО ЭНЕРГИЯ\УПД №UT-106976 от 03.05.23.pdf</t>
  </si>
  <si>
    <t>20 425,04</t>
  </si>
  <si>
    <t>C:\BG\BridgeGroup\result\23.05.2023 17-43\ООО ЭНЕРГИЯ\УПД №UT-107040 от 03.05.23.pdf</t>
  </si>
  <si>
    <t>3 468,67</t>
  </si>
  <si>
    <t>C:\BG\BridgeGroup\result\23.05.2023 17-43\ООО ЭНЕРГИЯ\УПД №UT-107070 от 03.05.23.pdf</t>
  </si>
  <si>
    <t>10 494,12</t>
  </si>
  <si>
    <t>C:\BG\BridgeGroup\result\23.05.2023 17-43\ООО ЭНЕРГИЯ\УПД №UT-107097 от 03.05.23.pdf</t>
  </si>
  <si>
    <t>11 995,51</t>
  </si>
  <si>
    <t>C:\BG\BridgeGroup\result\23.05.2023 17-43\ООО ЭНЕРГИЯ\УПД №UT-107109 от 03.05.23.pdf</t>
  </si>
  <si>
    <t>27 266,57</t>
  </si>
  <si>
    <t>C:\BG\BridgeGroup\result\23.05.2023 17-43\ООО ЭНЕРГИЯ\УПД №UT-107110 от 03.05.23.pdf</t>
  </si>
  <si>
    <t>ООО "ТСК+"</t>
  </si>
  <si>
    <t>C:\BG\BridgeGroup\result\23.05.2023 17-43\ООО ТСК+\УПД №2873 от 02.05.23.pdf</t>
  </si>
  <si>
    <t>8 846,35</t>
  </si>
  <si>
    <t>C:\BG\BridgeGroup\result\23.05.2023 17-43\ООО ЭНЕРГИЯ\УПД №UT-106865 от 03.05.23.pdf</t>
  </si>
  <si>
    <t>51 004,89</t>
  </si>
  <si>
    <t>C:\BG\BridgeGroup\result\23.05.2023 17-43\ООО ЭНЕРГИЯ\УПД №UT-106920 от 03.05.23.pdf</t>
  </si>
  <si>
    <t>9 749,51</t>
  </si>
  <si>
    <t>C:\BG\BridgeGroup\result\23.05.2023 17-43\ООО ЭНЕРГИЯ\УПД №UT-106868 от 03.05.23.pdf</t>
  </si>
  <si>
    <t>Акт_сверки_расчетов_за_период_с_01.01.2023_по_31.03.2023.pdf</t>
  </si>
  <si>
    <t>C:\BG\BridgeGroup\result\23.05.2023 17-43\Роздухов Максим Евгеньевич\Акт_сверки_расчетов_за_период_с_01.01.2023_по_31.03.2023.pdf</t>
  </si>
  <si>
    <t>35 733,12</t>
  </si>
  <si>
    <t>C:\BG\BridgeGroup\result\23.05.2023 17-43\ООО ВКУС ОН ТРЕЙД\УПД №SR110023241 от 04.05.23.pdf</t>
  </si>
  <si>
    <t>137 952,00</t>
  </si>
  <si>
    <t>C:\BG\BridgeGroup\result\23.05.2023 17-43\ООО ПС СОЛЮШН\УПД №156 от 30.04.23.pdf</t>
  </si>
  <si>
    <t>40 150,75</t>
  </si>
  <si>
    <t>C:\BG\BridgeGroup\result\23.05.2023 17-43\ООО ВКУС ОН ТРЕЙД\УПД №SR110023280 от 04.05.23.pdf</t>
  </si>
  <si>
    <t>97 996,08</t>
  </si>
  <si>
    <t>C:\BG\BridgeGroup\result\23.05.2023 17-43\ООО ВКУС ОН ТРЕЙД\УПД №SR110023238 от 04.05.23.pdf</t>
  </si>
  <si>
    <t>55 629,08</t>
  </si>
  <si>
    <t>C:\BG\BridgeGroup\result\23.05.2023 17-43\ООО ВКУС ОН ТРЕЙД\УПД №SR110023233 от 04.05.23.pdf</t>
  </si>
  <si>
    <t>3 176,95</t>
  </si>
  <si>
    <t>C:\BG\BridgeGroup\result\23.05.2023 17-43\ООО ВКУС ОН ТРЕЙД\УПД №SR110023231 от 04.05.23.pdf</t>
  </si>
  <si>
    <t>21 334,13</t>
  </si>
  <si>
    <t>C:\BG\BridgeGroup\result\23.05.2023 17-43\ООО ВКУС ОН ТРЕЙД\УПД №SR110023228 от 04.05.23.pdf</t>
  </si>
  <si>
    <t>21 784,12</t>
  </si>
  <si>
    <t>C:\BG\BridgeGroup\result\23.05.2023 17-43\ООО ВКУС ОН ТРЕЙД\УПД №SR110023282 от 04.05.23.pdf</t>
  </si>
  <si>
    <t>10 261,66</t>
  </si>
  <si>
    <t>C:\BG\BridgeGroup\result\23.05.2023 17-43\ООО ВКУС ОН ТРЕЙД\УПД №SR110023281 от 04.05.23.pdf</t>
  </si>
  <si>
    <t>64 025,89</t>
  </si>
  <si>
    <t>C:\BG\BridgeGroup\result\23.05.2023 17-43\ООО ВКУС ОН ТРЕЙД\УПД №SR110023276 от 04.05.23.pdf</t>
  </si>
  <si>
    <t>95 136,36</t>
  </si>
  <si>
    <t>C:\BG\BridgeGroup\result\23.05.2023 17-43\АО «ТК «МЕГАПОЛИС»\УПД №12570_350G от 04.05.23.pdf</t>
  </si>
  <si>
    <t>3 031,63</t>
  </si>
  <si>
    <t>C:\BG\BridgeGroup\result\23.05.2023 17-43\АО «ТК «МЕГАПОЛИС»\УПД №12571_350G от 04.05.23.pdf</t>
  </si>
  <si>
    <t>4 346,12</t>
  </si>
  <si>
    <t>C:\BG\BridgeGroup\result\23.05.2023 17-43\АО «ТК «МЕГАПОЛИС»\УПД №12619_350G от 04.05.23.pdf</t>
  </si>
  <si>
    <t>75 559,68</t>
  </si>
  <si>
    <t>C:\BG\BridgeGroup\result\23.05.2023 17-43\АО «ТК «МЕГАПОЛИС»\УПД №12682_350G от 04.05.23.pdf</t>
  </si>
  <si>
    <t>101 288,64</t>
  </si>
  <si>
    <t>C:\BG\BridgeGroup\result\23.05.2023 17-43\АО «ТК «МЕГАПОЛИС»\УПД №10628_350E от 04.05.23.pdf</t>
  </si>
  <si>
    <t>4 740,34</t>
  </si>
  <si>
    <t>C:\BG\BridgeGroup\result\23.05.2023 17-43\АО «ТК «МЕГАПОЛИС»\УПД №10629_350E от 04.05.23.pdf</t>
  </si>
  <si>
    <t>161 126,52</t>
  </si>
  <si>
    <t>C:\BG\BridgeGroup\result\23.05.2023 17-43\АО «ТК «МЕГАПОЛИС»\УПД №10668_350E от 04.05.23.pdf</t>
  </si>
  <si>
    <t>8 889,09</t>
  </si>
  <si>
    <t>C:\BG\BridgeGroup\result\23.05.2023 17-43\АО «ТК «МЕГАПОЛИС»\УПД №10669_350E от 04.05.23.pdf</t>
  </si>
  <si>
    <t>86 654,88</t>
  </si>
  <si>
    <t>C:\BG\BridgeGroup\result\23.05.2023 17-43\АО «ТК «МЕГАПОЛИС»\УПД №10704_350E от 04.05.23.pdf</t>
  </si>
  <si>
    <t>3 284,50</t>
  </si>
  <si>
    <t>C:\BG\BridgeGroup\result\23.05.2023 17-43\АО «ТК «МЕГАПОЛИС»\УПД №10705_350E от 04.05.23.pdf</t>
  </si>
  <si>
    <t>105 555,48</t>
  </si>
  <si>
    <t>C:\BG\BridgeGroup\result\23.05.2023 17-43\АО «ТК «МЕГАПОЛИС»\УПД №10724_350E от 04.05.23.pdf</t>
  </si>
  <si>
    <t>1 495,80</t>
  </si>
  <si>
    <t>C:\BG\BridgeGroup\result\23.05.2023 17-43\АО «ТК «МЕГАПОЛИС»\УПД №10725_350E от 04.05.23.pdf</t>
  </si>
  <si>
    <t>C:\BG\BridgeGroup\result\23.05.2023 17-43\ООО СНС-Холдинг\Акт сверки №1800000275 от 04.05.23.pdf</t>
  </si>
  <si>
    <t>26 893,10</t>
  </si>
  <si>
    <t>C:\BG\BridgeGroup\result\23.05.2023 17-43\ООО СНС-Холдинг\УПД №3520_8174449112 от 04.05.23.pdf</t>
  </si>
  <si>
    <t>34 587,98</t>
  </si>
  <si>
    <t>C:\BG\BridgeGroup\result\23.05.2023 17-43\ООО СНС-Холдинг\УПД №3520_8174449252 от 04.05.23.pdf</t>
  </si>
  <si>
    <t>29 769,00</t>
  </si>
  <si>
    <t>C:\BG\BridgeGroup\result\23.05.2023 17-43\ООО СНС-Холдинг\УПД №3520_8174449287 от 04.05.23.pdf</t>
  </si>
  <si>
    <t>99 153,78</t>
  </si>
  <si>
    <t>C:\BG\BridgeGroup\result\23.05.2023 17-43\ООО СНС-Холдинг\УПД №3520_8174449193 от 04.05.23.pdf</t>
  </si>
  <si>
    <t>20 428,38</t>
  </si>
  <si>
    <t>C:\BG\BridgeGroup\result\23.05.2023 17-43\ООО СНС-Холдинг\УПД №3520_8174454210 от 04.05.23.pdf</t>
  </si>
  <si>
    <t>25 656,40</t>
  </si>
  <si>
    <t>C:\BG\BridgeGroup\result\23.05.2023 17-43\ООО СНС-Холдинг\УПД №3520_8174468405 от 04.05.23.pdf</t>
  </si>
  <si>
    <t>24.04.2023</t>
  </si>
  <si>
    <t>32 569,20</t>
  </si>
  <si>
    <t>C:\BG\BridgeGroup\result\23.05.2023 17-43\ООО Маркон\УПД №2061 от 24.04.23.pdf</t>
  </si>
  <si>
    <t>C:\BG\BridgeGroup\result\23.05.2023 17-43\ООО ВОДОЛЕЙ\УПД №1514 от 04.05.23.pdf</t>
  </si>
  <si>
    <t>1 980,00</t>
  </si>
  <si>
    <t>C:\BG\BridgeGroup\result\23.05.2023 17-43\ООО ВОДОЛЕЙ\УПД №1519 от 04.05.23.pdf</t>
  </si>
  <si>
    <t>8 100,00</t>
  </si>
  <si>
    <t>C:\BG\BridgeGroup\result\23.05.2023 17-43\ООО ВОДОЛЕЙ\УПД №1520 от 04.05.23.pdf</t>
  </si>
  <si>
    <t>7 628,34</t>
  </si>
  <si>
    <t>C:\BG\BridgeGroup\result\23.05.2023 17-43\Роздухов Максим Евгеньевич\УПД №01-01-112454 от 24.04.23.pdf</t>
  </si>
  <si>
    <t>4 000,00</t>
  </si>
  <si>
    <t>C:\BG\BridgeGroup\result\23.05.2023 17-43\ООО АЛЕФ ТРЕЙД МСК\УПД №1105 от 28.04.23.pdf</t>
  </si>
  <si>
    <t>3 200,00</t>
  </si>
  <si>
    <t>C:\BG\BridgeGroup\result\23.05.2023 17-43\ООО АЛЕФ ТРЕЙД МСК\УПД №1106 от 27.04.23.pdf</t>
  </si>
  <si>
    <t>C:\BG\BridgeGroup\result\23.05.2023 17-43\ООО АЛЕФ ТРЕЙД МСК\УПД №1104 от 27.04.23.pdf</t>
  </si>
  <si>
    <t>4 341,90</t>
  </si>
  <si>
    <t>C:\BG\BridgeGroup\result\23.05.2023 17-43\Роздухов Максим Евгеньевич\УПД №01-01-120610 от 04.05.23.pdf</t>
  </si>
  <si>
    <t>690,13</t>
  </si>
  <si>
    <t>C:\BG\BridgeGroup\result\23.05.2023 17-43\АО «ТК «МЕГАПОЛИС»\УПД №12763_350G от 05.05.23.pdf</t>
  </si>
  <si>
    <t>58 338,36</t>
  </si>
  <si>
    <t>C:\BG\BridgeGroup\result\23.05.2023 17-43\АО «ТК «МЕГАПОЛИС»\УПД №12764_350G от 05.05.23.pdf</t>
  </si>
  <si>
    <t>C:\BG\BridgeGroup\result\23.05.2023 17-43\АО «ТК «МЕГАПОЛИС»\УПД №12762_350G от 05.05.23.pdf</t>
  </si>
  <si>
    <t>70 657,32</t>
  </si>
  <si>
    <t>C:\BG\BridgeGroup\result\23.05.2023 17-43\АО «ТК «МЕГАПОЛИС»\УПД №12765_350G от 05.05.23.pdf</t>
  </si>
  <si>
    <t>718,99</t>
  </si>
  <si>
    <t>C:\BG\BridgeGroup\result\23.05.2023 17-43\АО «ТК «МЕГАПОЛИС»\УПД №12827_350G от 05.05.23.pdf</t>
  </si>
  <si>
    <t>120 755,40</t>
  </si>
  <si>
    <t>C:\BG\BridgeGroup\result\23.05.2023 17-43\АО «ТК «МЕГАПОЛИС»\УПД №12828_350G от 05.05.23.pdf</t>
  </si>
  <si>
    <t>1 336,25</t>
  </si>
  <si>
    <t>C:\BG\BridgeGroup\result\23.05.2023 17-43\АО «ТК «МЕГАПОЛИС»\УПД №10888_350E от 05.05.23.pdf</t>
  </si>
  <si>
    <t>136 772,64</t>
  </si>
  <si>
    <t>C:\BG\BridgeGroup\result\23.05.2023 17-43\АО «ТК «МЕГАПОЛИС»\УПД №10887_350E от 05.05.23.pdf</t>
  </si>
  <si>
    <t>2 793,01</t>
  </si>
  <si>
    <t>C:\BG\BridgeGroup\result\23.05.2023 17-43\ООО ТД Айсберри\УПД №23-0695202 от 05.05.23.pdf</t>
  </si>
  <si>
    <t>17 731,58</t>
  </si>
  <si>
    <t>C:\BG\BridgeGroup\result\23.05.2023 17-43\ООО СНС-Холдинг\УПД №3510_8174499328 от 05.05.23.pdf</t>
  </si>
  <si>
    <t>C:\BG\BridgeGroup\result\23.05.2023 17-43\ООО ТСК+\УПД №2972 от 05.05.23.pdf</t>
  </si>
  <si>
    <t>4 500,00</t>
  </si>
  <si>
    <t>C:\BG\BridgeGroup\result\23.05.2023 17-43\ООО ТСК+\УПД №2987 от 05.05.23.pdf</t>
  </si>
  <si>
    <t>188 476,32</t>
  </si>
  <si>
    <t>C:\BG\BridgeGroup\result\23.05.2023 17-43\АО «ТК «МЕГАПОЛИС»\УПД №11047_350E от 06.05.23.pdf</t>
  </si>
  <si>
    <t xml:space="preserve">ООО "Лидер-Трейд"
</t>
  </si>
  <si>
    <t>ООО "РБД Дистрибьюция"</t>
  </si>
  <si>
    <t>21 903,75</t>
  </si>
  <si>
    <t>C:\BG\BridgeGroup\result\23.05.2023 17-43\ООО РБД Дистрибьюция\УПД №4-05_01_029 от 01.05.23.pdf</t>
  </si>
  <si>
    <t>14 132,30</t>
  </si>
  <si>
    <t>C:\BG\BridgeGroup\result\23.05.2023 17-43\ООО РБД Дистрибьюция\УПД №4-05_01_032 от 01.05.23.pdf</t>
  </si>
  <si>
    <t>23 959,02</t>
  </si>
  <si>
    <t>C:\BG\BridgeGroup\result\23.05.2023 17-43\ООО РБД Дистрибьюция\УПД №4-05_01_084 от 01.05.23.pdf</t>
  </si>
  <si>
    <t>8 760,61</t>
  </si>
  <si>
    <t>C:\BG\BridgeGroup\result\23.05.2023 17-43\ООО РБД Дистрибьюция\УПД №4-05_01_094 от 01.05.23.pdf</t>
  </si>
  <si>
    <t>21 427,21</t>
  </si>
  <si>
    <t>C:\BG\BridgeGroup\result\23.05.2023 17-43\ООО РБД Дистрибьюция\УПД №4-05_03_043 от 03.05.23.pdf</t>
  </si>
  <si>
    <t>10 015,24</t>
  </si>
  <si>
    <t>C:\BG\BridgeGroup\result\23.05.2023 17-43\ООО РБД Дистрибьюция\УПД №4-05_03_170 от 03.05.23.pdf</t>
  </si>
  <si>
    <t>27 736,78</t>
  </si>
  <si>
    <t>C:\BG\BridgeGroup\result\23.05.2023 17-43\ООО РБД Дистрибьюция\УПД №4-05_03_102 от 03.05.23.pdf</t>
  </si>
  <si>
    <t>5 495,06</t>
  </si>
  <si>
    <t>C:\BG\BridgeGroup\result\23.05.2023 17-43\ООО РБД Дистрибьюция\УПД №4-05_03_171 от 03.05.23.pdf</t>
  </si>
  <si>
    <t>26 147,65</t>
  </si>
  <si>
    <t>C:\BG\BridgeGroup\result\23.05.2023 17-43\ООО РБД Дистрибьюция\УПД №4-05_03_053 от 03.05.23.pdf</t>
  </si>
  <si>
    <t>2 690,02</t>
  </si>
  <si>
    <t>C:\BG\BridgeGroup\result\23.05.2023 17-43\ООО ПепсиКо Холдингс\УПД №30_00155960-23 от 03.05.23.pdf</t>
  </si>
  <si>
    <t>43 639,73</t>
  </si>
  <si>
    <t>C:\BG\BridgeGroup\result\23.05.2023 17-43\ООО РБД Дистрибьюция\УПД №4-05_03_003 от 03.05.23.pdf</t>
  </si>
  <si>
    <t>1 000,00</t>
  </si>
  <si>
    <t>C:\BG\BridgeGroup\result\23.05.2023 17-43\ООО БРИДЖ ГРУПП\УПД №855 от 30.04.23.pdf</t>
  </si>
  <si>
    <t>207 295,20</t>
  </si>
  <si>
    <t>C:\BG\BridgeGroup\result\23.05.2023 17-43\ООО БРИДЖ ГРУПП\УПД №883 от 30.04.23.pdf</t>
  </si>
  <si>
    <t>51 530,40</t>
  </si>
  <si>
    <t>C:\BG\BridgeGroup\result\23.05.2023 17-43\ООО БРИДЖ ГРУПП\УПД №955 от 30.04.23.pdf</t>
  </si>
  <si>
    <t>2 595,23</t>
  </si>
  <si>
    <t>C:\BG\BridgeGroup\result\23.05.2023 17-43\ООО РБД Дистрибьюция\УПД №4-05_04_118 от 04.05.23.pdf</t>
  </si>
  <si>
    <t>9 632,84</t>
  </si>
  <si>
    <t>C:\BG\BridgeGroup\result\23.05.2023 17-43\ООО РБД Дистрибьюция\УПД №4-05_04_030 от 04.05.23.pdf</t>
  </si>
  <si>
    <t>54 843,73</t>
  </si>
  <si>
    <t>C:\BG\BridgeGroup\result\23.05.2023 17-43\ООО РБД Дистрибьюция\УПД №4-05_04_013 от 04.05.23.pdf</t>
  </si>
  <si>
    <t>11 921,47</t>
  </si>
  <si>
    <t>C:\BG\BridgeGroup\result\23.05.2023 17-43\ООО РБД Дистрибьюция\УПД №4-05_05_105 от 05.05.23.pdf</t>
  </si>
  <si>
    <t>12 563,96</t>
  </si>
  <si>
    <t>C:\BG\BridgeGroup\result\23.05.2023 17-43\ООО РБД Дистрибьюция\УПД №4-05_05_176 от 05.05.23.pdf</t>
  </si>
  <si>
    <t>37 634,00</t>
  </si>
  <si>
    <t>C:\BG\BridgeGroup\result\23.05.2023 17-43\ООО РБД Дистрибьюция\УПД №4-05_05_004 от 05.05.23.pdf</t>
  </si>
  <si>
    <t>ООО "САНМЕДЭКСПЕРТ"</t>
  </si>
  <si>
    <t>C:\BG\BridgeGroup\result\23.05.2023 17-43\ООО САНМЕДЭКСПЕРТ\Счет-фактура № 927 от 30 апреля 2023 г.xls.pdf</t>
  </si>
  <si>
    <t>C:\BG\BridgeGroup\result\23.05.2023 17-43\ООО САНМЕДЭКСПЕРТ\Акт об оказании услуг № 1131 от 30 апреля 2023 г.xls.pdf</t>
  </si>
  <si>
    <t xml:space="preserve">ООО "М-10"
</t>
  </si>
  <si>
    <t>11 632,62</t>
  </si>
  <si>
    <t>C:\BG\BridgeGroup\result\23.05.2023 17-43\АО «ТК «МЕГАПОЛИС»\УПД №191515_777E от 02.05.23.pdf</t>
  </si>
  <si>
    <t>242 462,04</t>
  </si>
  <si>
    <t>C:\BG\BridgeGroup\result\23.05.2023 17-43\АО «ТК «МЕГАПОЛИС»\УПД №191514_777E от 02.05.23.pdf</t>
  </si>
  <si>
    <t>56 408,53</t>
  </si>
  <si>
    <t>C:\BG\BridgeGroup\result\23.05.2023 17-43\ООО ЭНЕРГИЯ\УПД №UT-104455 от 02.05.23.pdf</t>
  </si>
  <si>
    <t>7 752,97</t>
  </si>
  <si>
    <t>C:\BG\BridgeGroup\result\23.05.2023 17-43\ООО ЭНЕРГИЯ\УПД №UT-104453 от 02.05.23.pdf</t>
  </si>
  <si>
    <t>1 638,72</t>
  </si>
  <si>
    <t>C:\BG\BridgeGroup\result\23.05.2023 17-43\ООО ЭНЕРГИЯ\УПД №UT-105190 от 02.05.23.pdf</t>
  </si>
  <si>
    <t>16 743,43</t>
  </si>
  <si>
    <t>C:\BG\BridgeGroup\result\23.05.2023 17-43\ООО ЭНЕРГИЯ\УПД №UT-105199 от 02.05.23.pdf</t>
  </si>
  <si>
    <t>71 525,89</t>
  </si>
  <si>
    <t>C:\BG\BridgeGroup\result\23.05.2023 17-43\ООО ЭНЕРГИЯ\УПД №UT-105219 от 02.05.23.pdf</t>
  </si>
  <si>
    <t>31 347,62</t>
  </si>
  <si>
    <t>C:\BG\BridgeGroup\result\23.05.2023 17-43\ООО ЭНЕРГИЯ\УПД №UT-105684 от 02.05.23.pdf</t>
  </si>
  <si>
    <t>32 303,30</t>
  </si>
  <si>
    <t>C:\BG\BridgeGroup\result\23.05.2023 17-43\ООО СНС-Холдинг\УПД №7720_8174359443 от 02.05.23.pdf</t>
  </si>
  <si>
    <t>1 785,60</t>
  </si>
  <si>
    <t>C:\BG\BridgeGroup\result\23.05.2023 17-43\ООО НИЛА СПРИНГС\УПД №2023_30_03_0134638_05 от 02.05.23.pdf</t>
  </si>
  <si>
    <t>ООО "ИНТЕРНЕТ РЕШЕНИЯ"</t>
  </si>
  <si>
    <t>3 420,00</t>
  </si>
  <si>
    <t>C:\BG\BridgeGroup\result\23.05.2023 17-43\ООО ИНТЕРНЕТ РЕШЕНИЯ\УПД №0123529867-0011_0205 от 02.05.23.pdf</t>
  </si>
  <si>
    <t>100 204,50</t>
  </si>
  <si>
    <t>C:\BG\BridgeGroup\result\23.05.2023 17-43\ООО ЭНЕРГИЯ\УПД №UT-106895 от 03.05.23.pdf</t>
  </si>
  <si>
    <t>9 361,87</t>
  </si>
  <si>
    <t>C:\BG\BridgeGroup\result\23.05.2023 17-43\ООО ЭНЕРГИЯ\УПД №UT-106827 от 03.05.23.pdf</t>
  </si>
  <si>
    <t>1 041,60</t>
  </si>
  <si>
    <t>C:\BG\BridgeGroup\result\23.05.2023 17-43\ООО НИЛА СПРИНГС\УПД №2023_30_03_0134834_38 от 02.05.23.pdf</t>
  </si>
  <si>
    <t>8 538,61</t>
  </si>
  <si>
    <t>C:\BG\BridgeGroup\result\23.05.2023 17-43\ООО Смартен\УПД №УТ-405-000036 от 04.05.23.pdf</t>
  </si>
  <si>
    <t>C:\BG\BridgeGroup\result\23.05.2023 17-43\ООО Смартен\УПД №УТ-405-000034 от 04.05.23.pdf</t>
  </si>
  <si>
    <t>744,00</t>
  </si>
  <si>
    <t>C:\BG\BridgeGroup\result\23.05.2023 17-43\ООО НИЛА СПРИНГС\УПД №2023_30_03_0137105_05 от 03.05.23.pdf</t>
  </si>
  <si>
    <t>C:\BG\BridgeGroup\result\23.05.2023 17-43\ООО НИЛА СПРИНГС\УПД №2023_30_03_0137084_05 от 03.05.23.pdf</t>
  </si>
  <si>
    <t>8 921,07</t>
  </si>
  <si>
    <t>C:\BG\BridgeGroup\result\23.05.2023 17-43\ООО ТД ЛФБ\УПД №28432 от 04.05.23.pdf</t>
  </si>
  <si>
    <t>18 423,82</t>
  </si>
  <si>
    <t>C:\BG\BridgeGroup\result\23.05.2023 17-43\ООО ТД ЛФБ\УПД №28380 от 04.05.23.pdf</t>
  </si>
  <si>
    <t>41 988,48</t>
  </si>
  <si>
    <t>C:\BG\BridgeGroup\result\23.05.2023 17-43\ООО ЭНЕРГИЯ\УПД №UT-108036 от 04.05.23.pdf</t>
  </si>
  <si>
    <t>8 727,42</t>
  </si>
  <si>
    <t>C:\BG\BridgeGroup\result\23.05.2023 17-43\ООО ЭНЕРГИЯ\УПД №UT-107983 от 04.05.23.pdf</t>
  </si>
  <si>
    <t>C:\BG\BridgeGroup\result\23.05.2023 17-43\ООО ЭНЕРГИЯ\УПД №UT-107984 от 04.05.23.pdf</t>
  </si>
  <si>
    <t>2 618,93</t>
  </si>
  <si>
    <t>C:\BG\BridgeGroup\result\23.05.2023 17-43\ООО ЭНЕРГИЯ\УПД №UT-107985 от 04.05.23.pdf</t>
  </si>
  <si>
    <t>4 722,05</t>
  </si>
  <si>
    <t>C:\BG\BridgeGroup\result\23.05.2023 17-43\ООО ЭНЕРГИЯ\УПД №UT-107986 от 04.05.23.pdf</t>
  </si>
  <si>
    <t>C:\BG\BridgeGroup\result\23.05.2023 17-43\ООО ЭНЕРГИЯ\УПД №UT-108037 от 04.05.23.pdf</t>
  </si>
  <si>
    <t>2 456,21</t>
  </si>
  <si>
    <t>C:\BG\BridgeGroup\result\23.05.2023 17-43\ООО ЭНЕРГИЯ\УПД №UT-108039 от 04.05.23.pdf</t>
  </si>
  <si>
    <t>6 800,76</t>
  </si>
  <si>
    <t>C:\BG\BridgeGroup\result\23.05.2023 17-43\ООО ЭНЕРГИЯ\УПД №UT-108356 от 04.05.23.pdf</t>
  </si>
  <si>
    <t>2 184,96</t>
  </si>
  <si>
    <t>C:\BG\BridgeGroup\result\23.05.2023 17-43\ООО ЭНЕРГИЯ\УПД №UT-108397 от 04.05.23.pdf</t>
  </si>
  <si>
    <t>28 152,98</t>
  </si>
  <si>
    <t>C:\BG\BridgeGroup\result\23.05.2023 17-43\ООО ЭНЕРГИЯ\УПД №UT-108255 от 04.05.23.pdf</t>
  </si>
  <si>
    <t>7 161,40</t>
  </si>
  <si>
    <t>C:\BG\BridgeGroup\result\23.05.2023 17-43\ООО ЭНЕРГИЯ\УПД №UT-108399 от 04.05.23.pdf</t>
  </si>
  <si>
    <t>54 512,91</t>
  </si>
  <si>
    <t>C:\BG\BridgeGroup\result\23.05.2023 17-43\ООО ЭНЕРГИЯ\УПД №UT-108038 от 04.05.23.pdf</t>
  </si>
  <si>
    <t>74 387,37</t>
  </si>
  <si>
    <t>C:\BG\BridgeGroup\result\23.05.2023 17-43\ООО ЭНЕРГИЯ\УПД №UT-108398 от 04.05.23.pdf</t>
  </si>
  <si>
    <t>3 390,58</t>
  </si>
  <si>
    <t>C:\BG\BridgeGroup\result\23.05.2023 17-43\ООО ЭНЕРГИЯ\УПД №UT-108256 от 04.05.23.pdf</t>
  </si>
  <si>
    <t>18 322,78</t>
  </si>
  <si>
    <t>C:\BG\BridgeGroup\result\23.05.2023 17-43\ООО СНС-Холдинг\УПД №7720_8174453499 от 04.05.23.pdf</t>
  </si>
  <si>
    <t>28 541,59</t>
  </si>
  <si>
    <t>C:\BG\BridgeGroup\result\23.05.2023 17-43\ООО ВКУС ОН ТРЕЙД\УПД №SR110023085 от 04.05.23.pdf</t>
  </si>
  <si>
    <t>6 368,84</t>
  </si>
  <si>
    <t>C:\BG\BridgeGroup\result\23.05.2023 17-43\ООО ВКУС ОН ТРЕЙД\УПД №SR110023078 от 05.05.23.pdf</t>
  </si>
  <si>
    <t>17 056,20</t>
  </si>
  <si>
    <t>C:\BG\BridgeGroup\result\23.05.2023 17-43\ООО Смартен\УПД №УТ-505-000015 от 05.05.23.pdf</t>
  </si>
  <si>
    <t>46 024,29</t>
  </si>
  <si>
    <t>C:\BG\BridgeGroup\result\23.05.2023 17-43\ООО Смартен\УПД №УТ-505-000008 от 05.05.23.pdf</t>
  </si>
  <si>
    <t>5 027,91</t>
  </si>
  <si>
    <t>C:\BG\BridgeGroup\result\23.05.2023 17-43\АО «ТК «МЕГАПОЛИС»\УПД №198884_777E от 05.05.23.pdf</t>
  </si>
  <si>
    <t>129 780,48</t>
  </si>
  <si>
    <t>C:\BG\BridgeGroup\result\23.05.2023 17-43\АО «ТК «МЕГАПОЛИС»\УПД №198885_777E от 05.05.23.pdf</t>
  </si>
  <si>
    <t>273 648,36</t>
  </si>
  <si>
    <t>C:\BG\BridgeGroup\result\23.05.2023 17-43\АО «ТК «МЕГАПОЛИС»\УПД №198912_777E от 05.05.23.pdf</t>
  </si>
  <si>
    <t>16 546,85</t>
  </si>
  <si>
    <t>C:\BG\BridgeGroup\result\23.05.2023 17-43\АО «ТК «МЕГАПОЛИС»\УПД №198913_777E от 05.05.23.pdf</t>
  </si>
  <si>
    <t>2 140,99</t>
  </si>
  <si>
    <t>C:\BG\BridgeGroup\result\23.05.2023 17-43\ООО ЭНЕРГИЯ\УПД №UT-109747 от 05.05.23.pdf</t>
  </si>
  <si>
    <t>4 800,89</t>
  </si>
  <si>
    <t>C:\BG\BridgeGroup\result\23.05.2023 17-43\ООО ЭНЕРГИЯ\УПД №UT-109800 от 05.05.23.pdf</t>
  </si>
  <si>
    <t>2 678,40</t>
  </si>
  <si>
    <t>C:\BG\BridgeGroup\result\23.05.2023 17-43\ООО НИЛА СПРИНГС\УПД №2023_30_03_0137904_05 от 04.05.23.pdf</t>
  </si>
  <si>
    <t>C:\BG\BridgeGroup\result\23.05.2023 17-43\ООО НИЛА СПРИНГС\УПД №2023_30_03_0137905_05 от 04.05.23.pdf</t>
  </si>
  <si>
    <t>ООО "ТОРГОВЫЙ ДОМ ХОЛОД"</t>
  </si>
  <si>
    <t>1 720,32</t>
  </si>
  <si>
    <t>C:\BG\BridgeGroup\result\23.05.2023 17-43\ООО ТОРГОВЫЙ ДОМ ХОЛОД\УПД №17120505-03 от 05.05.23.pdf</t>
  </si>
  <si>
    <t>6 594,24</t>
  </si>
  <si>
    <t>C:\BG\BridgeGroup\result\23.05.2023 17-43\ООО ТОРГОВЫЙ ДОМ ХОЛОД\УПД №15510505-02 от 05.05.23.pdf</t>
  </si>
  <si>
    <t>C:\BG\BridgeGroup\result\23.05.2023 17-43\ООО Смартен\УПД №УТ-705-000018 от 07.05.23.pdf</t>
  </si>
  <si>
    <t xml:space="preserve">ООО "Меркурий"
</t>
  </si>
  <si>
    <t>1 584,00</t>
  </si>
  <si>
    <t>C:\BG\BridgeGroup\result\23.05.2023 17-43\ООО КОМУС\УПД №28258980 от 28.04.23.pdf</t>
  </si>
  <si>
    <t>678,00</t>
  </si>
  <si>
    <t>C:\BG\BridgeGroup\result\23.05.2023 17-43\ООО КОМУС\УПД №28267211 от 28.04.23.pdf</t>
  </si>
  <si>
    <t>1 230,01</t>
  </si>
  <si>
    <t>C:\BG\BridgeGroup\result\23.05.2023 17-43\АО «ТК «МЕГАПОЛИС»\УПД №148640_780E от 02.05.23.pdf</t>
  </si>
  <si>
    <t>446,98</t>
  </si>
  <si>
    <t>C:\BG\BridgeGroup\result\23.05.2023 17-43\АО «ТК «МЕГАПОЛИС»\УПД №148642_780E от 02.05.23.pdf</t>
  </si>
  <si>
    <t>306 808,56</t>
  </si>
  <si>
    <t>C:\BG\BridgeGroup\result\23.05.2023 17-43\АО «ТК «МЕГАПОЛИС»\УПД №148641_780E от 02.05.23.pdf</t>
  </si>
  <si>
    <t>466,50</t>
  </si>
  <si>
    <t>C:\BG\BridgeGroup\result\23.05.2023 17-43\АО «ТК «МЕГАПОЛИС»\УПД №148643_780E от 02.05.23.pdf</t>
  </si>
  <si>
    <t>10 063,74</t>
  </si>
  <si>
    <t>C:\BG\BridgeGroup\result\23.05.2023 17-43\АО «ТК «МЕГАПОЛИС»\УПД №148645_780E от 02.05.23.pdf</t>
  </si>
  <si>
    <t>77 963,64</t>
  </si>
  <si>
    <t>C:\BG\BridgeGroup\result\23.05.2023 17-43\АО «ТК «МЕГАПОЛИС»\УПД №148644_780E от 02.05.23.pdf</t>
  </si>
  <si>
    <t>C:\BG\BridgeGroup\result\23.05.2023 17-43\ООО НИЛА СПРИНГС\УПД №2023_40_03_0032289_06 от 01.05.23.pdf</t>
  </si>
  <si>
    <t>C:\BG\BridgeGroup\result\23.05.2023 17-43\ООО Смартен\УПД №ОТ-3004-000015 от 30.04.23.pdf</t>
  </si>
  <si>
    <t>C:\BG\BridgeGroup\result\23.05.2023 17-43\ООО Смартен\УПД №ОТ-3004-000014 от 30.04.23.pdf</t>
  </si>
  <si>
    <t>C:\BG\BridgeGroup\result\23.05.2023 17-43\ООО Смартен\УПД №ОТ-3004-000013 от 30.04.23.pdf</t>
  </si>
  <si>
    <t>C:\BG\BridgeGroup\result\23.05.2023 17-43\ООО Смартен\УПД №ОТ-3004-000012 от 30.04.23.pdf</t>
  </si>
  <si>
    <t>ООО "Хэдхантер"</t>
  </si>
  <si>
    <t>5 190,00</t>
  </si>
  <si>
    <t>C:\BG\BridgeGroup\result\23.05.2023 17-43\ООО Хэдхантер\УПД №20230428-002640 от 28.04.23.pdf</t>
  </si>
  <si>
    <t>1 891,01</t>
  </si>
  <si>
    <t>C:\BG\BridgeGroup\result\23.05.2023 17-43\АО «ТК «МЕГАПОЛИС»\УПД №150382_780E от 03.05.23.pdf</t>
  </si>
  <si>
    <t>28 333,56</t>
  </si>
  <si>
    <t>C:\BG\BridgeGroup\result\23.05.2023 17-43\АО «ТК «МЕГАПОЛИС»\УПД №150383_780E от 03.05.23.pdf</t>
  </si>
  <si>
    <t>160 165,56</t>
  </si>
  <si>
    <t>C:\BG\BridgeGroup\result\23.05.2023 17-43\АО «ТК «МЕГАПОЛИС»\УПД №150385_780E от 03.05.23.pdf</t>
  </si>
  <si>
    <t>2 151,94</t>
  </si>
  <si>
    <t>C:\BG\BridgeGroup\result\23.05.2023 17-43\АО «ТК «МЕГАПОЛИС»\УПД №150384_780E от 03.05.23.pdf</t>
  </si>
  <si>
    <t>44 259,72</t>
  </si>
  <si>
    <t>C:\BG\BridgeGroup\result\23.05.2023 17-43\АО «ТК «МЕГАПОЛИС»\УПД №150387_780E от 03.05.23.pdf</t>
  </si>
  <si>
    <t>16 224,06</t>
  </si>
  <si>
    <t>C:\BG\BridgeGroup\result\23.05.2023 17-43\АО «ТК «МЕГАПОЛИС»\УПД №150386_780E от 03.05.23.pdf</t>
  </si>
  <si>
    <t>C:\BG\BridgeGroup\result\23.05.2023 17-43\АО «ТК «МЕГАПОЛИС»\УПД №150389_780E от 03.05.23.pdf</t>
  </si>
  <si>
    <t>3 741,12</t>
  </si>
  <si>
    <t>C:\BG\BridgeGroup\result\23.05.2023 17-43\АО «ТК «МЕГАПОЛИС»\УПД №150388_780E от 03.05.23.pdf</t>
  </si>
  <si>
    <t>386,78</t>
  </si>
  <si>
    <t>C:\BG\BridgeGroup\result\23.05.2023 17-43\АО «ТК «МЕГАПОЛИС»\УПД №150391_780E от 03.05.23.pdf</t>
  </si>
  <si>
    <t>37 814,16</t>
  </si>
  <si>
    <t>C:\BG\BridgeGroup\result\23.05.2023 17-43\АО «ТК «МЕГАПОЛИС»\УПД №150390_780E от 03.05.23.pdf</t>
  </si>
  <si>
    <t>57 479,28</t>
  </si>
  <si>
    <t>C:\BG\BridgeGroup\result\23.05.2023 17-43\АО «ТК «МЕГАПОЛИС»\УПД №4584_780H от 03.05.23.pdf</t>
  </si>
  <si>
    <t>37 222,68</t>
  </si>
  <si>
    <t>C:\BG\BridgeGroup\result\23.05.2023 17-43\АО «ТК «МЕГАПОЛИС»\УПД №4585_780H от 03.05.23.pdf</t>
  </si>
  <si>
    <t>8 032,61</t>
  </si>
  <si>
    <t>C:\BG\BridgeGroup\result\23.05.2023 17-43\АО «ТК «МЕГАПОЛИС»\УПД №4587_780H от 03.05.23.pdf</t>
  </si>
  <si>
    <t>177 917,16</t>
  </si>
  <si>
    <t>C:\BG\BridgeGroup\result\23.05.2023 17-43\АО «ТК «МЕГАПОЛИС»\УПД №4586_780H от 03.05.23.pdf</t>
  </si>
  <si>
    <t>C:\BG\BridgeGroup\result\23.05.2023 17-43\АО «ТК «МЕГАПОЛИС»\УПД №4583_780H от 03.05.23.pdf</t>
  </si>
  <si>
    <t>22 222,56</t>
  </si>
  <si>
    <t>C:\BG\BridgeGroup\result\23.05.2023 17-43\АО «ТК «МЕГАПОЛИС»\УПД №4589_780H от 03.05.23.pdf</t>
  </si>
  <si>
    <t>C:\BG\BridgeGroup\result\23.05.2023 17-43\АО «ТК «МЕГАПОЛИС»\УПД №4590_780H от 03.05.23.pdf</t>
  </si>
  <si>
    <t>13 932,00</t>
  </si>
  <si>
    <t>C:\BG\BridgeGroup\result\23.05.2023 17-43\АО «ТК «МЕГАПОЛИС»\УПД №4588_780H от 03.05.23.pdf</t>
  </si>
  <si>
    <t>17 736,50</t>
  </si>
  <si>
    <t>C:\BG\BridgeGroup\result\23.05.2023 17-43\АО «ТК «МЕГАПОЛИС»\УПД №4591_780H от 03.05.23.pdf</t>
  </si>
  <si>
    <t>181 846,68</t>
  </si>
  <si>
    <t>C:\BG\BridgeGroup\result\23.05.2023 17-43\АО «ТК «МЕГАПОЛИС»\УПД №4606_780H от 03.05.23.pdf</t>
  </si>
  <si>
    <t>14 629,80</t>
  </si>
  <si>
    <t>C:\BG\BridgeGroup\result\23.05.2023 17-43\АО «ТК «МЕГАПОЛИС»\УПД №4592_780H от 03.05.23.pdf</t>
  </si>
  <si>
    <t>2 536,02</t>
  </si>
  <si>
    <t>C:\BG\BridgeGroup\result\23.05.2023 17-43\ООО КОМУС\УПД №28285721 от 02.05.23.pdf</t>
  </si>
  <si>
    <t>912,24</t>
  </si>
  <si>
    <t>C:\BG\BridgeGroup\result\23.05.2023 17-43\ООО КОМУС\УПД №28285870 от 02.05.23.pdf</t>
  </si>
  <si>
    <t>102,42</t>
  </si>
  <si>
    <t>C:\BG\BridgeGroup\result\23.05.2023 17-43\ООО КОМУС\УПД №28285847 от 02.05.23.pdf</t>
  </si>
  <si>
    <t>1 948,26</t>
  </si>
  <si>
    <t>C:\BG\BridgeGroup\result\23.05.2023 17-43\ООО КОМУС\УПД №28285844 от 02.05.23.pdf</t>
  </si>
  <si>
    <t>31,50</t>
  </si>
  <si>
    <t>C:\BG\BridgeGroup\result\23.05.2023 17-43\ООО КОМУС\УПД №28285875 от 02.05.23.pdf</t>
  </si>
  <si>
    <t>2 752,32</t>
  </si>
  <si>
    <t>C:\BG\BridgeGroup\result\23.05.2023 17-43\ООО КОМУС\УПД №28286022 от 02.05.23.pdf</t>
  </si>
  <si>
    <t>43 600,32</t>
  </si>
  <si>
    <t>C:\BG\BridgeGroup\result\23.05.2023 17-43\ООО КОМУС\УПД №28286029 от 02.05.23.pdf</t>
  </si>
  <si>
    <t>C:\BG\BridgeGroup\result\23.05.2023 17-43\ООО БРИДЖ ГРУПП\УПД №858 от 30.04.23.pdf</t>
  </si>
  <si>
    <t>C:\BG\BridgeGroup\result\23.05.2023 17-43\ООО БРИДЖ ГРУПП\УПД №893 от 30.04.23.pdf</t>
  </si>
  <si>
    <t>C:\BG\BridgeGroup\result\23.05.2023 17-43\ООО БРИДЖ ГРУПП\УПД №912 от 30.04.23.pdf</t>
  </si>
  <si>
    <t>C:\BG\BridgeGroup\result\23.05.2023 17-43\ООО БРИДЖ ГРУПП\УПД №963 от 30.04.23.pdf</t>
  </si>
  <si>
    <t>C:\BG\BridgeGroup\result\23.05.2023 17-43\ООО Маркон\УПД №2276 от 02.05.23.pdf</t>
  </si>
  <si>
    <t>1 342,80</t>
  </si>
  <si>
    <t>C:\BG\BridgeGroup\result\23.05.2023 17-43\ООО Маркон\УПД №2275 от 02.05.23.pdf</t>
  </si>
  <si>
    <t>8 816,71</t>
  </si>
  <si>
    <t>C:\BG\BridgeGroup\result\23.05.2023 17-43\ООО ТД ЛФБ\УПД №28104 от 03.05.23.pdf</t>
  </si>
  <si>
    <t>11 831,14</t>
  </si>
  <si>
    <t>C:\BG\BridgeGroup\result\23.05.2023 17-43\ООО ТД ЛФБ\УПД №28072 от 03.05.23.pdf</t>
  </si>
  <si>
    <t>6 970,88</t>
  </si>
  <si>
    <t>C:\BG\BridgeGroup\result\23.05.2023 17-43\ООО ТД ЛФБ\УПД №27883 от 02.05.23.pdf</t>
  </si>
  <si>
    <t>5 708,84</t>
  </si>
  <si>
    <t>C:\BG\BridgeGroup\result\23.05.2023 17-43\ООО ТД ЛФБ\УПД №27845 от 02.05.23.pdf</t>
  </si>
  <si>
    <t>5 855,32</t>
  </si>
  <si>
    <t>C:\BG\BridgeGroup\result\23.05.2023 17-43\ООО ТД ЛФБ\УПД №27835 от 02.05.23.pdf</t>
  </si>
  <si>
    <t>4 873,64</t>
  </si>
  <si>
    <t>C:\BG\BridgeGroup\result\23.05.2023 17-43\ООО ТД ЛФБ\УПД №27809 от 02.05.23.pdf</t>
  </si>
  <si>
    <t>8 154,64</t>
  </si>
  <si>
    <t>C:\BG\BridgeGroup\result\23.05.2023 17-43\ООО ТД ЛФБ\УПД №27786 от 02.05.23.pdf</t>
  </si>
  <si>
    <t>4 673,80</t>
  </si>
  <si>
    <t>C:\BG\BridgeGroup\result\23.05.2023 17-43\ООО ТД ЛФБ\УПД №27674 от 02.05.23.pdf</t>
  </si>
  <si>
    <t>C:\BG\BridgeGroup\result\23.05.2023 17-43\ООО РИТЕЙЛ ПЕРСОНАЛ\УПД №107 от 30.04.23.pdf</t>
  </si>
  <si>
    <t>6 777,60</t>
  </si>
  <si>
    <t>C:\BG\BridgeGroup\result\23.05.2023 17-43\ООО Смартен\УПД №УТ-405-000081 от 04.05.23.pdf</t>
  </si>
  <si>
    <t>88 702,76</t>
  </si>
  <si>
    <t>C:\BG\BridgeGroup\result\23.05.2023 17-43\ООО Смартен\УПД №УТ-405-000077 от 04.05.23.pdf</t>
  </si>
  <si>
    <t>3 190,79</t>
  </si>
  <si>
    <t>C:\BG\BridgeGroup\result\23.05.2023 17-43\ООО Смартен\УПД №УТ-405-000076 от 04.05.23.pdf</t>
  </si>
  <si>
    <t>29 176,28</t>
  </si>
  <si>
    <t>C:\BG\BridgeGroup\result\23.05.2023 17-43\ООО Смартен\УПД №УТ-405-000071 от 04.05.23.pdf</t>
  </si>
  <si>
    <t>59 996,72</t>
  </si>
  <si>
    <t>C:\BG\BridgeGroup\result\23.05.2023 17-43\ООО ВКУС ОН ТРЕЙД\УПД №SR110023163 от 03.05.23.pdf</t>
  </si>
  <si>
    <t>C:\BG\BridgeGroup\result\23.05.2023 17-43\ООО ПС СОЛЮШН\УПД №158 от 30.04.23.pdf</t>
  </si>
  <si>
    <t>1 668,46</t>
  </si>
  <si>
    <t>C:\BG\BridgeGroup\result\23.05.2023 17-43\ООО ЭНЕРГИЯ\УПД №UT-108215 от 04.05.23.pdf</t>
  </si>
  <si>
    <t>56 017,87</t>
  </si>
  <si>
    <t>C:\BG\BridgeGroup\result\23.05.2023 17-43\ООО ЭНЕРГИЯ\УПД №UT-108257 от 04.05.23.pdf</t>
  </si>
  <si>
    <t>C:\BG\BridgeGroup\result\23.05.2023 17-43\ООО КОМУС\УПД №28322276 от 03.05.23.pdf</t>
  </si>
  <si>
    <t>13 049,00</t>
  </si>
  <si>
    <t>C:\BG\BridgeGroup\result\23.05.2023 17-43\ООО КОМУС\УПД №28322891 от 03.05.23.pdf</t>
  </si>
  <si>
    <t>36 416,68</t>
  </si>
  <si>
    <t>C:\BG\BridgeGroup\result\23.05.2023 17-43\ООО ВКУС ОН ТРЕЙД\УПД №SR110023391 от 04.05.23.pdf</t>
  </si>
  <si>
    <t>139 348,62</t>
  </si>
  <si>
    <t>C:\BG\BridgeGroup\result\23.05.2023 17-43\ООО ЭНЕРГИЯ\УПД №UT-108058 от 04.05.23.pdf</t>
  </si>
  <si>
    <t>17 344,77</t>
  </si>
  <si>
    <t>C:\BG\BridgeGroup\result\23.05.2023 17-43\ООО ЭНЕРГИЯ\УПД №UT-108005 от 04.05.23.pdf</t>
  </si>
  <si>
    <t>5 555,52</t>
  </si>
  <si>
    <t>C:\BG\BridgeGroup\result\23.05.2023 17-43\ООО ЭНЕРГИЯ\УПД №UT-108455 от 04.05.23.pdf</t>
  </si>
  <si>
    <t>8 060,88</t>
  </si>
  <si>
    <t>C:\BG\BridgeGroup\result\23.05.2023 17-43\ООО НИЛА СПРИНГС\УПД №2023_40_03_0034957_06 от 03.05.23.pdf</t>
  </si>
  <si>
    <t>C:\BG\BridgeGroup\result\23.05.2023 17-43\ООО НИЛА СПРИНГС\УПД №2023_40_03_0034954_06 от 03.05.23.pdf</t>
  </si>
  <si>
    <t>60 044,85</t>
  </si>
  <si>
    <t>C:\BG\BridgeGroup\result\23.05.2023 17-43\ООО ЭНЕРГИЯ\УПД №UT-108441 от 04.05.23.pdf</t>
  </si>
  <si>
    <t>56 717,87</t>
  </si>
  <si>
    <t>C:\BG\BridgeGroup\result\23.05.2023 17-43\ООО ЭНЕРГИЯ\УПД №UT-108400 от 04.05.23.pdf</t>
  </si>
  <si>
    <t>6 725,94</t>
  </si>
  <si>
    <t>C:\BG\BridgeGroup\result\23.05.2023 17-43\ООО ЭНЕРГИЯ\УПД №UT-108418 от 04.05.23.pdf</t>
  </si>
  <si>
    <t>70 567,18</t>
  </si>
  <si>
    <t>C:\BG\BridgeGroup\result\23.05.2023 17-43\ООО ЭНЕРГИЯ\УПД №UT-108333 от 04.05.23.pdf</t>
  </si>
  <si>
    <t>24 682,22</t>
  </si>
  <si>
    <t>C:\BG\BridgeGroup\result\23.05.2023 17-43\ООО АЛЕФ ТРЕЙД МСК\УПД №1107 от 27.04.23.pdf</t>
  </si>
  <si>
    <t>6 597,00</t>
  </si>
  <si>
    <t>C:\BG\BridgeGroup\result\23.05.2023 17-43\ООО КОМУС\УПД №28351359 от 04.05.23.pdf</t>
  </si>
  <si>
    <t>ООО "Невский синдикат"</t>
  </si>
  <si>
    <t>5 341,73</t>
  </si>
  <si>
    <t>C:\BG\BridgeGroup\result\23.05.2023 17-43\ООО Невский синдикат\УПД №5050202_9 от 05.05.23.pdf</t>
  </si>
  <si>
    <t>C:\BG\BridgeGroup\result\23.05.2023 17-43\АО «ТК «МЕГАПОЛИС»\УПД №154746_780E от 05.05.23.pdf</t>
  </si>
  <si>
    <t>31 658,69</t>
  </si>
  <si>
    <t>C:\BG\BridgeGroup\result\23.05.2023 17-43\АО «ТК «МЕГАПОЛИС»\УПД №154747_780E от 05.05.23.pdf</t>
  </si>
  <si>
    <t>C:\BG\BridgeGroup\result\23.05.2023 17-43\АО «ТК «МЕГАПОЛИС»\УПД №154748_780E от 05.05.23.pdf</t>
  </si>
  <si>
    <t>167 038,56</t>
  </si>
  <si>
    <t>C:\BG\BridgeGroup\result\23.05.2023 17-43\АО «ТК «МЕГАПОЛИС»\УПД №154749_780E от 05.05.23.pdf</t>
  </si>
  <si>
    <t>1 870,56</t>
  </si>
  <si>
    <t>C:\BG\BridgeGroup\result\23.05.2023 17-43\АО «ТК «МЕГАПОЛИС»\УПД №154750_780E от 05.05.23.pdf</t>
  </si>
  <si>
    <t>537 028,08</t>
  </si>
  <si>
    <t>C:\BG\BridgeGroup\result\23.05.2023 17-43\АО «ТК «МЕГАПОЛИС»\УПД №154751_780E от 05.05.23.pdf</t>
  </si>
  <si>
    <t>13 059,23</t>
  </si>
  <si>
    <t>C:\BG\BridgeGroup\result\23.05.2023 17-43\ООО ЭНЕРГИЯ\УПД №UT-109801 от 05.05.23.pdf</t>
  </si>
  <si>
    <t>17 790,12</t>
  </si>
  <si>
    <t>C:\BG\BridgeGroup\result\23.05.2023 17-43\ООО КОМУС\УПД №28348649 от 04.05.23.pdf</t>
  </si>
  <si>
    <t>28 718,00</t>
  </si>
  <si>
    <t>C:\BG\BridgeGroup\result\23.05.2023 17-43\ООО КОМУС\УПД №28351722 от 04.05.23.pdf</t>
  </si>
  <si>
    <t>71 190,33</t>
  </si>
  <si>
    <t>C:\BG\BridgeGroup\result\23.05.2023 17-43\ООО ЭНЕРГИЯ\УПД №UT-109761 от 05.05.23.pdf</t>
  </si>
  <si>
    <t>108 854,47</t>
  </si>
  <si>
    <t>C:\BG\BridgeGroup\result\23.05.2023 17-43\ООО ЭНЕРГИЯ\УПД №UT-109802 от 05.05.23.pdf</t>
  </si>
  <si>
    <t>20 537,57</t>
  </si>
  <si>
    <t>C:\BG\BridgeGroup\result\23.05.2023 17-43\ООО ЭНЕРГИЯ\УПД №UT-109812 от 05.05.23.pdf</t>
  </si>
  <si>
    <t>9 457,86</t>
  </si>
  <si>
    <t>C:\BG\BridgeGroup\result\23.05.2023 17-43\ООО РУСИЧИ\УПД №УТР0167582 от 05.05.23.pdf</t>
  </si>
  <si>
    <t>7 254,79</t>
  </si>
  <si>
    <t>C:\BG\BridgeGroup\result\23.05.2023 17-43\ООО НИЛА СПРИНГС\УПД №2023_40_03_0035230_06 от 04.05.23.pdf</t>
  </si>
  <si>
    <t>C:\BG\BridgeGroup\result\23.05.2023 17-43\ООО НИЛА СПРИНГС\УПД №2023_40_03_0035296_06 от 04.05.23.pdf</t>
  </si>
  <si>
    <t>C:\BG\BridgeGroup\result\23.05.2023 17-43\ООО НИЛА СПРИНГС\УПД №2023_40_03_0035328_06 от 04.05.23.pdf</t>
  </si>
  <si>
    <t>7 440,00</t>
  </si>
  <si>
    <t>C:\BG\BridgeGroup\result\23.05.2023 17-43\ООО НИЛА СПРИНГС\УПД №2023_40_03_0035332_06 от 04.05.23.pdf</t>
  </si>
  <si>
    <t>C:\BG\BridgeGroup\result\23.05.2023 17-43\ООО НИЛА СПРИНГС\УПД №2023_40_03_0035329_06 от 04.05.23.pdf</t>
  </si>
  <si>
    <t>7 588,80</t>
  </si>
  <si>
    <t>C:\BG\BridgeGroup\result\23.05.2023 17-43\ООО НИЛА СПРИНГС\УПД №2023_40_03_0035333_06 от 04.05.23.pdf</t>
  </si>
  <si>
    <t>4 464,00</t>
  </si>
  <si>
    <t>C:\BG\BridgeGroup\result\23.05.2023 17-43\ООО НИЛА СПРИНГС\УПД №2023_40_03_0035331_06 от 04.05.23.pdf</t>
  </si>
  <si>
    <t>8 973,68</t>
  </si>
  <si>
    <t>C:\BG\BridgeGroup\result\23.05.2023 17-43\ООО Полезные продукты\УПД №АРРО0505_08 от 05.05.23.pdf</t>
  </si>
  <si>
    <t>20 687,64</t>
  </si>
  <si>
    <t>C:\BG\BridgeGroup\result\23.05.2023 17-43\ООО Полезные продукты\УПД №АРРО0505_12 от 05.05.23.pdf</t>
  </si>
  <si>
    <t>4 400,00</t>
  </si>
  <si>
    <t>C:\BG\BridgeGroup\result\23.05.2023 17-43\ООО Смартен\УПД №УТ-605-000117 от 06.05.23.pdf</t>
  </si>
  <si>
    <t>45 747,22</t>
  </si>
  <si>
    <t>C:\BG\BridgeGroup\result\23.05.2023 17-43\ООО Смартен\УПД №УТ-605-000116 от 06.05.23.pdf</t>
  </si>
  <si>
    <t>27 657,58</t>
  </si>
  <si>
    <t>C:\BG\BridgeGroup\result\23.05.2023 17-43\ООО Смартен\УПД №УТ-605-000107 от 06.05.23.pdf</t>
  </si>
  <si>
    <t>C:\BG\BridgeGroup\result\23.05.2023 17-43\ООО Смартен\УПД №УТ-605-000102 от 06.05.23.pdf</t>
  </si>
  <si>
    <t>2 418,18</t>
  </si>
  <si>
    <t>C:\BG\BridgeGroup\result\23.05.2023 17-43\ООО Смартен\УПД №УТ-605-000101 от 06.05.23.pdf</t>
  </si>
  <si>
    <t xml:space="preserve">ООО "НЕФТЕТРАНС"
</t>
  </si>
  <si>
    <t>74 406,43</t>
  </si>
  <si>
    <t>C:\BG\BridgeGroup\result\23.05.2023 17-43\ООО ЭНЕРГИЯ\УПД №UT-103350 от 01.05.23.pdf</t>
  </si>
  <si>
    <t>9 619,44</t>
  </si>
  <si>
    <t>C:\BG\BridgeGroup\result\23.05.2023 17-43\ООО ЭНЕРГИЯ\УПД №UT-103423 от 01.05.23.pdf</t>
  </si>
  <si>
    <t>546,24</t>
  </si>
  <si>
    <t>C:\BG\BridgeGroup\result\23.05.2023 17-43\ООО ЭНЕРГИЯ\УПД №UT-103349 от 02.05.23.pdf</t>
  </si>
  <si>
    <t>114 153,48</t>
  </si>
  <si>
    <t>C:\BG\BridgeGroup\result\23.05.2023 17-43\АО «ТК «МЕГАПОЛИС»\УПД №11723_620E от 03.05.23.pdf</t>
  </si>
  <si>
    <t>47 623,82</t>
  </si>
  <si>
    <t>C:\BG\BridgeGroup\result\23.05.2023 17-43\ООО ЭНЕРГИЯ\УПД №UT-106710 от 03.05.23.pdf</t>
  </si>
  <si>
    <t>13 723,93</t>
  </si>
  <si>
    <t>C:\BG\BridgeGroup\result\23.05.2023 17-43\ООО ЭНЕРГИЯ\УПД №UT-106708 от 03.05.23.pdf</t>
  </si>
  <si>
    <t>512,50</t>
  </si>
  <si>
    <t>C:\BG\BridgeGroup\result\23.05.2023 17-43\ООО ЭНЕРГИЯ\УПД №UT-106709 от 03.05.23.pdf</t>
  </si>
  <si>
    <t>2 763,65</t>
  </si>
  <si>
    <t>C:\BG\BridgeGroup\result\23.05.2023 17-43\ООО ЭНЕРГИЯ\УПД №UT-106828 от 03.05.23.pdf</t>
  </si>
  <si>
    <t>C:\BG\BridgeGroup\result\23.05.2023 17-43\ООО ЭНЕРГИЯ\УПД №UT-106829 от 03.05.23.pdf</t>
  </si>
  <si>
    <t>10 615,83</t>
  </si>
  <si>
    <t>C:\BG\BridgeGroup\result\23.05.2023 17-43\ООО ЭНЕРГИЯ\УПД №UT-106830 от 03.05.23.pdf</t>
  </si>
  <si>
    <t>3 976,27</t>
  </si>
  <si>
    <t>C:\BG\BridgeGroup\result\23.05.2023 17-43\ООО ЭНЕРГИЯ\УПД №UT-106831 от 03.05.23.pdf</t>
  </si>
  <si>
    <t>1 623,86</t>
  </si>
  <si>
    <t>C:\BG\BridgeGroup\result\23.05.2023 17-43\ООО ЭНЕРГИЯ\УПД №UT-106832 от 03.05.23.pdf</t>
  </si>
  <si>
    <t>138 196,80</t>
  </si>
  <si>
    <t>C:\BG\BridgeGroup\result\23.05.2023 17-43\ООО БРИДЖ ГРУПП\УПД №859 от 30.04.23.pdf</t>
  </si>
  <si>
    <t>7 867,20</t>
  </si>
  <si>
    <t>C:\BG\BridgeGroup\result\23.05.2023 17-43\ООО БРИДЖ ГРУПП\УПД №886 от 30.04.23.pdf</t>
  </si>
  <si>
    <t>10 536,00</t>
  </si>
  <si>
    <t>C:\BG\BridgeGroup\result\23.05.2023 17-43\ООО БРИДЖ ГРУПП\УПД №920 от 30.04.23.pdf</t>
  </si>
  <si>
    <t>15 950,40</t>
  </si>
  <si>
    <t>C:\BG\BridgeGroup\result\23.05.2023 17-43\ООО БРИДЖ ГРУПП\УПД №964 от 30.04.23.pdf</t>
  </si>
  <si>
    <t>87 756,00</t>
  </si>
  <si>
    <t>C:\BG\BridgeGroup\result\23.05.2023 17-43\ООО ПС СОЛЮШН\УПД №159 от 30.04.23.pdf</t>
  </si>
  <si>
    <t>C:\BG\BridgeGroup\result\23.05.2023 17-43\ООО СНС-Холдинг\Акт сверки №1800000981 от 04.05.23.pdf</t>
  </si>
  <si>
    <t>51 375,64</t>
  </si>
  <si>
    <t>C:\BG\BridgeGroup\result\23.05.2023 17-43\ООО СНС-Холдинг\УПД №6210_8174467763 от 04.05.23.pdf</t>
  </si>
  <si>
    <t>26 270,88</t>
  </si>
  <si>
    <t>C:\BG\BridgeGroup\result\23.05.2023 17-43\ООО СНС-Холдинг\УПД №6210_8174467814 от 04.05.23.pdf</t>
  </si>
  <si>
    <t>94 151,16</t>
  </si>
  <si>
    <t>C:\BG\BridgeGroup\result\23.05.2023 17-43\ООО СНС-Холдинг\УПД №6210_8174457401 от 04.05.23.pdf</t>
  </si>
  <si>
    <t>C:\BG\BridgeGroup\result\23.05.2023 17-43\ООО АЛЕФ ТРЕЙД МСК\УПД №1093 от 29.04.23.pdf</t>
  </si>
  <si>
    <t>ООО "МЕТРО Кэш энд Керри"</t>
  </si>
  <si>
    <t>7 490,00</t>
  </si>
  <si>
    <t>C:\BG\BridgeGroup\result\23.05.2023 17-43\ООО МЕТРО Кэш энд Керри\УПД №61 007254 _ 036 от 05.05.23.pdf</t>
  </si>
  <si>
    <t>C:\BG\BridgeGroup\result\23.05.2023 17-43\ООО МЕТРО Кэш энд Керри\УПД №61 007255 _ 036 от 05.05.23.pdf</t>
  </si>
  <si>
    <t>C:\BG\BridgeGroup\result\23.05.2023 17-43\ООО Полезные продукты\УПД №РУФЕ0505_01 от 05.05.23.pdf</t>
  </si>
  <si>
    <t>ООО "КЕХ еКоммерц"</t>
  </si>
  <si>
    <t>6 893,84</t>
  </si>
  <si>
    <t>C:\BG\BridgeGroup\result\23.05.2023 17-43\ООО КЕХ еКоммерц\УПД №04-361033 от 30.04.23.pdf</t>
  </si>
  <si>
    <t xml:space="preserve">ООО "ОЙЛ-САЙТ"
</t>
  </si>
  <si>
    <t>189 739,24</t>
  </si>
  <si>
    <t>C:\BG\BridgeGroup\result\23.05.2023 17-43\ООО ЭНЕРГИЯ\УПД №UT-104974 от 01.05.23.pdf</t>
  </si>
  <si>
    <t>90 576,35</t>
  </si>
  <si>
    <t>C:\BG\BridgeGroup\result\23.05.2023 17-43\ООО ЭНЕРГИЯ\УПД №UT-104978 от 01.05.23.pdf</t>
  </si>
  <si>
    <t>12 527,05</t>
  </si>
  <si>
    <t>C:\BG\BridgeGroup\result\23.05.2023 17-43\ООО ЭНЕРГИЯ\УПД №UT-105330 от 01.05.23.pdf</t>
  </si>
  <si>
    <t>43 616,07</t>
  </si>
  <si>
    <t>C:\BG\BridgeGroup\result\23.05.2023 17-43\ООО ЭНЕРГИЯ\УПД №UT-104801 от 01.05.23.pdf</t>
  </si>
  <si>
    <t>20 763,25</t>
  </si>
  <si>
    <t>C:\BG\BridgeGroup\result\23.05.2023 17-43\ООО ЭНЕРГИЯ\УПД №UT-104804 от 01.05.23.pdf</t>
  </si>
  <si>
    <t>34,21</t>
  </si>
  <si>
    <t>C:\BG\BridgeGroup\result\23.05.2023 17-43\ООО ЭНЕРГИЯ\УПД №UT-105839 от 01.05.23.pdf</t>
  </si>
  <si>
    <t>1 147,60</t>
  </si>
  <si>
    <t>C:\BG\BridgeGroup\result\23.05.2023 17-43\ООО КОМУС\УПД №28259033 от 28.04.23.pdf</t>
  </si>
  <si>
    <t>5 827,94</t>
  </si>
  <si>
    <t>C:\BG\BridgeGroup\result\23.05.2023 17-43\ООО КОМУС\УПД №28277178 от 28.04.23.pdf</t>
  </si>
  <si>
    <t>1 921,10</t>
  </si>
  <si>
    <t>C:\BG\BridgeGroup\result\23.05.2023 17-43\АО «ТК «МЕГАПОЛИС»\УПД №148609_780E от 02.05.23.pdf</t>
  </si>
  <si>
    <t>C:\BG\BridgeGroup\result\23.05.2023 17-43\АО «ТК «МЕГАПОЛИС»\УПД №148610_780E от 02.05.23.pdf</t>
  </si>
  <si>
    <t>7 903,88</t>
  </si>
  <si>
    <t>C:\BG\BridgeGroup\result\23.05.2023 17-43\АО «ТК «МЕГАПОЛИС»\УПД №148612_780E от 02.05.23.pdf</t>
  </si>
  <si>
    <t>15 787,60</t>
  </si>
  <si>
    <t>C:\BG\BridgeGroup\result\23.05.2023 17-43\АО «ТК «МЕГАПОЛИС»\УПД №148611_780E от 02.05.23.pdf</t>
  </si>
  <si>
    <t>142 467,12</t>
  </si>
  <si>
    <t>C:\BG\BridgeGroup\result\23.05.2023 17-43\АО «ТК «МЕГАПОЛИС»\УПД №148616_780E от 02.05.23.pdf</t>
  </si>
  <si>
    <t>31 481,76</t>
  </si>
  <si>
    <t>C:\BG\BridgeGroup\result\23.05.2023 17-43\АО «ТК «МЕГАПОЛИС»\УПД №148615_780E от 02.05.23.pdf</t>
  </si>
  <si>
    <t>238 387,80</t>
  </si>
  <si>
    <t>C:\BG\BridgeGroup\result\23.05.2023 17-43\АО «ТК «МЕГАПОЛИС»\УПД №148614_780E от 02.05.23.pdf</t>
  </si>
  <si>
    <t>1 090,50</t>
  </si>
  <si>
    <t>C:\BG\BridgeGroup\result\23.05.2023 17-43\АО «ТК «МЕГАПОЛИС»\УПД №148617_780E от 02.05.23.pdf</t>
  </si>
  <si>
    <t>54 074,64</t>
  </si>
  <si>
    <t>C:\BG\BridgeGroup\result\23.05.2023 17-43\АО «ТК «МЕГАПОЛИС»\УПД №148618_780E от 02.05.23.pdf</t>
  </si>
  <si>
    <t>291 737,88</t>
  </si>
  <si>
    <t>C:\BG\BridgeGroup\result\23.05.2023 17-43\АО «ТК «МЕГАПОЛИС»\УПД №148905_780E от 02.05.23.pdf</t>
  </si>
  <si>
    <t>40 556,04</t>
  </si>
  <si>
    <t>C:\BG\BridgeGroup\result\23.05.2023 17-43\АО «ТК «МЕГАПОЛИС»\УПД №148906_780E от 02.05.23.pdf</t>
  </si>
  <si>
    <t>C:\BG\BridgeGroup\result\23.05.2023 17-43\АО «ТК «МЕГАПОЛИС»\УПД №148908_780E от 02.05.23.pdf</t>
  </si>
  <si>
    <t>254 467,56</t>
  </si>
  <si>
    <t>C:\BG\BridgeGroup\result\23.05.2023 17-43\АО «ТК «МЕГАПОЛИС»\УПД №148907_780E от 02.05.23.pdf</t>
  </si>
  <si>
    <t>25 268,26</t>
  </si>
  <si>
    <t>C:\BG\BridgeGroup\result\23.05.2023 17-43\АО «ТК «МЕГАПОЛИС»\УПД №148910_780E от 02.05.23.pdf</t>
  </si>
  <si>
    <t>84 260,04</t>
  </si>
  <si>
    <t>C:\BG\BridgeGroup\result\23.05.2023 17-43\АО «ТК «МЕГАПОЛИС»\УПД №148909_780E от 02.05.23.pdf</t>
  </si>
  <si>
    <t>25 433,99</t>
  </si>
  <si>
    <t>C:\BG\BridgeGroup\result\23.05.2023 17-43\АО «ТК «МЕГАПОЛИС»\УПД №148911_780E от 02.05.23.pdf</t>
  </si>
  <si>
    <t>91 667,64</t>
  </si>
  <si>
    <t>C:\BG\BridgeGroup\result\23.05.2023 17-43\АО «ТК «МЕГАПОЛИС»\УПД №148912_780E от 02.05.23.pdf</t>
  </si>
  <si>
    <t>21 341,10</t>
  </si>
  <si>
    <t>C:\BG\BridgeGroup\result\23.05.2023 17-43\АО «ТК «МЕГАПОЛИС»\УПД №148914_780E от 02.05.23.pdf</t>
  </si>
  <si>
    <t>328 115,52</t>
  </si>
  <si>
    <t>C:\BG\BridgeGroup\result\23.05.2023 17-43\АО «ТК «МЕГАПОЛИС»\УПД №148913_780E от 02.05.23.pdf</t>
  </si>
  <si>
    <t>125 850,13</t>
  </si>
  <si>
    <t>C:\BG\BridgeGroup\result\23.05.2023 17-43\ООО ВКУС ОН ТРЕЙД\УПД №SR110022818 от 02.05.23.pdf</t>
  </si>
  <si>
    <t>7 672,24</t>
  </si>
  <si>
    <t>C:\BG\BridgeGroup\result\23.05.2023 17-43\ООО ВКУС ОН ТРЕЙД\УПД №SR110022805 от 02.05.23.pdf</t>
  </si>
  <si>
    <t>22 984,10</t>
  </si>
  <si>
    <t>C:\BG\BridgeGroup\result\23.05.2023 17-43\ООО СНС-Холдинг\УПД №7810_8174375021 от 02.05.23.pdf</t>
  </si>
  <si>
    <t>C:\BG\BridgeGroup\result\23.05.2023 17-43\ООО НИЛА СПРИНГС\УПД №2023_40_03_0033884_06 от 30.04.23.pdf</t>
  </si>
  <si>
    <t>C:\BG\BridgeGroup\result\23.05.2023 17-43\ООО НИЛА СПРИНГС\УПД №2023_40_03_0033885_06 от 30.04.23.pdf</t>
  </si>
  <si>
    <t>C:\BG\BridgeGroup\result\23.05.2023 17-43\ООО НИЛА СПРИНГС\УПД №2023_40_03_0033882_06 от 30.04.23.pdf</t>
  </si>
  <si>
    <t>C:\BG\BridgeGroup\result\23.05.2023 17-43\ООО НИЛА СПРИНГС\УПД №2023_40_03_0033881_06 от 30.04.23.pdf</t>
  </si>
  <si>
    <t>C:\BG\BridgeGroup\result\23.05.2023 17-43\ООО НИЛА СПРИНГС\УПД №2023_40_03_0033883_06 от 30.04.23.pdf</t>
  </si>
  <si>
    <t>C:\BG\BridgeGroup\result\23.05.2023 17-43\ООО НИЛА СПРИНГС\УПД №2023_40_03_0033532_06 от 30.04.23.pdf</t>
  </si>
  <si>
    <t>C:\BG\BridgeGroup\result\23.05.2023 17-43\ООО НИЛА СПРИНГС\УПД №2023_40_03_0033369_06 от 30.04.23.pdf</t>
  </si>
  <si>
    <t>C:\BG\BridgeGroup\result\23.05.2023 17-43\ООО НИЛА СПРИНГС\УПД №2023_40_03_0033182_06 от 30.04.23.pdf</t>
  </si>
  <si>
    <t>C:\BG\BridgeGroup\result\23.05.2023 17-43\ООО НИЛА СПРИНГС\УПД №2023_40_03_0033179_06 от 30.04.23.pdf</t>
  </si>
  <si>
    <t>C:\BG\BridgeGroup\result\23.05.2023 17-43\ООО НИЛА СПРИНГС\УПД №2023_40_03_0033181_06 от 30.04.23.pdf</t>
  </si>
  <si>
    <t>C:\BG\BridgeGroup\result\23.05.2023 17-43\ООО НИЛА СПРИНГС\УПД №2023_40_03_0033180_06 от 30.04.23.pdf</t>
  </si>
  <si>
    <t>C:\BG\BridgeGroup\result\23.05.2023 17-43\ООО Смартен\УПД №ОТ-3004-000019 от 30.04.23.pdf</t>
  </si>
  <si>
    <t>11 800,00</t>
  </si>
  <si>
    <t>C:\BG\BridgeGroup\result\23.05.2023 17-43\ООО Смартен\УПД №ОТ-3004-000018 от 30.04.23.pdf</t>
  </si>
  <si>
    <t>C:\BG\BridgeGroup\result\23.05.2023 17-43\ООО Смартен\УПД №ОТ-3004-000017 от 30.04.23.pdf</t>
  </si>
  <si>
    <t>C:\BG\BridgeGroup\result\23.05.2023 17-43\ООО Смартен\УПД №ОТ-3004-000016 от 30.04.23.pdf</t>
  </si>
  <si>
    <t>13 170,68</t>
  </si>
  <si>
    <t>C:\BG\BridgeGroup\result\23.05.2023 17-43\ООО Смартен\УПД №УТ-305-000052 от 03.05.23.pdf</t>
  </si>
  <si>
    <t>31 974,36</t>
  </si>
  <si>
    <t>C:\BG\BridgeGroup\result\23.05.2023 17-43\ООО Смартен\УПД №УТ-305-000045 от 03.05.23.pdf</t>
  </si>
  <si>
    <t>101 282,34</t>
  </si>
  <si>
    <t>C:\BG\BridgeGroup\result\23.05.2023 17-43\ООО Смартен\УПД №УТ-305-000043 от 03.05.23.pdf</t>
  </si>
  <si>
    <t>158 400,00</t>
  </si>
  <si>
    <t>C:\BG\BridgeGroup\result\23.05.2023 17-43\ООО СК\Акт №53 от 30.04.23.pdf</t>
  </si>
  <si>
    <t>C:\BG\BridgeGroup\result\23.05.2023 17-43\ООО СК\Счет-фактура №53 от 30 апреля 2023 г.pdf</t>
  </si>
  <si>
    <t>25 185,36</t>
  </si>
  <si>
    <t>C:\BG\BridgeGroup\result\23.05.2023 17-43\АО «ТК «МЕГАПОЛИС»\УПД №150095_780E от 03.05.23.pdf</t>
  </si>
  <si>
    <t>7 753,98</t>
  </si>
  <si>
    <t>C:\BG\BridgeGroup\result\23.05.2023 17-43\АО «ТК «МЕГАПОЛИС»\УПД №150096_780E от 03.05.23.pdf</t>
  </si>
  <si>
    <t>C:\BG\BridgeGroup\result\23.05.2023 17-43\АО «ТК «МЕГАПОЛИС»\УПД №150099_780E от 03.05.23.pdf</t>
  </si>
  <si>
    <t>11 920,19</t>
  </si>
  <si>
    <t>C:\BG\BridgeGroup\result\23.05.2023 17-43\АО «ТК «МЕГАПОЛИС»\УПД №150097_780E от 03.05.23.pdf</t>
  </si>
  <si>
    <t>297 382,92</t>
  </si>
  <si>
    <t>C:\BG\BridgeGroup\result\23.05.2023 17-43\АО «ТК «МЕГАПОЛИС»\УПД №150098_780E от 03.05.23.pdf</t>
  </si>
  <si>
    <t>112 634,64</t>
  </si>
  <si>
    <t>C:\BG\BridgeGroup\result\23.05.2023 17-43\АО «ТК «МЕГАПОЛИС»\УПД №150101_780E от 03.05.23.pdf</t>
  </si>
  <si>
    <t>69 630,24</t>
  </si>
  <si>
    <t>C:\BG\BridgeGroup\result\23.05.2023 17-43\АО «ТК «МЕГАПОЛИС»\УПД №150100_780E от 03.05.23.pdf</t>
  </si>
  <si>
    <t>1 864,80</t>
  </si>
  <si>
    <t>C:\BG\BridgeGroup\result\23.05.2023 17-43\АО «ТК «МЕГАПОЛИС»\УПД №150102_780E от 03.05.23.pdf</t>
  </si>
  <si>
    <t>624,00</t>
  </si>
  <si>
    <t>C:\BG\BridgeGroup\result\23.05.2023 17-43\АО «ТК «МЕГАПОЛИС»\УПД №150392_780E от 03.05.23.pdf</t>
  </si>
  <si>
    <t>C:\BG\BridgeGroup\result\23.05.2023 17-43\АО «ТК «МЕГАПОЛИС»\УПД №150393_780E от 03.05.23.pdf</t>
  </si>
  <si>
    <t>540,38</t>
  </si>
  <si>
    <t>C:\BG\BridgeGroup\result\23.05.2023 17-43\АО «ТК «МЕГАПОЛИС»\УПД №150394_780E от 03.05.23.pdf</t>
  </si>
  <si>
    <t>C:\BG\BridgeGroup\result\23.05.2023 17-43\ООО ЭНЕРГИЯ\УПД №UT-106712 от 03.05.23.pdf</t>
  </si>
  <si>
    <t>29 672,12</t>
  </si>
  <si>
    <t>C:\BG\BridgeGroup\result\23.05.2023 17-43\ООО ЭНЕРГИЯ\УПД №UT-106631 от 03.05.23.pdf</t>
  </si>
  <si>
    <t>10 445,49</t>
  </si>
  <si>
    <t>C:\BG\BridgeGroup\result\23.05.2023 17-43\ООО ЭНЕРГИЯ\УПД №UT-106677 от 03.05.23.pdf</t>
  </si>
  <si>
    <t>10 794,86</t>
  </si>
  <si>
    <t>C:\BG\BridgeGroup\result\23.05.2023 17-43\ООО ЭНЕРГИЯ\УПД №UT-106630 от 03.05.23.pdf</t>
  </si>
  <si>
    <t>175 044,64</t>
  </si>
  <si>
    <t>C:\BG\BridgeGroup\result\23.05.2023 17-43\ООО ЭНЕРГИЯ\УПД №UT-106713 от 03.05.23.pdf</t>
  </si>
  <si>
    <t>75 449,09</t>
  </si>
  <si>
    <t>C:\BG\BridgeGroup\result\23.05.2023 17-43\ООО ЭНЕРГИЯ\УПД №UT-107023 от 03.05.23.pdf</t>
  </si>
  <si>
    <t>14 822,66</t>
  </si>
  <si>
    <t>C:\BG\BridgeGroup\result\23.05.2023 17-43\ООО ЭНЕРГИЯ\УПД №UT-106752 от 03.05.23.pdf</t>
  </si>
  <si>
    <t>14 291,48</t>
  </si>
  <si>
    <t>C:\BG\BridgeGroup\result\23.05.2023 17-43\ООО ЭНЕРГИЯ\УПД №UT-106869 от 03.05.23.pdf</t>
  </si>
  <si>
    <t>1 070,50</t>
  </si>
  <si>
    <t>C:\BG\BridgeGroup\result\23.05.2023 17-43\ООО ЭНЕРГИЯ\УПД №UT-106969 от 03.05.23.pdf</t>
  </si>
  <si>
    <t>74 966,41</t>
  </si>
  <si>
    <t>C:\BG\BridgeGroup\result\23.05.2023 17-43\ООО ЭНЕРГИЯ\УПД №UT-107024 от 03.05.23.pdf</t>
  </si>
  <si>
    <t>24 600,14</t>
  </si>
  <si>
    <t>C:\BG\BridgeGroup\result\23.05.2023 17-43\ООО ЭНЕРГИЯ\УПД №UT-107025 от 03.05.23.pdf</t>
  </si>
  <si>
    <t>6 240,48</t>
  </si>
  <si>
    <t>C:\BG\BridgeGroup\result\23.05.2023 17-43\ООО РУСИЧИ\УПД №УТР0166800 от 03.05.23.pdf</t>
  </si>
  <si>
    <t>380 041,20</t>
  </si>
  <si>
    <t>C:\BG\BridgeGroup\result\23.05.2023 17-43\ООО БРИДЖ ГРУПП\УПД №860 от 30.04.23.pdf</t>
  </si>
  <si>
    <t>21 634,80</t>
  </si>
  <si>
    <t>C:\BG\BridgeGroup\result\23.05.2023 17-43\ООО БРИДЖ ГРУПП\УПД №894 от 30.04.23.pdf</t>
  </si>
  <si>
    <t>28 974,00</t>
  </si>
  <si>
    <t>C:\BG\BridgeGroup\result\23.05.2023 17-43\ООО БРИДЖ ГРУПП\УПД №921 от 30.04.23.pdf</t>
  </si>
  <si>
    <t>43 863,60</t>
  </si>
  <si>
    <t>C:\BG\BridgeGroup\result\23.05.2023 17-43\ООО БРИДЖ ГРУПП\УПД №965 от 30.04.23.pdf</t>
  </si>
  <si>
    <t>6 992,40</t>
  </si>
  <si>
    <t>C:\BG\BridgeGroup\result\23.05.2023 17-43\ООО Маркон\УПД №2285 от 02.05.23.pdf</t>
  </si>
  <si>
    <t>16 611,60</t>
  </si>
  <si>
    <t>C:\BG\BridgeGroup\result\23.05.2023 17-43\ООО Маркон\УПД №2284 от 02.05.23.pdf</t>
  </si>
  <si>
    <t>C:\BG\BridgeGroup\result\23.05.2023 17-43\ООО Маркон\УПД №2283 от 02.05.23.pdf</t>
  </si>
  <si>
    <t>16 121,28</t>
  </si>
  <si>
    <t>C:\BG\BridgeGroup\result\23.05.2023 17-43\ООО НИЛА СПРИНГС\УПД №2023_40_03_0034403_06 от 02.05.23.pdf</t>
  </si>
  <si>
    <t>6 045,48</t>
  </si>
  <si>
    <t>C:\BG\BridgeGroup\result\23.05.2023 17-43\ООО НИЛА СПРИНГС\УПД №2023_40_03_0034404_06 от 02.05.23.pdf</t>
  </si>
  <si>
    <t>11 072,10</t>
  </si>
  <si>
    <t>C:\BG\BridgeGroup\result\23.05.2023 17-43\ООО КОМУС\УПД №28307388 от 02.05.23.pdf</t>
  </si>
  <si>
    <t>9 550,08</t>
  </si>
  <si>
    <t>C:\BG\BridgeGroup\result\23.05.2023 17-43\ООО ТД ЛФБ\УПД №27777 от 02.05.23.pdf</t>
  </si>
  <si>
    <t>34 819,69</t>
  </si>
  <si>
    <t>C:\BG\BridgeGroup\result\23.05.2023 17-43\ООО ТД ЛФБ\УПД №27771 от 02.05.23.pdf</t>
  </si>
  <si>
    <t>13 361,70</t>
  </si>
  <si>
    <t>C:\BG\BridgeGroup\result\23.05.2023 17-43\ООО ТД ЛФБ\УПД №27758 от 02.05.23.pdf</t>
  </si>
  <si>
    <t>4 956,58</t>
  </si>
  <si>
    <t>C:\BG\BridgeGroup\result\23.05.2023 17-43\ООО ТД ЛФБ\УПД №27729 от 02.05.23.pdf</t>
  </si>
  <si>
    <t>9 568,86</t>
  </si>
  <si>
    <t>C:\BG\BridgeGroup\result\23.05.2023 17-43\ООО ТД ЛФБ\УПД №27711 от 02.05.23.pdf</t>
  </si>
  <si>
    <t>9 314,14</t>
  </si>
  <si>
    <t>C:\BG\BridgeGroup\result\23.05.2023 17-43\ООО КОМУС\УПД №28310350 от 02.05.23.pdf</t>
  </si>
  <si>
    <t>14 745,27</t>
  </si>
  <si>
    <t>C:\BG\BridgeGroup\result\23.05.2023 17-43\ООО Полезные продукты\УПД №БАШМ0428_10 от 28.04.23.pdf</t>
  </si>
  <si>
    <t>66 978,96</t>
  </si>
  <si>
    <t>C:\BG\BridgeGroup\result\23.05.2023 17-43\ООО Смартен\УПД №УТ-2804-000078 от 28.04.23.pdf</t>
  </si>
  <si>
    <t>71 122,90</t>
  </si>
  <si>
    <t>C:\BG\BridgeGroup\result\23.05.2023 17-43\ООО Смартен\УПД №УТ-2804-000077 от 28.04.23.pdf</t>
  </si>
  <si>
    <t>25.04.2023</t>
  </si>
  <si>
    <t>6 180,06</t>
  </si>
  <si>
    <t>C:\BG\BridgeGroup\result\23.05.2023 17-43\ООО РУСИЧИ\УПД №УТР0164977 от 25.04.23.pdf</t>
  </si>
  <si>
    <t>23 103,06</t>
  </si>
  <si>
    <t>C:\BG\BridgeGroup\result\23.05.2023 17-43\ООО Смартен\УПД №УТ-405-000088 от 04.05.23.pdf</t>
  </si>
  <si>
    <t>3 624,34</t>
  </si>
  <si>
    <t>C:\BG\BridgeGroup\result\23.05.2023 17-43\ООО Смартен\УПД №УТ-405-000083 от 04.05.23.pdf</t>
  </si>
  <si>
    <t>14 410,70</t>
  </si>
  <si>
    <t>C:\BG\BridgeGroup\result\23.05.2023 17-43\ООО Смартен\УПД №УТ-405-000082 от 04.05.23.pdf</t>
  </si>
  <si>
    <t>8 268,36</t>
  </si>
  <si>
    <t>C:\BG\BridgeGroup\result\23.05.2023 17-43\ООО КОМУС\УПД №28312319 от 03.05.23.pdf</t>
  </si>
  <si>
    <t>11 426,72</t>
  </si>
  <si>
    <t>C:\BG\BridgeGroup\result\23.05.2023 17-43\ООО ВКУС ОН ТРЕЙД\УПД №SR110023188 от 03.05.23.pdf</t>
  </si>
  <si>
    <t>327 804,00</t>
  </si>
  <si>
    <t>C:\BG\BridgeGroup\result\23.05.2023 17-43\ООО ПС СОЛЮШН\УПД №160 от 30.04.23.pdf</t>
  </si>
  <si>
    <t>8 299,73</t>
  </si>
  <si>
    <t>C:\BG\BridgeGroup\result\23.05.2023 17-43\ООО ЭНЕРГИЯ\УПД №UT-108186 от 04.05.23.pdf</t>
  </si>
  <si>
    <t>50 071,25</t>
  </si>
  <si>
    <t>C:\BG\BridgeGroup\result\23.05.2023 17-43\ООО ЭНЕРГИЯ\УПД №UT-108216 от 04.05.23.pdf</t>
  </si>
  <si>
    <t>1 388,88</t>
  </si>
  <si>
    <t>C:\BG\BridgeGroup\result\23.05.2023 17-43\ООО ЭНЕРГИЯ\УПД №UT-108217 от 04.05.23.pdf</t>
  </si>
  <si>
    <t>128 086,24</t>
  </si>
  <si>
    <t>C:\BG\BridgeGroup\result\23.05.2023 17-43\ООО ЭНЕРГИЯ\УПД №UT-108357 от 04.05.23.pdf</t>
  </si>
  <si>
    <t>34 103,82</t>
  </si>
  <si>
    <t>C:\BG\BridgeGroup\result\23.05.2023 17-43\ООО ЭНЕРГИЯ\УПД №UT-108218 от 04.05.23.pdf</t>
  </si>
  <si>
    <t>10 953,44</t>
  </si>
  <si>
    <t>C:\BG\BridgeGroup\result\23.05.2023 17-43\ООО ВКУС ОН ТРЕЙД\УПД №SR110023399 от 04.05.23.pdf</t>
  </si>
  <si>
    <t>26 186,65</t>
  </si>
  <si>
    <t>C:\BG\BridgeGroup\result\23.05.2023 17-43\ООО ВКУС ОН ТРЕЙД\УПД №SR110023397 от 04.05.23.pdf</t>
  </si>
  <si>
    <t>45 702,63</t>
  </si>
  <si>
    <t>C:\BG\BridgeGroup\result\23.05.2023 17-43\ООО ВКУС ОН ТРЕЙД\УПД №SR110023402 от 04.05.23.pdf</t>
  </si>
  <si>
    <t>126 644,38</t>
  </si>
  <si>
    <t>C:\BG\BridgeGroup\result\23.05.2023 17-43\ООО СНС-Холдинг\УПД №7810_8174471683 от 04.05.23.pdf</t>
  </si>
  <si>
    <t>142 341,86</t>
  </si>
  <si>
    <t>C:\BG\BridgeGroup\result\23.05.2023 17-43\ООО СНС-Холдинг\УПД №7810_8174471747 от 04.05.23.pdf</t>
  </si>
  <si>
    <t>119 244,01</t>
  </si>
  <si>
    <t>C:\BG\BridgeGroup\result\23.05.2023 17-43\ООО ВКУС ОН ТРЕЙД\УПД №SR110023412 от 04.05.23.pdf</t>
  </si>
  <si>
    <t>C:\BG\BridgeGroup\result\23.05.2023 17-43\ООО ВКУС ОН ТРЕЙД\УПД №SR110023410 от 04.05.23.pdf</t>
  </si>
  <si>
    <t>15 332,83</t>
  </si>
  <si>
    <t>C:\BG\BridgeGroup\result\23.05.2023 17-43\ООО ВКУС ОН ТРЕЙД\УПД №SR110023407 от 04.05.23.pdf</t>
  </si>
  <si>
    <t>2 083,20</t>
  </si>
  <si>
    <t>C:\BG\BridgeGroup\result\23.05.2023 17-43\ООО НИЛА СПРИНГС\УПД №2023_40_03_0034969_06 от 03.05.23.pdf</t>
  </si>
  <si>
    <t>10 075,80</t>
  </si>
  <si>
    <t>C:\BG\BridgeGroup\result\23.05.2023 17-43\ООО НИЛА СПРИНГС\УПД №2023_40_03_0034994_06 от 03.05.23.pdf</t>
  </si>
  <si>
    <t>14 106,12</t>
  </si>
  <si>
    <t>C:\BG\BridgeGroup\result\23.05.2023 17-43\ООО НИЛА СПРИНГС\УПД №2023_40_03_0034993_06 от 03.05.23.pdf</t>
  </si>
  <si>
    <t>4 040,52</t>
  </si>
  <si>
    <t>C:\BG\BridgeGroup\result\23.05.2023 17-43\ООО КОМУС\УПД №28339940 от 03.05.23.pdf</t>
  </si>
  <si>
    <t>C:\BG\BridgeGroup\result\23.05.2023 17-43\ООО АЛЕФ ТРЕЙД МСК\УПД №1098 от 29.04.23.pdf</t>
  </si>
  <si>
    <t>7 529,71</t>
  </si>
  <si>
    <t>C:\BG\BridgeGroup\result\23.05.2023 17-43\ООО АЛЕФ ТРЕЙД МСК\УПД №1096 от 28.04.23.pdf</t>
  </si>
  <si>
    <t>C:\BG\BridgeGroup\result\23.05.2023 17-43\ООО АЛЕФ ТРЕЙД МСК\УПД №1110 от 28.04.23.pdf</t>
  </si>
  <si>
    <t>20 255,34</t>
  </si>
  <si>
    <t>C:\BG\BridgeGroup\result\23.05.2023 17-43\ООО ТД ЛФБ\УПД №28325 от 05.05.23.pdf</t>
  </si>
  <si>
    <t>59 074,68</t>
  </si>
  <si>
    <t>C:\BG\BridgeGroup\result\23.05.2023 17-43\АО «ТК «МЕГАПОЛИС»\УПД №154752_780E от 05.05.23.pdf</t>
  </si>
  <si>
    <t>217 855,68</t>
  </si>
  <si>
    <t>C:\BG\BridgeGroup\result\23.05.2023 17-43\АО «ТК «МЕГАПОЛИС»\УПД №154754_780E от 05.05.23.pdf</t>
  </si>
  <si>
    <t>1 280,73</t>
  </si>
  <si>
    <t>C:\BG\BridgeGroup\result\23.05.2023 17-43\АО «ТК «МЕГАПОЛИС»\УПД №154753_780E от 05.05.23.pdf</t>
  </si>
  <si>
    <t>358 346,52</t>
  </si>
  <si>
    <t>C:\BG\BridgeGroup\result\23.05.2023 17-43\АО «ТК «МЕГАПОЛИС»\УПД №154755_780E от 05.05.23.pdf</t>
  </si>
  <si>
    <t>C:\BG\BridgeGroup\result\23.05.2023 17-43\АО «ТК «МЕГАПОЛИС»\УПД №154756_780E от 05.05.23.pdf</t>
  </si>
  <si>
    <t>42 766,71</t>
  </si>
  <si>
    <t>C:\BG\BridgeGroup\result\23.05.2023 17-43\АО «ТК «МЕГАПОЛИС»\УПД №154757_780E от 05.05.23.pdf</t>
  </si>
  <si>
    <t>50 000,40</t>
  </si>
  <si>
    <t>C:\BG\BridgeGroup\result\23.05.2023 17-43\АО «ТК «МЕГАПОЛИС»\УПД №154758_780E от 05.05.23.pdf</t>
  </si>
  <si>
    <t>157 412,04</t>
  </si>
  <si>
    <t>C:\BG\BridgeGroup\result\23.05.2023 17-43\АО «ТК «МЕГАПОЛИС»\УПД №154759_780E от 05.05.23.pdf</t>
  </si>
  <si>
    <t>10 472,12</t>
  </si>
  <si>
    <t>C:\BG\BridgeGroup\result\23.05.2023 17-43\АО «ТК «МЕГАПОЛИС»\УПД №154761_780E от 05.05.23.pdf</t>
  </si>
  <si>
    <t>56 481,96</t>
  </si>
  <si>
    <t>C:\BG\BridgeGroup\result\23.05.2023 17-43\АО «ТК «МЕГАПОЛИС»\УПД №154762_780E от 05.05.23.pdf</t>
  </si>
  <si>
    <t>15 212,47</t>
  </si>
  <si>
    <t>C:\BG\BridgeGroup\result\23.05.2023 17-43\АО «ТК «МЕГАПОЛИС»\УПД №154760_780E от 05.05.23.pdf</t>
  </si>
  <si>
    <t>132 353,16</t>
  </si>
  <si>
    <t>C:\BG\BridgeGroup\result\23.05.2023 17-43\АО «ТК «МЕГАПОЛИС»\УПД №3876_780I от 05.05.23.pdf</t>
  </si>
  <si>
    <t>23 333,52</t>
  </si>
  <si>
    <t>C:\BG\BridgeGroup\result\23.05.2023 17-43\АО «ТК «МЕГАПОЛИС»\УПД №3877_780I от 05.05.23.pdf</t>
  </si>
  <si>
    <t>5 379,84</t>
  </si>
  <si>
    <t>C:\BG\BridgeGroup\result\23.05.2023 17-43\АО «ТК «МЕГАПОЛИС»\УПД №3878_780I от 05.05.23.pdf</t>
  </si>
  <si>
    <t>622,58</t>
  </si>
  <si>
    <t>C:\BG\BridgeGroup\result\23.05.2023 17-43\АО «ТК «МЕГАПОЛИС»\УПД №3880_780I от 05.05.23.pdf</t>
  </si>
  <si>
    <t>1 243,20</t>
  </si>
  <si>
    <t>C:\BG\BridgeGroup\result\23.05.2023 17-43\АО «ТК «МЕГАПОЛИС»\УПД №3879_780I от 05.05.23.pdf</t>
  </si>
  <si>
    <t>10 342,72</t>
  </si>
  <si>
    <t>C:\BG\BridgeGroup\result\23.05.2023 17-43\ООО ЭНЕРГИЯ\УПД №UT-109499 от 05.05.23.pdf</t>
  </si>
  <si>
    <t>3 202,50</t>
  </si>
  <si>
    <t>C:\BG\BridgeGroup\result\23.05.2023 17-43\ООО ЭНЕРГИЯ\УПД №UT-109654 от 05.05.23.pdf</t>
  </si>
  <si>
    <t>41 704,73</t>
  </si>
  <si>
    <t>C:\BG\BridgeGroup\result\23.05.2023 17-43\ООО ЭНЕРГИЯ\УПД №UT-109655 от 05.05.23.pdf</t>
  </si>
  <si>
    <t>11 617,70</t>
  </si>
  <si>
    <t>C:\BG\BridgeGroup\result\23.05.2023 17-43\ООО КОМУС\УПД №28359963 от 04.05.23.pdf</t>
  </si>
  <si>
    <t>3 189,40</t>
  </si>
  <si>
    <t>C:\BG\BridgeGroup\result\23.05.2023 17-43\ООО КОМУС\УПД №28360470 от 04.05.23.pdf</t>
  </si>
  <si>
    <t>3 120,48</t>
  </si>
  <si>
    <t>C:\BG\BridgeGroup\result\23.05.2023 17-43\ООО ТД МЕГА ОПТ\УПД №34235 от 05.05.23.pdf</t>
  </si>
  <si>
    <t>16 568,42</t>
  </si>
  <si>
    <t>C:\BG\BridgeGroup\result\23.05.2023 17-43\ООО ЭНЕРГИЯ\УПД №UT-109656 от 05.05.23.pdf</t>
  </si>
  <si>
    <t>1 832,69</t>
  </si>
  <si>
    <t>C:\BG\BridgeGroup\result\23.05.2023 17-43\ООО ЭНЕРГИЯ\УПД №UT-109500 от 05.05.23.pdf</t>
  </si>
  <si>
    <t>5 022,20</t>
  </si>
  <si>
    <t>C:\BG\BridgeGroup\result\23.05.2023 17-43\ООО ПепсиКо Холдингс\УПД №30_00159914-23 от 05.05.23.pdf</t>
  </si>
  <si>
    <t>5 642,45</t>
  </si>
  <si>
    <t>C:\BG\BridgeGroup\result\23.05.2023 17-43\ООО НИЛА СПРИНГС\УПД №2023_40_03_0035280_06 от 04.05.23.pdf</t>
  </si>
  <si>
    <t>20 151,60</t>
  </si>
  <si>
    <t>C:\BG\BridgeGroup\result\23.05.2023 17-43\ООО НИЛА СПРИНГС\УПД №2023_40_03_0035303_06 от 04.05.23.pdf</t>
  </si>
  <si>
    <t>4 030,32</t>
  </si>
  <si>
    <t>C:\BG\BridgeGroup\result\23.05.2023 17-43\ООО НИЛА СПРИНГС\УПД №2023_40_03_0035310_06 от 04.05.23.pdf</t>
  </si>
  <si>
    <t>C:\BG\BridgeGroup\result\23.05.2023 17-43\ООО НИЛА СПРИНГС\УПД №2023_40_03_0035274_06 от 04.05.23.pdf</t>
  </si>
  <si>
    <t>167 921,12</t>
  </si>
  <si>
    <t>C:\BG\BridgeGroup\result\23.05.2023 17-43\ООО СНС-Холдинг\УПД №7810_8174517801 от 05.05.23.pdf</t>
  </si>
  <si>
    <t>32 001,56</t>
  </si>
  <si>
    <t>C:\BG\BridgeGroup\result\23.05.2023 17-43\ООО Смартен\УПД №УТ-505-000067 от 05.05.23.pdf</t>
  </si>
  <si>
    <t>10 000,00</t>
  </si>
  <si>
    <t>C:\BG\BridgeGroup\result\23.05.2023 17-43\ООО Смартен\УПД №УТ-505-000065 от 05.05.23.pdf</t>
  </si>
  <si>
    <t>69 107,51</t>
  </si>
  <si>
    <t>C:\BG\BridgeGroup\result\23.05.2023 17-43\ООО Смартен\УПД №УТ-505-000064 от 05.05.23.pdf</t>
  </si>
  <si>
    <t>1 527,12</t>
  </si>
  <si>
    <t>C:\BG\BridgeGroup\result\23.05.2023 17-43\ООО Полезные продукты\УПД №БАШМ0505_01 от 05.05.23.pdf</t>
  </si>
  <si>
    <t>9 601,92</t>
  </si>
  <si>
    <t>C:\BG\BridgeGroup\result\23.05.2023 17-43\ООО Полезные продукты\УПД №БАШМ0505_02 от 05.05.23.pdf</t>
  </si>
  <si>
    <t>19 506,94</t>
  </si>
  <si>
    <t>C:\BG\BridgeGroup\result\23.05.2023 17-43\ООО Смартен\УПД №УТ-605-000111 от 06.05.23.pdf</t>
  </si>
  <si>
    <t>C:\BG\BridgeGroup\result\23.05.2023 17-43\ООО Смартен\УПД №УТ-605-000104 от 06.05.23.pdf</t>
  </si>
  <si>
    <t>13 655,63</t>
  </si>
  <si>
    <t>C:\BG\BridgeGroup\result\23.05.2023 17-43\ООО Смартен\УПД №УТ-605-000103 от 06.05.23.pdf</t>
  </si>
  <si>
    <t>38 046,79</t>
  </si>
  <si>
    <t>C:\BG\BridgeGroup\result\23.05.2023 17-43\ООО ВКУС ОН ТРЕЙД\УПД №SR110023960 от 06.05.23.pdf</t>
  </si>
  <si>
    <t>46 819,59</t>
  </si>
  <si>
    <t>C:\BG\BridgeGroup\result\23.05.2023 17-43\ООО ВКУС ОН ТРЕЙД\УПД №SR110023950 от 06.05.23.pdf</t>
  </si>
  <si>
    <t>18 819,11</t>
  </si>
  <si>
    <t>C:\BG\BridgeGroup\result\23.05.2023 17-43\ООО ВКУС ОН ТРЕЙД\УПД №SR110023946 от 06.05.23.pdf</t>
  </si>
  <si>
    <t>34 897,42</t>
  </si>
  <si>
    <t>C:\BG\BridgeGroup\result\23.05.2023 17-43\ООО ВКУС ОН ТРЕЙД\УПД №SR110023909 от 06.05.23.pdf</t>
  </si>
  <si>
    <t xml:space="preserve">ООО "Олена"
</t>
  </si>
  <si>
    <t>4 304,16</t>
  </si>
  <si>
    <t>C:\BG\BridgeGroup\result\23.05.2023 17-43\ООО РУСИЧИ\УПД №УТР0166262 от 29.04.23.pdf</t>
  </si>
  <si>
    <t>C:\BG\BridgeGroup\result\23.05.2023 17-43\ООО РУСИЧИ\УПД №УТР0166219 от 29.04.23.pdf</t>
  </si>
  <si>
    <t>2 254,40</t>
  </si>
  <si>
    <t>C:\BG\BridgeGroup\result\23.05.2023 17-43\ООО КОМУС\УПД №28270572 от 28.04.23.pdf</t>
  </si>
  <si>
    <t>2 327,20</t>
  </si>
  <si>
    <t>C:\BG\BridgeGroup\result\23.05.2023 17-43\ООО КОМУС\УПД №28276625 от 28.04.23.pdf</t>
  </si>
  <si>
    <t>5 088,00</t>
  </si>
  <si>
    <t>C:\BG\BridgeGroup\result\23.05.2023 17-43\ООО КОМУС\УПД №28278897 от 28.04.23.pdf</t>
  </si>
  <si>
    <t>79 409,20</t>
  </si>
  <si>
    <t>C:\BG\BridgeGroup\result\23.05.2023 17-43\ООО СНС-Холдинг\УПД №7810_8174366811 от 02.05.23.pdf</t>
  </si>
  <si>
    <t>1 315,68</t>
  </si>
  <si>
    <t>C:\BG\BridgeGroup\result\23.05.2023 17-43\ООО НИЛА СПРИНГС\УПД №2023_40_03_0033879_06 от 30.04.23.pdf</t>
  </si>
  <si>
    <t>657,84</t>
  </si>
  <si>
    <t>C:\BG\BridgeGroup\result\23.05.2023 17-43\ООО НИЛА СПРИНГС\УПД №2023_40_03_0033893_06 от 30.04.23.pdf</t>
  </si>
  <si>
    <t>C:\BG\BridgeGroup\result\23.05.2023 17-43\ООО НИЛА СПРИНГС\УПД №2023_40_03_0032318_06 от 01.05.23.pdf</t>
  </si>
  <si>
    <t>3 720,00</t>
  </si>
  <si>
    <t>C:\BG\BridgeGroup\result\23.05.2023 17-43\ООО НИЛА СПРИНГС\УПД №2023_40_03_0032301_06 от 01.05.23.pdf</t>
  </si>
  <si>
    <t>ООО "Аркат - Сервис"</t>
  </si>
  <si>
    <t>50 460,00</t>
  </si>
  <si>
    <t>C:\BG\BridgeGroup\result\23.05.2023 17-43\ООО Аркат - Сервис\УПД №КО-315 от 28.04.23.pdf</t>
  </si>
  <si>
    <t>15 400,00</t>
  </si>
  <si>
    <t>C:\BG\BridgeGroup\result\23.05.2023 17-43\ООО Аркат - Сервис\УПД №КО-322 от 28.04.23.pdf</t>
  </si>
  <si>
    <t>C:\BG\BridgeGroup\result\23.05.2023 17-43\ООО Смартен\УПД №ОТ-3004-000021 от 30.04.23.pdf</t>
  </si>
  <si>
    <t>C:\BG\BridgeGroup\result\23.05.2023 17-43\ООО Смартен\УПД №ОТ-3004-000020 от 30.04.23.pdf</t>
  </si>
  <si>
    <t>C:\BG\BridgeGroup\result\23.05.2023 17-43\ООО РУСИЧИ\УПД №УТР0166260 от 29.04.23.pdf</t>
  </si>
  <si>
    <t>8 470,78</t>
  </si>
  <si>
    <t>C:\BG\BridgeGroup\result\23.05.2023 17-43\ООО ВКУС ОН ТРЕЙД\УПД №SR110022879 от 02.05.23.pdf</t>
  </si>
  <si>
    <t>C:\BG\BridgeGroup\result\23.05.2023 17-43\ООО СК\Акт №54 от 30.04.23.pdf</t>
  </si>
  <si>
    <t>C:\BG\BridgeGroup\result\23.05.2023 17-43\АО «ТК «МЕГАПОЛИС»\УПД №150395_780E от 03.05.23.pdf</t>
  </si>
  <si>
    <t>59 445,00</t>
  </si>
  <si>
    <t>C:\BG\BridgeGroup\result\23.05.2023 17-43\АО «ТК «МЕГАПОЛИС»\УПД №150397_780E от 03.05.23.pdf</t>
  </si>
  <si>
    <t>833,76</t>
  </si>
  <si>
    <t>C:\BG\BridgeGroup\result\23.05.2023 17-43\АО «ТК «МЕГАПОЛИС»\УПД №150399_780E от 03.05.23.pdf</t>
  </si>
  <si>
    <t>26 869,82</t>
  </si>
  <si>
    <t>C:\BG\BridgeGroup\result\23.05.2023 17-43\АО «ТК «МЕГАПОЛИС»\УПД №150398_780E от 03.05.23.pdf</t>
  </si>
  <si>
    <t>157 202,76</t>
  </si>
  <si>
    <t>C:\BG\BridgeGroup\result\23.05.2023 17-43\АО «ТК «МЕГАПОЛИС»\УПД №150396_780E от 03.05.23.pdf</t>
  </si>
  <si>
    <t>49 259,76</t>
  </si>
  <si>
    <t>C:\BG\BridgeGroup\result\23.05.2023 17-43\АО «ТК «МЕГАПОЛИС»\УПД №150400_780E от 03.05.23.pdf</t>
  </si>
  <si>
    <t>15 564,40</t>
  </si>
  <si>
    <t>C:\BG\BridgeGroup\result\23.05.2023 17-43\АО «ТК «МЕГАПОЛИС»\УПД №150401_780E от 03.05.23.pdf</t>
  </si>
  <si>
    <t>22 113,66</t>
  </si>
  <si>
    <t>C:\BG\BridgeGroup\result\23.05.2023 17-43\АО «ТК «МЕГАПОЛИС»\УПД №150402_780E от 03.05.23.pdf</t>
  </si>
  <si>
    <t>C:\BG\BridgeGroup\result\23.05.2023 17-43\АО «ТК «МЕГАПОЛИС»\УПД №150404_780E от 03.05.23.pdf</t>
  </si>
  <si>
    <t>448 991,16</t>
  </si>
  <si>
    <t>C:\BG\BridgeGroup\result\23.05.2023 17-43\АО «ТК «МЕГАПОЛИС»\УПД №150403_780E от 03.05.23.pdf</t>
  </si>
  <si>
    <t>C:\BG\BridgeGroup\result\23.05.2023 17-43\АО «ТК «МЕГАПОЛИС»\УПД №150406_780E от 03.05.23.pdf</t>
  </si>
  <si>
    <t>C:\BG\BridgeGroup\result\23.05.2023 17-43\АО «ТК «МЕГАПОЛИС»\УПД №150405_780E от 03.05.23.pdf</t>
  </si>
  <si>
    <t>38 333,64</t>
  </si>
  <si>
    <t>C:\BG\BridgeGroup\result\23.05.2023 17-43\АО «ТК «МЕГАПОЛИС»\УПД №150408_780E от 03.05.23.pdf</t>
  </si>
  <si>
    <t>670,46</t>
  </si>
  <si>
    <t>C:\BG\BridgeGroup\result\23.05.2023 17-43\АО «ТК «МЕГАПОЛИС»\УПД №150409_780E от 03.05.23.pdf</t>
  </si>
  <si>
    <t>1 402,92</t>
  </si>
  <si>
    <t>C:\BG\BridgeGroup\result\23.05.2023 17-43\АО «ТК «МЕГАПОЛИС»\УПД №150407_780E от 03.05.23.pdf</t>
  </si>
  <si>
    <t>289 145,04</t>
  </si>
  <si>
    <t>C:\BG\BridgeGroup\result\23.05.2023 17-43\АО «ТК «МЕГАПОЛИС»\УПД №150410_780E от 03.05.23.pdf</t>
  </si>
  <si>
    <t>C:\BG\BridgeGroup\result\23.05.2023 17-43\АО «ТК «МЕГАПОЛИС»\УПД №150412_780E от 03.05.23.pdf</t>
  </si>
  <si>
    <t>94 445,28</t>
  </si>
  <si>
    <t>C:\BG\BridgeGroup\result\23.05.2023 17-43\АО «ТК «МЕГАПОЛИС»\УПД №150411_780E от 03.05.23.pdf</t>
  </si>
  <si>
    <t>167 007,24</t>
  </si>
  <si>
    <t>C:\BG\BridgeGroup\result\23.05.2023 17-43\АО «ТК «МЕГАПОЛИС»\УПД №150413_780E от 03.05.23.pdf</t>
  </si>
  <si>
    <t>51 852,24</t>
  </si>
  <si>
    <t>C:\BG\BridgeGroup\result\23.05.2023 17-43\АО «ТК «МЕГАПОЛИС»\УПД №150414_780E от 03.05.23.pdf</t>
  </si>
  <si>
    <t>335 253,12</t>
  </si>
  <si>
    <t>C:\BG\BridgeGroup\result\23.05.2023 17-43\АО «ТК «МЕГАПОЛИС»\УПД №150415_780E от 03.05.23.pdf</t>
  </si>
  <si>
    <t>C:\BG\BridgeGroup\result\23.05.2023 17-43\ООО ЭНЕРГИЯ\УПД №UT-107026 от 03.05.23.pdf</t>
  </si>
  <si>
    <t>1 085,48</t>
  </si>
  <si>
    <t>C:\BG\BridgeGroup\result\23.05.2023 17-43\ООО КОМУС\УПД №28285958 от 02.05.23.pdf</t>
  </si>
  <si>
    <t>36 000,13</t>
  </si>
  <si>
    <t>C:\BG\BridgeGroup\result\23.05.2023 17-43\ООО ЭНЕРГИЯ\УПД №UT-106971 от 03.05.23.pdf</t>
  </si>
  <si>
    <t>247 123,49</t>
  </si>
  <si>
    <t>C:\BG\BridgeGroup\result\23.05.2023 17-43\ООО ЭНЕРГИЯ\УПД №UT-107028 от 03.05.23.pdf</t>
  </si>
  <si>
    <t>10 117,02</t>
  </si>
  <si>
    <t>C:\BG\BridgeGroup\result\23.05.2023 17-43\ООО КОМУС\УПД №28286152 от 02.05.23.pdf</t>
  </si>
  <si>
    <t>12 190,04</t>
  </si>
  <si>
    <t>C:\BG\BridgeGroup\result\23.05.2023 17-43\ООО ЭНЕРГИЯ\УПД №UT-106970 от 03.05.23.pdf</t>
  </si>
  <si>
    <t>89 104,33</t>
  </si>
  <si>
    <t>C:\BG\BridgeGroup\result\23.05.2023 17-43\ООО ЭНЕРГИЯ\УПД №UT-107027 от 03.05.23.pdf</t>
  </si>
  <si>
    <t>94 415,77</t>
  </si>
  <si>
    <t>C:\BG\BridgeGroup\result\23.05.2023 17-43\ООО ВКУС ОН ТРЕЙД\УПД №SR110023049 от 03.05.23.pdf</t>
  </si>
  <si>
    <t>9 570,40</t>
  </si>
  <si>
    <t>C:\BG\BridgeGroup\result\23.05.2023 17-43\ООО ВКУС ОН ТРЕЙД\УПД №SR110023038 от 03.05.23.pdf</t>
  </si>
  <si>
    <t>C:\BG\BridgeGroup\result\23.05.2023 17-43\ООО БРИДЖ ГРУПП\УПД №861 от 30.04.23.pdf</t>
  </si>
  <si>
    <t>C:\BG\BridgeGroup\result\23.05.2023 17-43\ООО БРИДЖ ГРУПП\УПД №895 от 30.04.23.pdf</t>
  </si>
  <si>
    <t>C:\BG\BridgeGroup\result\23.05.2023 17-43\ООО БРИДЖ ГРУПП\УПД №922 от 30.04.23.pdf</t>
  </si>
  <si>
    <t>C:\BG\BridgeGroup\result\23.05.2023 17-43\ООО БРИДЖ ГРУПП\УПД №966 от 30.04.23.pdf</t>
  </si>
  <si>
    <t>C:\BG\BridgeGroup\result\23.05.2023 17-43\ООО НИЛА СПРИНГС\УПД №2023_40_03_0034319_06 от 02.05.23.pdf</t>
  </si>
  <si>
    <t>C:\BG\BridgeGroup\result\23.05.2023 17-43\ООО НИЛА СПРИНГС\УПД №2023_40_03_0034296_06 от 02.05.23.pdf</t>
  </si>
  <si>
    <t>C:\BG\BridgeGroup\result\23.05.2023 17-43\ООО НИЛА СПРИНГС\УПД №2023_40_03_0034291_06 от 02.05.23.pdf</t>
  </si>
  <si>
    <t>11 521,80</t>
  </si>
  <si>
    <t>C:\BG\BridgeGroup\result\23.05.2023 17-43\ООО ТД ЛФБ\УПД №28083 от 03.05.23.pdf</t>
  </si>
  <si>
    <t>5 816,16</t>
  </si>
  <si>
    <t>C:\BG\BridgeGroup\result\23.05.2023 17-43\ООО ТД ЛФБ\УПД №28065 от 03.05.23.pdf</t>
  </si>
  <si>
    <t>55 091,18</t>
  </si>
  <si>
    <t>C:\BG\BridgeGroup\result\23.05.2023 17-43\ООО ТД ЛФБ\УПД №28063 от 03.05.23.pdf</t>
  </si>
  <si>
    <t>6 288,92</t>
  </si>
  <si>
    <t>C:\BG\BridgeGroup\result\23.05.2023 17-43\ООО ТД ЛФБ\УПД №27882 от 02.05.23.pdf</t>
  </si>
  <si>
    <t>4 735,84</t>
  </si>
  <si>
    <t>C:\BG\BridgeGroup\result\23.05.2023 17-43\ООО ТД ЛФБ\УПД №27881 от 02.05.23.pdf</t>
  </si>
  <si>
    <t>5 057,28</t>
  </si>
  <si>
    <t>C:\BG\BridgeGroup\result\23.05.2023 17-43\ООО ТД ЛФБ\УПД №27871 от 02.05.23.pdf</t>
  </si>
  <si>
    <t>2 523,60</t>
  </si>
  <si>
    <t>C:\BG\BridgeGroup\result\23.05.2023 17-43\ООО ТД ЛФБ\УПД №27822 от 02.05.23.pdf</t>
  </si>
  <si>
    <t>5 277,96</t>
  </si>
  <si>
    <t>C:\BG\BridgeGroup\result\23.05.2023 17-43\ООО ТД ЛФБ\УПД №27820 от 02.05.23.pdf</t>
  </si>
  <si>
    <t>11 470,12</t>
  </si>
  <si>
    <t>C:\BG\BridgeGroup\result\23.05.2023 17-43\ООО ТД ЛФБ\УПД №27743 от 02.05.23.pdf</t>
  </si>
  <si>
    <t>7 017,34</t>
  </si>
  <si>
    <t>C:\BG\BridgeGroup\result\23.05.2023 17-43\ООО ТД ЛФБ\УПД №27719 от 02.05.23.pdf</t>
  </si>
  <si>
    <t>3 502,54</t>
  </si>
  <si>
    <t>C:\BG\BridgeGroup\result\23.05.2023 17-43\ООО ТД ЛФБ\УПД №27712 от 02.05.23.pdf</t>
  </si>
  <si>
    <t>C:\BG\BridgeGroup\result\23.05.2023 17-43\ООО ТД ЛФБ\УПД №27702 от 02.05.23.pdf</t>
  </si>
  <si>
    <t>7 134,12</t>
  </si>
  <si>
    <t>C:\BG\BridgeGroup\result\23.05.2023 17-43\ООО ТД ЛФБ\УПД №27664 от 02.05.23.pdf</t>
  </si>
  <si>
    <t>20 334,96</t>
  </si>
  <si>
    <t>C:\BG\BridgeGroup\result\23.05.2023 17-43\ООО Полезные продукты\УПД №АРРО0503_08 от 03.05.23.pdf</t>
  </si>
  <si>
    <t>6 571,20</t>
  </si>
  <si>
    <t>C:\BG\BridgeGroup\result\23.05.2023 17-43\ООО Полезные продукты\УПД №АРРО0503_10 от 03.05.23.pdf</t>
  </si>
  <si>
    <t>C:\BG\BridgeGroup\result\23.05.2023 17-43\ООО РИТЕЙЛ ПЕРСОНАЛ\УПД №106 от 30.04.23.pdf</t>
  </si>
  <si>
    <t>2 442,96</t>
  </si>
  <si>
    <t>C:\BG\BridgeGroup\result\23.05.2023 17-43\ООО Полезные продукты\УПД №АРРО0503_12 от 03.05.23.pdf</t>
  </si>
  <si>
    <t>19 882,37</t>
  </si>
  <si>
    <t>C:\BG\BridgeGroup\result\23.05.2023 17-43\ООО Смартен\УПД №УТ-405-000092 от 04.05.23.pdf</t>
  </si>
  <si>
    <t>26 418,52</t>
  </si>
  <si>
    <t>C:\BG\BridgeGroup\result\23.05.2023 17-43\ООО Смартен\УПД №УТ-405-000086 от 04.05.23.pdf</t>
  </si>
  <si>
    <t>16 583,75</t>
  </si>
  <si>
    <t>C:\BG\BridgeGroup\result\23.05.2023 17-43\ООО Смартен\УПД №УТ-405-000085 от 04.05.23.pdf</t>
  </si>
  <si>
    <t>81 045,55</t>
  </si>
  <si>
    <t>C:\BG\BridgeGroup\result\23.05.2023 17-43\ООО Смартен\УПД №УТ-405-000084 от 04.05.23.pdf</t>
  </si>
  <si>
    <t>81 942,22</t>
  </si>
  <si>
    <t>C:\BG\BridgeGroup\result\23.05.2023 17-43\ООО Смартен\УПД №УТ-405-000080 от 04.05.23.pdf</t>
  </si>
  <si>
    <t>C:\BG\BridgeGroup\result\23.05.2023 17-43\ООО Смартен\УПД №УТ-405-000070 от 04.05.23.pdf</t>
  </si>
  <si>
    <t>305 928,00</t>
  </si>
  <si>
    <t>C:\BG\BridgeGroup\result\23.05.2023 17-43\ООО ПС СОЛЮШН\УПД №161 от 30.04.23.pdf</t>
  </si>
  <si>
    <t>C:\BG\BridgeGroup\result\23.05.2023 17-43\АО «ТК «МЕГАПОЛИС»\УПД №152618_780E от 04.05.23.pdf</t>
  </si>
  <si>
    <t>10 908,59</t>
  </si>
  <si>
    <t>C:\BG\BridgeGroup\result\23.05.2023 17-43\АО «ТК «МЕГАПОЛИС»\УПД №152617_780E от 04.05.23.pdf</t>
  </si>
  <si>
    <t>18 148,32</t>
  </si>
  <si>
    <t>C:\BG\BridgeGroup\result\23.05.2023 17-43\АО «ТК «МЕГАПОЛИС»\УПД №152640_780E от 04.05.23.pdf</t>
  </si>
  <si>
    <t>111 417,12</t>
  </si>
  <si>
    <t>C:\BG\BridgeGroup\result\23.05.2023 17-43\АО «ТК «МЕГАПОЛИС»\УПД №152641_780E от 04.05.23.pdf</t>
  </si>
  <si>
    <t>13 965,64</t>
  </si>
  <si>
    <t>C:\BG\BridgeGroup\result\23.05.2023 17-43\ООО ВКУС ОН ТРЕЙД\УПД №SR110023382 от 04.05.23.pdf</t>
  </si>
  <si>
    <t>C:\BG\BridgeGroup\result\23.05.2023 17-43\ООО ВКУС ОН ТРЕЙД\УПД №SR110023392 от 04.05.23.pdf</t>
  </si>
  <si>
    <t>63 929,20</t>
  </si>
  <si>
    <t>C:\BG\BridgeGroup\result\23.05.2023 17-43\ООО СНС-Холдинг\УПД №7810_8174463816 от 04.05.23.pdf</t>
  </si>
  <si>
    <t>C:\BG\BridgeGroup\result\23.05.2023 17-43\ООО НИЛА СПРИНГС\УПД №2023_40_03_0034913_06 от 03.05.23.pdf</t>
  </si>
  <si>
    <t>9 016,32</t>
  </si>
  <si>
    <t>C:\BG\BridgeGroup\result\23.05.2023 17-43\ООО Полезные продукты\УПД №АРРО0504_01 от 04.05.23.pdf</t>
  </si>
  <si>
    <t>6 501,68</t>
  </si>
  <si>
    <t>C:\BG\BridgeGroup\result\23.05.2023 17-43\ООО ЭНЕРГИЯ\УПД №UT-109501 от 05.05.23.pdf</t>
  </si>
  <si>
    <t>8 130,73</t>
  </si>
  <si>
    <t>C:\BG\BridgeGroup\result\23.05.2023 17-43\ООО ЭНЕРГИЯ\УПД №UT-109506 от 05.05.23.pdf</t>
  </si>
  <si>
    <t>40 138,98</t>
  </si>
  <si>
    <t>C:\BG\BridgeGroup\result\23.05.2023 17-43\ООО ЭНЕРГИЯ\УПД №UT-109658 от 05.05.23.pdf</t>
  </si>
  <si>
    <t>6 329,95</t>
  </si>
  <si>
    <t>C:\BG\BridgeGroup\result\23.05.2023 17-43\ООО ЭНЕРГИЯ\УПД №UT-109502 от 05.05.23.pdf</t>
  </si>
  <si>
    <t>4 708,09</t>
  </si>
  <si>
    <t>C:\BG\BridgeGroup\result\23.05.2023 17-43\ООО ЭНЕРГИЯ\УПД №UT-109505 от 05.05.23.pdf</t>
  </si>
  <si>
    <t>1 551,03</t>
  </si>
  <si>
    <t>C:\BG\BridgeGroup\result\23.05.2023 17-43\ООО ЭНЕРГИЯ\УПД №UT-109507 от 05.05.23.pdf</t>
  </si>
  <si>
    <t>5 670,00</t>
  </si>
  <si>
    <t>C:\BG\BridgeGroup\result\23.05.2023 17-43\ООО ЭНЕРГИЯ\УПД №UT-109534 от 05.05.23.pdf</t>
  </si>
  <si>
    <t>45 055,72</t>
  </si>
  <si>
    <t>C:\BG\BridgeGroup\result\23.05.2023 17-43\ООО ЭНЕРГИЯ\УПД №UT-109662 от 05.05.23.pdf</t>
  </si>
  <si>
    <t>30 061,80</t>
  </si>
  <si>
    <t>C:\BG\BridgeGroup\result\23.05.2023 17-43\ООО ЭНЕРГИЯ\УПД №UT-109664 от 05.05.23.pdf</t>
  </si>
  <si>
    <t>1 213,78</t>
  </si>
  <si>
    <t>C:\BG\BridgeGroup\result\23.05.2023 17-43\ООО ЭНЕРГИЯ\УПД №UT-109504 от 05.05.23.pdf</t>
  </si>
  <si>
    <t>29 184,03</t>
  </si>
  <si>
    <t>C:\BG\BridgeGroup\result\23.05.2023 17-43\ООО ЭНЕРГИЯ\УПД №UT-109659 от 05.05.23.pdf</t>
  </si>
  <si>
    <t>36 343,29</t>
  </si>
  <si>
    <t>C:\BG\BridgeGroup\result\23.05.2023 17-43\ООО ЭНЕРГИЯ\УПД №UT-109661 от 05.05.23.pdf</t>
  </si>
  <si>
    <t>81 767,23</t>
  </si>
  <si>
    <t>C:\BG\BridgeGroup\result\23.05.2023 17-43\ООО ЭНЕРГИЯ\УПД №UT-109657 от 05.05.23.pdf</t>
  </si>
  <si>
    <t>C:\BG\BridgeGroup\result\23.05.2023 17-43\ООО НИЛА СПРИНГС\УПД №2023_40_03_0035258_06 от 04.05.23.pdf</t>
  </si>
  <si>
    <t>129 397,12</t>
  </si>
  <si>
    <t>C:\BG\BridgeGroup\result\23.05.2023 17-43\ООО СНС-Холдинг\УПД №7810_8174509280 от 05.05.23.pdf</t>
  </si>
  <si>
    <t>9 755,01</t>
  </si>
  <si>
    <t>C:\BG\BridgeGroup\result\23.05.2023 17-43\ООО ПепсиКо Холдингс\УПД №30_00160138-23 от 05.05.23.pdf</t>
  </si>
  <si>
    <t>C:\BG\BridgeGroup\result\23.05.2023 17-43\ООО НИЛА СПРИНГС\УПД №2023_40_03_0035369_06 от 01.05.23.pdf</t>
  </si>
  <si>
    <t>219 931,82</t>
  </si>
  <si>
    <t>C:\BG\BridgeGroup\result\23.05.2023 17-43\ООО СНС-Холдинг\УПД №7810_8174513991 от 05.05.23.pdf</t>
  </si>
  <si>
    <t>2 892,53</t>
  </si>
  <si>
    <t>C:\BG\BridgeGroup\result\23.05.2023 17-43\ООО ЭНЕРГИЯ\УПД №UT-109503 от 05.05.23.pdf</t>
  </si>
  <si>
    <t>19 131,84</t>
  </si>
  <si>
    <t>C:\BG\BridgeGroup\result\23.05.2023 17-43\ООО СНС-Холдинг\УПД №7810_8174513680 от 05.05.23.pdf</t>
  </si>
  <si>
    <t>17 860,00</t>
  </si>
  <si>
    <t>C:\BG\BridgeGroup\result\23.05.2023 17-43\ООО КОМУС\УПД №28366597 от 04.05.23.pdf</t>
  </si>
  <si>
    <t>2 361,54</t>
  </si>
  <si>
    <t>C:\BG\BridgeGroup\result\23.05.2023 17-43\ООО КОМУС\УПД №28372530 от 04.05.23.pdf</t>
  </si>
  <si>
    <t>4 079,20</t>
  </si>
  <si>
    <t>C:\BG\BridgeGroup\result\23.05.2023 17-43\ООО КОМУС\УПД №28373013 от 04.05.23.pdf</t>
  </si>
  <si>
    <t>137 913,35</t>
  </si>
  <si>
    <t>C:\BG\BridgeGroup\result\23.05.2023 17-43\ООО СНС-Холдинг\УПД №7810_8174517721 от 05.05.23.pdf</t>
  </si>
  <si>
    <t>C:\BG\BridgeGroup\result\23.05.2023 17-43\ООО Смартен\УПД №УТ-605-000109 от 06.05.23.pdf</t>
  </si>
  <si>
    <t>42 624,24</t>
  </si>
  <si>
    <t>C:\BG\BridgeGroup\result\23.05.2023 17-43\ООО Смартен\УПД №УТ-605-000108 от 06.05.23.pdf</t>
  </si>
  <si>
    <t>15 294,50</t>
  </si>
  <si>
    <t>C:\BG\BridgeGroup\result\23.05.2023 17-43\ООО Смартен\УПД №УТ-605-000106 от 06.05.23.pdf</t>
  </si>
  <si>
    <t>16 224,61</t>
  </si>
  <si>
    <t>C:\BG\BridgeGroup\result\23.05.2023 17-43\ООО Смартен\УПД №УТ-605-000105 от 06.05.23.pdf</t>
  </si>
  <si>
    <t>1 192,32</t>
  </si>
  <si>
    <t>C:\BG\BridgeGroup\result\23.05.2023 17-43\ООО Смартен\УПД №УТ-605-000100 от 06.05.23.pdf</t>
  </si>
  <si>
    <t>55 928,45</t>
  </si>
  <si>
    <t>C:\BG\BridgeGroup\result\23.05.2023 17-43\ООО ВКУС ОН ТРЕЙД\УПД №SR110024014 от 06.05.23.pdf</t>
  </si>
  <si>
    <t>45 110,15</t>
  </si>
  <si>
    <t>C:\BG\BridgeGroup\result\23.05.2023 17-43\ООО ВКУС ОН ТРЕЙД\УПД №SR110024013 от 06.05.23.pdf</t>
  </si>
  <si>
    <t xml:space="preserve">ООО "Пектен"
</t>
  </si>
  <si>
    <t>3 740,00</t>
  </si>
  <si>
    <t>C:\BG\BridgeGroup\result\23.05.2023 17-43\ООО ИНТЕРНЕТ РЕШЕНИЯ\УПД №0122999626-0006_3004 от 30.04.23.pdf</t>
  </si>
  <si>
    <t>6 325,32</t>
  </si>
  <si>
    <t>C:\BG\BridgeGroup\result\23.05.2023 17-43\ООО РУСИЧИ\УПД №УТР0166305 от 01.05.23.pdf</t>
  </si>
  <si>
    <t>13 503,47</t>
  </si>
  <si>
    <t>C:\BG\BridgeGroup\result\23.05.2023 17-43\ООО ВКУС ОН ТРЕЙД\УПД №SR110022659 от 01.05.23.pdf</t>
  </si>
  <si>
    <t>5 476,72</t>
  </si>
  <si>
    <t>C:\BG\BridgeGroup\result\23.05.2023 17-43\ООО ВКУС ОН ТРЕЙД\УПД №SR110022651 от 01.05.23.pdf</t>
  </si>
  <si>
    <t>8 510,59</t>
  </si>
  <si>
    <t>C:\BG\BridgeGroup\result\23.05.2023 17-43\ООО Полезные продукты\УПД №БАШМ0501_01 от 01.05.23.pdf</t>
  </si>
  <si>
    <t>4 904,16</t>
  </si>
  <si>
    <t>C:\BG\BridgeGroup\result\23.05.2023 17-43\ООО КОМУС\УПД №28258304 от 28.04.23.pdf</t>
  </si>
  <si>
    <t>2 146,12</t>
  </si>
  <si>
    <t>C:\BG\BridgeGroup\result\23.05.2023 17-43\ООО КОМУС\УПД №28262596 от 28.04.23.pdf</t>
  </si>
  <si>
    <t>133 299,48</t>
  </si>
  <si>
    <t>C:\BG\BridgeGroup\result\23.05.2023 17-43\АО «ТК «МЕГАПОЛИС»\УПД №148429_780E от 02.05.23.pdf</t>
  </si>
  <si>
    <t>23 518,68</t>
  </si>
  <si>
    <t>C:\BG\BridgeGroup\result\23.05.2023 17-43\АО «ТК «МЕГАПОЛИС»\УПД №148430_780E от 02.05.23.pdf</t>
  </si>
  <si>
    <t>C:\BG\BridgeGroup\result\23.05.2023 17-43\АО «ТК «МЕГАПОЛИС»\УПД №148431_780E от 02.05.23.pdf</t>
  </si>
  <si>
    <t>216 087,36</t>
  </si>
  <si>
    <t>C:\BG\BridgeGroup\result\23.05.2023 17-43\АО «ТК «МЕГАПОЛИС»\УПД №148619_780E от 02.05.23.pdf</t>
  </si>
  <si>
    <t>C:\BG\BridgeGroup\result\23.05.2023 17-43\АО «ТК «МЕГАПОЛИС»\УПД №148620_780E от 02.05.23.pdf</t>
  </si>
  <si>
    <t>72 963,60</t>
  </si>
  <si>
    <t>C:\BG\BridgeGroup\result\23.05.2023 17-43\АО «ТК «МЕГАПОЛИС»\УПД №148621_780E от 02.05.23.pdf</t>
  </si>
  <si>
    <t>933,00</t>
  </si>
  <si>
    <t>C:\BG\BridgeGroup\result\23.05.2023 17-43\АО «ТК «МЕГАПОЛИС»\УПД №148622_780E от 02.05.23.pdf</t>
  </si>
  <si>
    <t>31 296,60</t>
  </si>
  <si>
    <t>C:\BG\BridgeGroup\result\23.05.2023 17-43\АО «ТК «МЕГАПОЛИС»\УПД №148775_780E от 02.05.23.pdf</t>
  </si>
  <si>
    <t>20 240,36</t>
  </si>
  <si>
    <t>C:\BG\BridgeGroup\result\23.05.2023 17-43\АО «ТК «МЕГАПОЛИС»\УПД №148776_780E от 02.05.23.pdf</t>
  </si>
  <si>
    <t>208 302,96</t>
  </si>
  <si>
    <t>C:\BG\BridgeGroup\result\23.05.2023 17-43\АО «ТК «МЕГАПОЛИС»\УПД №148774_780E от 02.05.23.pdf</t>
  </si>
  <si>
    <t>C:\BG\BridgeGroup\result\23.05.2023 17-43\ООО ЭНЕРГИЯ\УПД №UT-105218 от 02.05.23.pdf</t>
  </si>
  <si>
    <t>87 461,94</t>
  </si>
  <si>
    <t>C:\BG\BridgeGroup\result\23.05.2023 17-43\ООО ЭНЕРГИЯ\УПД №UT-105222 от 02.05.23.pdf</t>
  </si>
  <si>
    <t>5 988,29</t>
  </si>
  <si>
    <t>C:\BG\BridgeGroup\result\23.05.2023 17-43\ООО ЭНЕРГИЯ\УПД №UT-105277 от 02.05.23.pdf</t>
  </si>
  <si>
    <t>25 690,46</t>
  </si>
  <si>
    <t>C:\BG\BridgeGroup\result\23.05.2023 17-43\ООО ЭНЕРГИЯ\УПД №UT-105305 от 02.05.23.pdf</t>
  </si>
  <si>
    <t>9 505,95</t>
  </si>
  <si>
    <t>C:\BG\BridgeGroup\result\23.05.2023 17-43\ООО ВКУС ОН ТРЕЙД\УПД №SR110022825 от 02.05.23.pdf</t>
  </si>
  <si>
    <t>24 369,11</t>
  </si>
  <si>
    <t>C:\BG\BridgeGroup\result\23.05.2023 17-43\ООО Смартен\УПД №УТ-2804-000104 от 28.04.23.pdf</t>
  </si>
  <si>
    <t>12 218,35</t>
  </si>
  <si>
    <t>C:\BG\BridgeGroup\result\23.05.2023 17-43\ООО Смартен\УПД №УТ-2804-000102 от 28.04.23.pdf</t>
  </si>
  <si>
    <t>43 046,92</t>
  </si>
  <si>
    <t>C:\BG\BridgeGroup\result\23.05.2023 17-43\ООО Смартен\УПД №УТ-2804-000101 от 28.04.23.pdf</t>
  </si>
  <si>
    <t>21 330,73</t>
  </si>
  <si>
    <t>C:\BG\BridgeGroup\result\23.05.2023 17-43\ООО Смартен\УПД №УТ-2804-000099 от 28.04.23.pdf</t>
  </si>
  <si>
    <t>2 500,00</t>
  </si>
  <si>
    <t>C:\BG\BridgeGroup\result\23.05.2023 17-43\ООО Смартен\УПД №УТ-2804-000096 от 28.04.23.pdf</t>
  </si>
  <si>
    <t>16 946,50</t>
  </si>
  <si>
    <t>C:\BG\BridgeGroup\result\23.05.2023 17-43\ООО Смартен\УПД №УТ-2804-000088 от 28.04.23.pdf</t>
  </si>
  <si>
    <t>C:\BG\BridgeGroup\result\23.05.2023 17-43\ООО Смартен\УПД №УТ-2804-000087 от 28.04.23.pdf</t>
  </si>
  <si>
    <t>32 357,93</t>
  </si>
  <si>
    <t>C:\BG\BridgeGroup\result\23.05.2023 17-43\ООО Смартен\УПД №УТ-2804-000060 от 28.04.23.pdf</t>
  </si>
  <si>
    <t>C:\BG\BridgeGroup\result\23.05.2023 17-43\ООО НИЛА СПРИНГС\УПД №2023_40_03_0033918_06 от 30.04.23.pdf</t>
  </si>
  <si>
    <t>C:\BG\BridgeGroup\result\23.05.2023 17-43\ООО НИЛА СПРИНГС\УПД №2023_40_03_0033846_06 от 30.04.23.pdf</t>
  </si>
  <si>
    <t>C:\BG\BridgeGroup\result\23.05.2023 17-43\ООО НИЛА СПРИНГС\УПД №2023_40_03_0033611_06 от 30.04.23.pdf</t>
  </si>
  <si>
    <t>C:\BG\BridgeGroup\result\23.05.2023 17-43\ООО НИЛА СПРИНГС\УПД №2023_40_03_0033579_06 от 30.04.23.pdf</t>
  </si>
  <si>
    <t>C:\BG\BridgeGroup\result\23.05.2023 17-43\ООО НИЛА СПРИНГС\УПД №2023_40_03_0033618_06 от 30.04.23.pdf</t>
  </si>
  <si>
    <t>C:\BG\BridgeGroup\result\23.05.2023 17-43\ООО НИЛА СПРИНГС\УПД №2023_40_03_0033610_06 от 30.04.23.pdf</t>
  </si>
  <si>
    <t>C:\BG\BridgeGroup\result\23.05.2023 17-43\ООО НИЛА СПРИНГС\УПД №2023_40_03_0033193_06 от 30.04.23.pdf</t>
  </si>
  <si>
    <t>C:\BG\BridgeGroup\result\23.05.2023 17-43\ООО НИЛА СПРИНГС\УПД №2023_40_03_0033192_06 от 30.04.23.pdf</t>
  </si>
  <si>
    <t>C:\BG\BridgeGroup\result\23.05.2023 17-43\ООО НИЛА СПРИНГС\УПД №2023_40_03_0033191_06 от 30.04.23.pdf</t>
  </si>
  <si>
    <t>C:\BG\BridgeGroup\result\23.05.2023 17-43\ООО НИЛА СПРИНГС\УПД №2023_40_03_0033190_06 от 30.04.23.pdf</t>
  </si>
  <si>
    <t>C:\BG\BridgeGroup\result\23.05.2023 17-43\ООО НИЛА СПРИНГС\УПД №2023_40_03_0032326_06 от 01.05.23.pdf</t>
  </si>
  <si>
    <t>6 000,00</t>
  </si>
  <si>
    <t>C:\BG\BridgeGroup\result\23.05.2023 17-43\ООО Аркат - Сервис\УПД №КО-316 от 28.04.23.pdf</t>
  </si>
  <si>
    <t>9 764,47</t>
  </si>
  <si>
    <t>C:\BG\BridgeGroup\result\23.05.2023 17-43\ООО Смартен\УПД №УТ-305-000053 от 03.05.23.pdf</t>
  </si>
  <si>
    <t>43 417,01</t>
  </si>
  <si>
    <t>C:\BG\BridgeGroup\result\23.05.2023 17-43\ООО Смартен\УПД №УТ-305-000050 от 03.05.23.pdf</t>
  </si>
  <si>
    <t>20 999,91</t>
  </si>
  <si>
    <t>C:\BG\BridgeGroup\result\23.05.2023 17-43\ООО Смартен\УПД №УТ-305-000047 от 03.05.23.pdf</t>
  </si>
  <si>
    <t>33 103,20</t>
  </si>
  <si>
    <t>C:\BG\BridgeGroup\result\23.05.2023 17-43\ООО Смартен\УПД №УТ-305-000042 от 03.05.23.pdf</t>
  </si>
  <si>
    <t>80 448,35</t>
  </si>
  <si>
    <t>C:\BG\BridgeGroup\result\23.05.2023 17-43\ООО Смартен\УПД №УТ-305-000036 от 03.05.23.pdf</t>
  </si>
  <si>
    <t>40 000,00</t>
  </si>
  <si>
    <t>C:\BG\BridgeGroup\result\23.05.2023 17-43\ООО РИТЕЙЛ ПЕРСОНАЛ\УПД №103 от 02.05.23.pdf</t>
  </si>
  <si>
    <t>8 380,87</t>
  </si>
  <si>
    <t>C:\BG\BridgeGroup\result\23.05.2023 17-43\ООО Полезные продукты\УПД №БАШМ0502_15 от 02.05.23.pdf</t>
  </si>
  <si>
    <t>C:\BG\BridgeGroup\result\23.05.2023 17-43\ООО СК\Акт №55 от 30.04.23.pdf</t>
  </si>
  <si>
    <t>193,39</t>
  </si>
  <si>
    <t>C:\BG\BridgeGroup\result\23.05.2023 17-43\АО «ТК «МЕГАПОЛИС»\УПД №150416_780E от 03.05.23.pdf</t>
  </si>
  <si>
    <t>31 741,56</t>
  </si>
  <si>
    <t>C:\BG\BridgeGroup\result\23.05.2023 17-43\АО «ТК «МЕГАПОЛИС»\УПД №150417_780E от 03.05.23.pdf</t>
  </si>
  <si>
    <t>C:\BG\BridgeGroup\result\23.05.2023 17-43\АО «ТК «МЕГАПОЛИС»\УПД №150419_780E от 03.05.23.pdf</t>
  </si>
  <si>
    <t>C:\BG\BridgeGroup\result\23.05.2023 17-43\АО «ТК «МЕГАПОЛИС»\УПД №150418_780E от 03.05.23.pdf</t>
  </si>
  <si>
    <t>14 740,94</t>
  </si>
  <si>
    <t>C:\BG\BridgeGroup\result\23.05.2023 17-43\ООО ЭНЕРГИЯ\УПД №UT-106632 от 03.05.23.pdf</t>
  </si>
  <si>
    <t>6 961,84</t>
  </si>
  <si>
    <t>C:\BG\BridgeGroup\result\23.05.2023 17-43\ООО ЭНЕРГИЯ\УПД №UT-106834 от 03.05.23.pdf</t>
  </si>
  <si>
    <t>130 731,68</t>
  </si>
  <si>
    <t>C:\BG\BridgeGroup\result\23.05.2023 17-43\ООО ЭНЕРГИЯ\УПД №UT-106753 от 03.05.23.pdf</t>
  </si>
  <si>
    <t>12 234,42</t>
  </si>
  <si>
    <t>C:\BG\BridgeGroup\result\23.05.2023 17-43\ООО ЭНЕРГИЯ\УПД №UT-106870 от 03.05.23.pdf</t>
  </si>
  <si>
    <t>39 959,86</t>
  </si>
  <si>
    <t>C:\BG\BridgeGroup\result\23.05.2023 17-43\ООО ЭНЕРГИЯ\УПД №UT-106896 от 03.05.23.pdf</t>
  </si>
  <si>
    <t>C:\BG\BridgeGroup\result\23.05.2023 17-43\ООО ВКУС ОН ТРЕЙД\УПД №SR110023022 от 03.05.23.pdf</t>
  </si>
  <si>
    <t>8 274,24</t>
  </si>
  <si>
    <t>C:\BG\BridgeGroup\result\23.05.2023 17-43\ООО ПепсиКо Холдингс\УПД №30_00155703-23 от 03.05.23.pdf</t>
  </si>
  <si>
    <t>8 281,21</t>
  </si>
  <si>
    <t>C:\BG\BridgeGroup\result\23.05.2023 17-43\ООО ПепсиКо Холдингс\УПД №30_00155922-23 от 03.05.23.pdf</t>
  </si>
  <si>
    <t>21 385,00</t>
  </si>
  <si>
    <t>C:\BG\BridgeGroup\result\23.05.2023 17-43\ООО ВКУС ОН ТРЕЙД\УПД №SR110023069 от 03.05.23.pdf</t>
  </si>
  <si>
    <t>63 474,20</t>
  </si>
  <si>
    <t>C:\BG\BridgeGroup\result\23.05.2023 17-43\ООО СНС-Холдинг\УПД №7810_8174420134 от 03.05.23.pdf</t>
  </si>
  <si>
    <t>66 140,96</t>
  </si>
  <si>
    <t>C:\BG\BridgeGroup\result\23.05.2023 17-43\ООО СНС-Холдинг\УПД №7810_8174420409 от 03.05.23.pdf</t>
  </si>
  <si>
    <t>C:\BG\BridgeGroup\result\23.05.2023 17-43\ООО БРИДЖ ГРУПП\УПД №863 от 30.04.23.pdf</t>
  </si>
  <si>
    <t>C:\BG\BridgeGroup\result\23.05.2023 17-43\ООО БРИДЖ ГРУПП\УПД №896 от 30.04.23.pdf</t>
  </si>
  <si>
    <t>C:\BG\BridgeGroup\result\23.05.2023 17-43\ООО БРИДЖ ГРУПП\УПД №923 от 30.04.23.pdf</t>
  </si>
  <si>
    <t>C:\BG\BridgeGroup\result\23.05.2023 17-43\ООО БРИДЖ ГРУПП\УПД №967 от 30.04.23.pdf</t>
  </si>
  <si>
    <t>C:\BG\BridgeGroup\result\23.05.2023 17-43\ООО Маркон\УПД №2278 от 02.05.23.pdf</t>
  </si>
  <si>
    <t>75 644,54</t>
  </si>
  <si>
    <t>C:\BG\BridgeGroup\result\23.05.2023 17-43\ООО СНС-Холдинг\УПД №7810_8174420582 от 03.05.23.pdf</t>
  </si>
  <si>
    <t>4 683,20</t>
  </si>
  <si>
    <t>C:\BG\BridgeGroup\result\23.05.2023 17-43\ООО ТД ЛФБ\УПД №27864 от 02.05.23.pdf</t>
  </si>
  <si>
    <t>10 143,84</t>
  </si>
  <si>
    <t>C:\BG\BridgeGroup\result\23.05.2023 17-43\ООО ТД ЛФБ\УПД №27851 от 02.05.23.pdf</t>
  </si>
  <si>
    <t>4 332,76</t>
  </si>
  <si>
    <t>C:\BG\BridgeGroup\result\23.05.2023 17-43\ООО ТД ЛФБ\УПД №27830 от 02.05.23.pdf</t>
  </si>
  <si>
    <t>5 358,20</t>
  </si>
  <si>
    <t>C:\BG\BridgeGroup\result\23.05.2023 17-43\ООО ТД ЛФБ\УПД №27827 от 02.05.23.pdf</t>
  </si>
  <si>
    <t>7 686,00</t>
  </si>
  <si>
    <t>C:\BG\BridgeGroup\result\23.05.2023 17-43\ООО ТД ЛФБ\УПД №27821 от 02.05.23.pdf</t>
  </si>
  <si>
    <t>5 166,56</t>
  </si>
  <si>
    <t>C:\BG\BridgeGroup\result\23.05.2023 17-43\ООО ТД ЛФБ\УПД №27817 от 02.05.23.pdf</t>
  </si>
  <si>
    <t>4 205,96</t>
  </si>
  <si>
    <t>C:\BG\BridgeGroup\result\23.05.2023 17-43\ООО ТД ЛФБ\УПД №27811 от 02.05.23.pdf</t>
  </si>
  <si>
    <t>C:\BG\BridgeGroup\result\23.05.2023 17-43\ООО ТД ЛФБ\УПД №27705 от 02.05.23.pdf</t>
  </si>
  <si>
    <t>2 048,50</t>
  </si>
  <si>
    <t>C:\BG\BridgeGroup\result\23.05.2023 17-43\ООО ТД ЛФБ\УПД №27703 от 02.05.23.pdf</t>
  </si>
  <si>
    <t>7 987,36</t>
  </si>
  <si>
    <t>C:\BG\BridgeGroup\result\23.05.2023 17-43\ООО ТД ЛФБ\УПД №27694 от 02.05.23.pdf</t>
  </si>
  <si>
    <t>13 409,96</t>
  </si>
  <si>
    <t>C:\BG\BridgeGroup\result\23.05.2023 17-43\ООО ТД ЛФБ\УПД №27685 от 02.05.23.pdf</t>
  </si>
  <si>
    <t>6 749,14</t>
  </si>
  <si>
    <t>C:\BG\BridgeGroup\result\23.05.2023 17-43\ООО ТД ЛФБ\УПД №27683 от 02.05.23.pdf</t>
  </si>
  <si>
    <t>6 346,88</t>
  </si>
  <si>
    <t>C:\BG\BridgeGroup\result\23.05.2023 17-43\ООО ТД ЛФБ\УПД №27680 от 02.05.23.pdf</t>
  </si>
  <si>
    <t>C:\BG\BridgeGroup\result\23.05.2023 17-43\ООО ТД ЛФБ\УПД №27671 от 02.05.23.pdf</t>
  </si>
  <si>
    <t>6 410,62</t>
  </si>
  <si>
    <t>C:\BG\BridgeGroup\result\23.05.2023 17-43\ООО ТД ЛФБ\УПД №27669 от 02.05.23.pdf</t>
  </si>
  <si>
    <t>8 361,58</t>
  </si>
  <si>
    <t>C:\BG\BridgeGroup\result\23.05.2023 17-43\ООО ТД ЛФБ\УПД №27660 от 02.05.23.pdf</t>
  </si>
  <si>
    <t>ООО "МЕДПРОФ"</t>
  </si>
  <si>
    <t>48 540,00</t>
  </si>
  <si>
    <t>C:\BG\BridgeGroup\result\23.05.2023 17-43\ООО МЕДПРОФ\Акт №30042023726 от 30.04.23.pdf</t>
  </si>
  <si>
    <t>223 644,00</t>
  </si>
  <si>
    <t>C:\BG\BridgeGroup\result\23.05.2023 17-43\ООО ПС СОЛЮШН\УПД №162 от 30.04.23.pdf</t>
  </si>
  <si>
    <t>7 981,94</t>
  </si>
  <si>
    <t>C:\BG\BridgeGroup\result\23.05.2023 17-43\ООО ТД ЛФБ\УПД №28537 от 04.05.23.pdf</t>
  </si>
  <si>
    <t>8 967,90</t>
  </si>
  <si>
    <t>C:\BG\BridgeGroup\result\23.05.2023 17-43\ООО ТД ЛФБ\УПД №28519 от 04.05.23.pdf</t>
  </si>
  <si>
    <t>5 592,80</t>
  </si>
  <si>
    <t>C:\BG\BridgeGroup\result\23.05.2023 17-43\ООО ТД ЛФБ\УПД №28511 от 04.05.23.pdf</t>
  </si>
  <si>
    <t>7 747,92</t>
  </si>
  <si>
    <t>C:\BG\BridgeGroup\result\23.05.2023 17-43\ООО ТД ЛФБ\УПД №28508 от 04.05.23.pdf</t>
  </si>
  <si>
    <t>2 529,06</t>
  </si>
  <si>
    <t>C:\BG\BridgeGroup\result\23.05.2023 17-43\АО «ТК «МЕГАПОЛИС»\УПД №152619_780E от 04.05.23.pdf</t>
  </si>
  <si>
    <t>8 756,65</t>
  </si>
  <si>
    <t>C:\BG\BridgeGroup\result\23.05.2023 17-43\АО «ТК «МЕГАПОЛИС»\УПД №152620_780E от 04.05.23.pdf</t>
  </si>
  <si>
    <t>37 778,16</t>
  </si>
  <si>
    <t>C:\BG\BridgeGroup\result\23.05.2023 17-43\АО «ТК «МЕГАПОЛИС»\УПД №152622_780E от 04.05.23.pdf</t>
  </si>
  <si>
    <t>80 744,04</t>
  </si>
  <si>
    <t>C:\BG\BridgeGroup\result\23.05.2023 17-43\АО «ТК «МЕГАПОЛИС»\УПД №152623_780E от 04.05.23.pdf</t>
  </si>
  <si>
    <t>C:\BG\BridgeGroup\result\23.05.2023 17-43\АО «ТК «МЕГАПОЛИС»\УПД №152621_780E от 04.05.23.pdf</t>
  </si>
  <si>
    <t>C:\BG\BridgeGroup\result\23.05.2023 17-43\АО «ТК «МЕГАПОЛИС»\УПД №152624_780E от 04.05.23.pdf</t>
  </si>
  <si>
    <t>13 227,28</t>
  </si>
  <si>
    <t>C:\BG\BridgeGroup\result\23.05.2023 17-43\АО «ТК «МЕГАПОЛИС»\УПД №152626_780E от 04.05.23.pdf</t>
  </si>
  <si>
    <t>671 523,72</t>
  </si>
  <si>
    <t>C:\BG\BridgeGroup\result\23.05.2023 17-43\АО «ТК «МЕГАПОЛИС»\УПД №152625_780E от 04.05.23.pdf</t>
  </si>
  <si>
    <t>122 038,20</t>
  </si>
  <si>
    <t>C:\BG\BridgeGroup\result\23.05.2023 17-43\АО «ТК «МЕГАПОЛИС»\УПД №152627_780E от 04.05.23.pdf</t>
  </si>
  <si>
    <t>21 852,00</t>
  </si>
  <si>
    <t>C:\BG\BridgeGroup\result\23.05.2023 17-43\АО «ТК «МЕГАПОЛИС»\УПД №152629_780E от 04.05.23.pdf</t>
  </si>
  <si>
    <t>48 837,89</t>
  </si>
  <si>
    <t>C:\BG\BridgeGroup\result\23.05.2023 17-43\АО «ТК «МЕГАПОЛИС»\УПД №152628_780E от 04.05.23.pdf</t>
  </si>
  <si>
    <t>199 099,56</t>
  </si>
  <si>
    <t>C:\BG\BridgeGroup\result\23.05.2023 17-43\АО «ТК «МЕГАПОЛИС»\УПД №152642_780E от 04.05.23.pdf</t>
  </si>
  <si>
    <t>3 383,00</t>
  </si>
  <si>
    <t>C:\BG\BridgeGroup\result\23.05.2023 17-43\ООО ЭНЕРГИЯ\УПД №UT-107988 от 04.05.23.pdf</t>
  </si>
  <si>
    <t>7 817,16</t>
  </si>
  <si>
    <t>C:\BG\BridgeGroup\result\23.05.2023 17-43\ООО ЭНЕРГИЯ\УПД №UT-108041 от 04.05.23.pdf</t>
  </si>
  <si>
    <t>54 953,69</t>
  </si>
  <si>
    <t>C:\BG\BridgeGroup\result\23.05.2023 17-43\ООО ЭНЕРГИЯ\УПД №UT-108040 от 04.05.23.pdf</t>
  </si>
  <si>
    <t>32 555,15</t>
  </si>
  <si>
    <t>C:\BG\BridgeGroup\result\23.05.2023 17-43\ООО ЭНЕРГИЯ\УПД №UT-108262 от 04.05.23.pdf</t>
  </si>
  <si>
    <t>C:\BG\BridgeGroup\result\23.05.2023 17-43\ООО ЭНЕРГИЯ\УПД №UT-108261 от 04.05.23.pdf</t>
  </si>
  <si>
    <t>9 579,59</t>
  </si>
  <si>
    <t>C:\BG\BridgeGroup\result\23.05.2023 17-43\ООО ЭНЕРГИЯ\УПД №UT-108334 от 04.05.23.pdf</t>
  </si>
  <si>
    <t>10 492,68</t>
  </si>
  <si>
    <t>C:\BG\BridgeGroup\result\23.05.2023 17-43\ООО ЭНЕРГИЯ\УПД №UT-108358 от 04.05.23.pdf</t>
  </si>
  <si>
    <t>62 837,51</t>
  </si>
  <si>
    <t>C:\BG\BridgeGroup\result\23.05.2023 17-43\ООО ЭНЕРГИЯ\УПД №UT-108402 от 04.05.23.pdf</t>
  </si>
  <si>
    <t>60 336,53</t>
  </si>
  <si>
    <t>C:\BG\BridgeGroup\result\23.05.2023 17-43\ООО ЭНЕРГИЯ\УПД №UT-108401 от 04.05.23.pdf</t>
  </si>
  <si>
    <t>25 561,13</t>
  </si>
  <si>
    <t>C:\BG\BridgeGroup\result\23.05.2023 17-43\ООО ВКУС ОН ТРЕЙД\УПД №SR110023372 от 04.05.23.pdf</t>
  </si>
  <si>
    <t>3 374,04</t>
  </si>
  <si>
    <t>C:\BG\BridgeGroup\result\23.05.2023 17-43\ООО ВКУС ОН ТРЕЙД\УПД №SR110023371 от 04.05.23.pdf</t>
  </si>
  <si>
    <t>83 133,33</t>
  </si>
  <si>
    <t>C:\BG\BridgeGroup\result\23.05.2023 17-43\ООО ВКУС ОН ТРЕЙД\УПД №SR110023366 от 04.05.23.pdf</t>
  </si>
  <si>
    <t>C:\BG\BridgeGroup\result\23.05.2023 17-43\ООО ВКУС ОН ТРЕЙД\УПД №SR110023340 от 04.05.23.pdf</t>
  </si>
  <si>
    <t>8 355,32</t>
  </si>
  <si>
    <t>C:\BG\BridgeGroup\result\23.05.2023 17-43\ООО ЭНЕРГИЯ\УПД №UT-108260 от 04.05.23.pdf</t>
  </si>
  <si>
    <t>98 215,78</t>
  </si>
  <si>
    <t>C:\BG\BridgeGroup\result\23.05.2023 17-43\ООО ЭНЕРГИЯ\УПД №UT-108259 от 04.05.23.pdf</t>
  </si>
  <si>
    <t>5 446,32</t>
  </si>
  <si>
    <t>C:\BG\BridgeGroup\result\23.05.2023 17-43\ООО РУСИЧИ\УПД №УТР0167314 от 04.05.23.pdf</t>
  </si>
  <si>
    <t>3 782,05</t>
  </si>
  <si>
    <t>C:\BG\BridgeGroup\result\23.05.2023 17-43\ООО РУСИЧИ\УПД №УТР0167313 от 04.05.23.pdf</t>
  </si>
  <si>
    <t>9 346,00</t>
  </si>
  <si>
    <t>C:\BG\BridgeGroup\result\23.05.2023 17-43\ООО КОМУС\УПД №28332462 от 03.05.23.pdf</t>
  </si>
  <si>
    <t>C:\BG\BridgeGroup\result\23.05.2023 17-43\ООО НИЛА СПРИНГС\УПД №2023_40_03_0034789_06 от 03.05.23.pdf</t>
  </si>
  <si>
    <t>2 821,31</t>
  </si>
  <si>
    <t>C:\BG\BridgeGroup\result\23.05.2023 17-43\ООО НИЛА СПРИНГС\УПД №2023_40_03_0035008_06 от 03.05.23.pdf</t>
  </si>
  <si>
    <t>C:\BG\BridgeGroup\result\23.05.2023 17-43\ООО НИЛА СПРИНГС\УПД №2023_40_03_0035000_06 от 03.05.23.pdf</t>
  </si>
  <si>
    <t>9 413,28</t>
  </si>
  <si>
    <t>C:\BG\BridgeGroup\result\23.05.2023 17-43\ООО Полезные продукты\УПД №БАШМ0504_03 от 04.05.23.pdf</t>
  </si>
  <si>
    <t>3 476,80</t>
  </si>
  <si>
    <t>C:\BG\BridgeGroup\result\23.05.2023 17-43\ООО КОМУС\УПД №28338658 от 03.05.23.pdf</t>
  </si>
  <si>
    <t>1 874,20</t>
  </si>
  <si>
    <t>C:\BG\BridgeGroup\result\23.05.2023 17-43\ООО КОМУС\УПД №28339386 от 03.05.23.pdf</t>
  </si>
  <si>
    <t>1 489,80</t>
  </si>
  <si>
    <t>C:\BG\BridgeGroup\result\23.05.2023 17-43\ООО КОМУС\УПД №28340218 от 03.05.23.pdf</t>
  </si>
  <si>
    <t>2 400,00</t>
  </si>
  <si>
    <t>C:\BG\BridgeGroup\result\23.05.2023 17-43\ООО АЛЕФ ТРЕЙД МСК\УПД №1095 от 28.04.23.pdf</t>
  </si>
  <si>
    <t>327,00</t>
  </si>
  <si>
    <t>C:\BG\BridgeGroup\result\23.05.2023 17-43\ООО КОМУС\УПД №28341603 от 03.05.23.pdf</t>
  </si>
  <si>
    <t>571,88</t>
  </si>
  <si>
    <t>C:\BG\BridgeGroup\result\23.05.2023 17-43\ООО АЛЕФ ТРЕЙД МСК\УПД №1109 от 28.04.23.pdf</t>
  </si>
  <si>
    <t>13 034,98</t>
  </si>
  <si>
    <t>C:\BG\BridgeGroup\result\23.05.2023 17-43\ООО ТД ЛФБ\УПД №28951 от 05.05.23.pdf</t>
  </si>
  <si>
    <t>2 210,16</t>
  </si>
  <si>
    <t>C:\BG\BridgeGroup\result\23.05.2023 17-43\АО «ТК «МЕГАПОЛИС»\УПД №9485_780O от 05.05.23.pdf</t>
  </si>
  <si>
    <t>9 356,99</t>
  </si>
  <si>
    <t>C:\BG\BridgeGroup\result\23.05.2023 17-43\ООО ЭНЕРГИЯ\УПД №UT-109599 от 05.05.23.pdf</t>
  </si>
  <si>
    <t>45 318,85</t>
  </si>
  <si>
    <t>C:\BG\BridgeGroup\result\23.05.2023 17-43\ООО ЭНЕРГИЯ\УПД №UT-109748 от 05.05.23.pdf</t>
  </si>
  <si>
    <t>3 902,82</t>
  </si>
  <si>
    <t>C:\BG\BridgeGroup\result\23.05.2023 17-43\ООО РУСИЧИ\УПД №УТР0167470 от 05.05.23.pdf</t>
  </si>
  <si>
    <t>3 180,66</t>
  </si>
  <si>
    <t>C:\BG\BridgeGroup\result\23.05.2023 17-43\ООО РУСИЧИ\УПД №УТР0167450 от 05.05.23.pdf</t>
  </si>
  <si>
    <t>C:\BG\BridgeGroup\result\23.05.2023 17-43\ООО ПепсиКо Холдингс\УПД №30_00159768-23 от 05.05.23.pdf</t>
  </si>
  <si>
    <t>C:\BG\BridgeGroup\result\23.05.2023 17-43\ООО НИЛА СПРИНГС\УПД №2023_40_03_0035191_06 от 04.05.23.pdf</t>
  </si>
  <si>
    <t>C:\BG\BridgeGroup\result\23.05.2023 17-43\ООО НИЛА СПРИНГС\УПД №2023_40_03_0035345_06 от 04.05.23.pdf</t>
  </si>
  <si>
    <t>C:\BG\BridgeGroup\result\23.05.2023 17-43\ООО НИЛА СПРИНГС\УПД №2023_40_03_0035346_06 от 04.05.23.pdf</t>
  </si>
  <si>
    <t>396,00</t>
  </si>
  <si>
    <t>C:\BG\BridgeGroup\result\23.05.2023 17-43\ООО ИНТЕРНЕТ РЕШЕНИЯ\УПД №85577747-0043_2404 от 24.04.23.pdf</t>
  </si>
  <si>
    <t>42 555,16</t>
  </si>
  <si>
    <t>C:\BG\BridgeGroup\result\23.05.2023 17-43\ООО Смартен\УПД №УТ-505-000066 от 05.05.23.pdf</t>
  </si>
  <si>
    <t>33 815,51</t>
  </si>
  <si>
    <t>C:\BG\BridgeGroup\result\23.05.2023 17-43\ООО Смартен\УПД №УТ-505-000062 от 05.05.23.pdf</t>
  </si>
  <si>
    <t>35 122,98</t>
  </si>
  <si>
    <t>C:\BG\BridgeGroup\result\23.05.2023 17-43\ООО Смартен\УПД №УТ-505-000032 от 05.05.23.pdf</t>
  </si>
  <si>
    <t>4 175,50</t>
  </si>
  <si>
    <t>C:\BG\BridgeGroup\result\23.05.2023 17-43\ООО КОМУС\УПД №28371351 от 04.05.23.pdf</t>
  </si>
  <si>
    <t>6 537,78</t>
  </si>
  <si>
    <t>C:\BG\BridgeGroup\result\23.05.2023 17-43\ООО КОМУС\УПД №28372657 от 04.05.23.pdf</t>
  </si>
  <si>
    <t>17 984,56</t>
  </si>
  <si>
    <t>C:\BG\BridgeGroup\result\23.05.2023 17-43\ООО Смартен\УПД №УТ-605-000090 от 06.05.23.pdf</t>
  </si>
  <si>
    <t>168,00</t>
  </si>
  <si>
    <t>C:\BG\BridgeGroup\result\23.05.2023 17-43\ООО КЕХ еКоммерц\УПД №04-477818 от 30.04.23.pdf</t>
  </si>
  <si>
    <t>27 960,00</t>
  </si>
  <si>
    <t>C:\BG\BridgeGroup\result\23.05.2023 17-43\ООО ИНТЕРНЕТ РЕШЕНИЯ\УПД №3506920 от 05.05.23.pdf</t>
  </si>
  <si>
    <t>23 746,29</t>
  </si>
  <si>
    <t>C:\BG\BridgeGroup\result\23.05.2023 17-43\ООО ВКУС ОН ТРЕЙД\УПД №SR110023977 от 06.05.23.pdf</t>
  </si>
  <si>
    <t>12 397,60</t>
  </si>
  <si>
    <t>C:\BG\BridgeGroup\result\23.05.2023 17-43\ООО ВКУС ОН ТРЕЙД\УПД №SR110023921 от 06.05.23.pdf</t>
  </si>
  <si>
    <t>2 349,20</t>
  </si>
  <si>
    <t>C:\BG\BridgeGroup\result\23.05.2023 17-43\ООО ВКУС ОН ТРЕЙД\УПД №SR110023914 от 06.05.23.pdf</t>
  </si>
  <si>
    <t>C:\BG\BridgeGroup\result\23.05.2023 17-43\ООО ВКУС ОН ТРЕЙД\УПД №SR110023983 от 06.05.23.pdf</t>
  </si>
  <si>
    <t xml:space="preserve">ООО "Петрол Плюс"
</t>
  </si>
  <si>
    <t>2 927,96</t>
  </si>
  <si>
    <t>C:\BG\BridgeGroup\result\23.05.2023 17-43\ООО ЭНЕРГИЯ\УПД №UT-104899 от 02.05.23.pdf</t>
  </si>
  <si>
    <t>C:\BG\BridgeGroup\result\23.05.2023 17-43\ООО ЭНЕРГИЯ\УПД №UT-104901 от 02.05.23.pdf</t>
  </si>
  <si>
    <t>28 161,44</t>
  </si>
  <si>
    <t>C:\BG\BridgeGroup\result\23.05.2023 17-43\ООО ЭНЕРГИЯ\УПД №UT-104922 от 02.05.23.pdf</t>
  </si>
  <si>
    <t>ООО "АБ "ЖИЛПРОЕКТ"</t>
  </si>
  <si>
    <t>32 000,00</t>
  </si>
  <si>
    <t>C:\BG\BridgeGroup\result\23.05.2023 17-43\ООО АБ ЖИЛПРОЕКТ\УПД №60 от 30.04.23.pdf</t>
  </si>
  <si>
    <t>C:\BG\BridgeGroup\result\23.05.2023 17-43\ООО НИЛА СПРИНГС\УПД №2023_30_03_0131642 от 30.04.23.pdf</t>
  </si>
  <si>
    <t>41 525,00</t>
  </si>
  <si>
    <t>C:\BG\BridgeGroup\result\23.05.2023 17-43\ООО СНС-Холдинг\УПД №5030_8174351273 от 02.05.23.pdf</t>
  </si>
  <si>
    <t>4 600,00</t>
  </si>
  <si>
    <t>C:\BG\BridgeGroup\result\23.05.2023 17-43\ООО Смартен\УПД №ОТ-3004-000023 от 30.04.23.pdf</t>
  </si>
  <si>
    <t>C:\BG\BridgeGroup\result\23.05.2023 17-43\ООО Смартен\УПД №ОТ-3004-000022 от 30.04.23.pdf</t>
  </si>
  <si>
    <t>C:\BG\BridgeGroup\result\23.05.2023 17-43\ООО НИЛА СПРИНГС\УПД №2023_30_03_0134524_05 от 02.05.23.pdf</t>
  </si>
  <si>
    <t>6 583,33</t>
  </si>
  <si>
    <t>C:\BG\BridgeGroup\result\23.05.2023 17-43\ООО КОМУС\УПД №28299396 от 02.05.23.pdf</t>
  </si>
  <si>
    <t>4 775,37</t>
  </si>
  <si>
    <t>C:\BG\BridgeGroup\result\23.05.2023 17-43\ООО ПепсиКо Холдингс\УПД №03_00232200-23 от 03.05.23.pdf</t>
  </si>
  <si>
    <t>14 577,98</t>
  </si>
  <si>
    <t>C:\BG\BridgeGroup\result\23.05.2023 17-43\ООО КОМУС\УПД №28302788 от 02.05.23.pdf</t>
  </si>
  <si>
    <t>C:\BG\BridgeGroup\result\23.05.2023 17-43\ООО БРИДЖ ГРУПП\УПД №865 от 30.04.23.pdf</t>
  </si>
  <si>
    <t>C:\BG\BridgeGroup\result\23.05.2023 17-43\ООО БРИДЖ ГРУПП\УПД №897 от 30.04.23.pdf</t>
  </si>
  <si>
    <t>C:\BG\BridgeGroup\result\23.05.2023 17-43\ООО БРИДЖ ГРУПП\УПД №924 от 30.04.23.pdf</t>
  </si>
  <si>
    <t>C:\BG\BridgeGroup\result\23.05.2023 17-43\ООО БРИДЖ ГРУПП\УПД №968 от 30.04.23.pdf</t>
  </si>
  <si>
    <t>19 153,80</t>
  </si>
  <si>
    <t>C:\BG\BridgeGroup\result\23.05.2023 17-43\ООО Полезные продукты\УПД №АРГО0503_02 от 03.05.23.pdf</t>
  </si>
  <si>
    <t>C:\BG\BridgeGroup\result\23.05.2023 17-43\ООО НИЛА СПРИНГС\УПД №2023_30_03_0134292 от 02.05.23.pdf</t>
  </si>
  <si>
    <t>07.04.2023</t>
  </si>
  <si>
    <t>ООО "Холл-Сервис"</t>
  </si>
  <si>
    <t>11 763,65</t>
  </si>
  <si>
    <t>C:\BG\BridgeGroup\result\23.05.2023 17-43\ООО Холл-Сервис\УПД №4058 от 07.04.23.pdf</t>
  </si>
  <si>
    <t>5 214,72</t>
  </si>
  <si>
    <t>C:\BG\BridgeGroup\result\23.05.2023 17-43\ООО ТД ЛФБ\УПД №27774 от 02.05.23.pdf</t>
  </si>
  <si>
    <t>5 425,64</t>
  </si>
  <si>
    <t>C:\BG\BridgeGroup\result\23.05.2023 17-43\ООО ТД ЛФБ\УПД №27772 от 02.05.23.pdf</t>
  </si>
  <si>
    <t>8 959,08</t>
  </si>
  <si>
    <t>C:\BG\BridgeGroup\result\23.05.2023 17-43\ООО Полезные продукты\УПД №АРГО0503_08 от 03.05.23.pdf</t>
  </si>
  <si>
    <t>C:\BG\BridgeGroup\result\23.05.2023 17-43\ООО РИТЕЙЛ ПЕРСОНАЛ\УПД №110 от 30.04.23.pdf</t>
  </si>
  <si>
    <t>C:\BG\BridgeGroup\result\23.05.2023 17-43\ООО НИЛА СПРИНГС\УПД №2023_30_03_0137146_05 от 03.05.23.pdf</t>
  </si>
  <si>
    <t>C:\BG\BridgeGroup\result\23.05.2023 17-43\ООО НИЛА СПРИНГС\УПД №2023_30_03_0137148_05 от 03.05.23.pdf</t>
  </si>
  <si>
    <t>2 976,00</t>
  </si>
  <si>
    <t>C:\BG\BridgeGroup\result\23.05.2023 17-43\ООО НИЛА СПРИНГС\УПД №2023_30_03_0137147_05 от 03.05.23.pdf</t>
  </si>
  <si>
    <t>15 274,00</t>
  </si>
  <si>
    <t>C:\BG\BridgeGroup\result\23.05.2023 17-43\ООО КОМУС\УПД №28313247 от 03.05.23.pdf</t>
  </si>
  <si>
    <t>226 032,00</t>
  </si>
  <si>
    <t>C:\BG\BridgeGroup\result\23.05.2023 17-43\ООО ПС СОЛЮШН\УПД №163 от 30.04.23.pdf</t>
  </si>
  <si>
    <t>10 296,32</t>
  </si>
  <si>
    <t>C:\BG\BridgeGroup\result\23.05.2023 17-43\ООО ТД ЛФБ\УПД №28421 от 04.05.23.pdf</t>
  </si>
  <si>
    <t>13 908,72</t>
  </si>
  <si>
    <t>C:\BG\BridgeGroup\result\23.05.2023 17-43\ООО ТД ЛФБ\УПД №28381 от 04.05.23.pdf</t>
  </si>
  <si>
    <t>11 203,34</t>
  </si>
  <si>
    <t>C:\BG\BridgeGroup\result\23.05.2023 17-43\ООО ТД ЛФБ\УПД №28376 от 04.05.23.pdf</t>
  </si>
  <si>
    <t>46 962,91</t>
  </si>
  <si>
    <t>C:\BG\BridgeGroup\result\23.05.2023 17-43\ООО ВКУС ОН ТРЕЙД\УПД №SR110023287 от 04.05.23.pdf</t>
  </si>
  <si>
    <t>39 095,73</t>
  </si>
  <si>
    <t>C:\BG\BridgeGroup\result\23.05.2023 17-43\ООО ВКУС ОН ТРЕЙД\УПД №SR110023286 от 04.05.23.pdf</t>
  </si>
  <si>
    <t>46 764,42</t>
  </si>
  <si>
    <t>C:\BG\BridgeGroup\result\23.05.2023 17-43\ООО ЭНЕРГИЯ\УПД №UT-108043 от 04.05.23.pdf</t>
  </si>
  <si>
    <t>7 735,40</t>
  </si>
  <si>
    <t>C:\BG\BridgeGroup\result\23.05.2023 17-43\ООО ЭНЕРГИЯ\УПД №UT-107991 от 04.05.23.pdf</t>
  </si>
  <si>
    <t>6 612,77</t>
  </si>
  <si>
    <t>C:\BG\BridgeGroup\result\23.05.2023 17-43\ООО ЭНЕРГИЯ\УПД №UT-108359 от 04.05.23.pdf</t>
  </si>
  <si>
    <t>21 413,70</t>
  </si>
  <si>
    <t>C:\BG\BridgeGroup\result\23.05.2023 17-43\ООО ЭНЕРГИЯ\УПД №UT-108404 от 04.05.23.pdf</t>
  </si>
  <si>
    <t>C:\BG\BridgeGroup\result\23.05.2023 17-43\ООО ЭНЕРГИЯ\УПД №UT-108405 от 04.05.23.pdf</t>
  </si>
  <si>
    <t>10 943,68</t>
  </si>
  <si>
    <t>C:\BG\BridgeGroup\result\23.05.2023 17-43\ООО ЭНЕРГИЯ\УПД №UT-107989 от 04.05.23.pdf</t>
  </si>
  <si>
    <t>4 038,35</t>
  </si>
  <si>
    <t>C:\BG\BridgeGroup\result\23.05.2023 17-43\ООО ЭНЕРГИЯ\УПД №UT-107992 от 04.05.23.pdf</t>
  </si>
  <si>
    <t>1 473,60</t>
  </si>
  <si>
    <t>C:\BG\BridgeGroup\result\23.05.2023 17-43\ООО ЭНЕРГИЯ\УПД №UT-107993 от 04.05.23.pdf</t>
  </si>
  <si>
    <t>11 209,22</t>
  </si>
  <si>
    <t>C:\BG\BridgeGroup\result\23.05.2023 17-43\ООО ЭНЕРГИЯ\УПД №UT-108263 от 04.05.23.pdf</t>
  </si>
  <si>
    <t>3 700,09</t>
  </si>
  <si>
    <t>C:\BG\BridgeGroup\result\23.05.2023 17-43\ООО ЭНЕРГИЯ\УПД №UT-108360 от 04.05.23.pdf</t>
  </si>
  <si>
    <t>C:\BG\BridgeGroup\result\23.05.2023 17-43\ООО ЭНЕРГИЯ\УПД №UT-108403 от 04.05.23.pdf</t>
  </si>
  <si>
    <t>15 418,58</t>
  </si>
  <si>
    <t>C:\BG\BridgeGroup\result\23.05.2023 17-43\ООО ЭНЕРГИЯ\УПД №UT-108044 от 04.05.23.pdf</t>
  </si>
  <si>
    <t>53 748,21</t>
  </si>
  <si>
    <t>C:\BG\BridgeGroup\result\23.05.2023 17-43\ООО ЭНЕРГИЯ\УПД №UT-108434 от 04.05.23.pdf</t>
  </si>
  <si>
    <t>20 657,96</t>
  </si>
  <si>
    <t>C:\BG\BridgeGroup\result\23.05.2023 17-43\ООО ЭНЕРГИЯ\УПД №UT-107990 от 04.05.23.pdf</t>
  </si>
  <si>
    <t>46 808,48</t>
  </si>
  <si>
    <t>C:\BG\BridgeGroup\result\23.05.2023 17-43\ООО ЭНЕРГИЯ\УПД №UT-108336 от 04.05.23.pdf</t>
  </si>
  <si>
    <t>22 688,40</t>
  </si>
  <si>
    <t>C:\BG\BridgeGroup\result\23.05.2023 17-43\ООО СНС-Холдинг\УПД №7720_8174457672 от 04.05.23.pdf</t>
  </si>
  <si>
    <t>29 946,70</t>
  </si>
  <si>
    <t>C:\BG\BridgeGroup\result\23.05.2023 17-43\ООО ВКУС ОН ТРЕЙД\УПД №SR110023124 от 05.05.23.pdf</t>
  </si>
  <si>
    <t>53 475,56</t>
  </si>
  <si>
    <t>C:\BG\BridgeGroup\result\23.05.2023 17-43\ООО ВКУС ОН ТРЕЙД\УПД №SR110023122 от 05.05.23.pdf</t>
  </si>
  <si>
    <t>28 884,07</t>
  </si>
  <si>
    <t>C:\BG\BridgeGroup\result\23.05.2023 17-43\ООО ВКУС ОН ТРЕЙД\УПД №SR110023117 от 05.05.23.pdf</t>
  </si>
  <si>
    <t>28 051,02</t>
  </si>
  <si>
    <t>C:\BG\BridgeGroup\result\23.05.2023 17-43\ООО ВКУС ОН ТРЕЙД\УПД №SR110023116 от 05.05.23.pdf</t>
  </si>
  <si>
    <t>3 500,25</t>
  </si>
  <si>
    <t>C:\BG\BridgeGroup\result\23.05.2023 17-43\ООО КОМУС\УПД №28335231 от 03.05.23.pdf</t>
  </si>
  <si>
    <t>C:\BG\BridgeGroup\result\23.05.2023 17-43\ООО КОМУС\УПД №28335250 от 03.05.23.pdf</t>
  </si>
  <si>
    <t>C:\BG\BridgeGroup\result\23.05.2023 17-43\ООО НИЛА СПРИНГС\УПД №2023_30_03_0137018_05 от 03.05.23.pdf</t>
  </si>
  <si>
    <t>C:\BG\BridgeGroup\result\23.05.2023 17-43\ООО КОМУС\УПД №28336248 от 03.05.23.pdf</t>
  </si>
  <si>
    <t>C:\BG\BridgeGroup\result\23.05.2023 17-43\ООО НИЛА СПРИНГС\УПД №2023_30_03_0136515 от 03.05.23.pdf</t>
  </si>
  <si>
    <t>C:\BG\BridgeGroup\result\23.05.2023 17-43\ООО КОМУС\УПД №28337877 от 03.05.23.pdf</t>
  </si>
  <si>
    <t>13 000,00</t>
  </si>
  <si>
    <t>C:\BG\BridgeGroup\result\23.05.2023 17-43\ООО АЛЕФ ТРЕЙД МСК\УПД №19033_01 от 26.04.23.pdf</t>
  </si>
  <si>
    <t>85 197,97</t>
  </si>
  <si>
    <t>C:\BG\BridgeGroup\result\23.05.2023 17-43\ООО ЭНЕРГИЯ\УПД №UT-108435 от 04.05.23.pdf</t>
  </si>
  <si>
    <t>8 651,68</t>
  </si>
  <si>
    <t>C:\BG\BridgeGroup\result\23.05.2023 17-43\ООО КОМУС\УПД №28344643 от 04.05.23.pdf</t>
  </si>
  <si>
    <t>8 820,52</t>
  </si>
  <si>
    <t>C:\BG\BridgeGroup\result\23.05.2023 17-43\ООО ЭНЕРГИЯ\УПД №UT-109418 от 05.05.23.pdf</t>
  </si>
  <si>
    <t>C:\BG\BridgeGroup\result\23.05.2023 17-43\ООО ЭНЕРГИЯ\УПД №UT-109535 от 05.05.23.pdf</t>
  </si>
  <si>
    <t>20 080,32</t>
  </si>
  <si>
    <t>C:\BG\BridgeGroup\result\23.05.2023 17-43\ООО СНС-Холдинг\УПД №7720_8174496950 от 05.05.23.pdf</t>
  </si>
  <si>
    <t>C:\BG\BridgeGroup\result\23.05.2023 17-43\ООО АЛЕФ ТРЕЙД МСК\УПД №1132 от 04.05.23.pdf</t>
  </si>
  <si>
    <t>45 370,06</t>
  </si>
  <si>
    <t>C:\BG\BridgeGroup\result\23.05.2023 17-43\ООО Смартен\УПД №УТ-605-000051 от 06.05.23.pdf</t>
  </si>
  <si>
    <t>28 041,83</t>
  </si>
  <si>
    <t>C:\BG\BridgeGroup\result\23.05.2023 17-43\ООО Смартен\УПД №УТ-605-000036 от 06.05.23.pdf</t>
  </si>
  <si>
    <t>38 671,04</t>
  </si>
  <si>
    <t>C:\BG\BridgeGroup\result\23.05.2023 17-43\ООО Смартен\УПД №УТ-705-000015 от 07.05.23.pdf</t>
  </si>
  <si>
    <t>113 241,11</t>
  </si>
  <si>
    <t>C:\BG\BridgeGroup\result\23.05.2023 17-43\ООО ЭНЕРГИЯ\УПД №UT-108042 от 04.05.23.pdf</t>
  </si>
  <si>
    <t>ООО "ВсеИнструменты.ру"</t>
  </si>
  <si>
    <t>12 660,00</t>
  </si>
  <si>
    <t>C:\BG\BridgeGroup\result\23.05.2023 17-43\ООО ВсеИнструменты.ру\УПД №3580518-МСК от 05.05.23.pdf</t>
  </si>
  <si>
    <t>50 910,00</t>
  </si>
  <si>
    <t>C:\BG\BridgeGroup\result\23.05.2023 17-43\ООО ИНТЕРНЕТ РЕШЕНИЯ\УПД №3511551 от 06.05.23.pdf</t>
  </si>
  <si>
    <t>3 195,00</t>
  </si>
  <si>
    <t>C:\BG\BridgeGroup\result\23.05.2023 17-43\ООО ИНТЕРНЕТ РЕШЕНИЯ\УПД №59227841-0008_0605 от 06.05.23.pdf</t>
  </si>
  <si>
    <t xml:space="preserve">ООО "ПЕТРОЛ ТРЕЙД"
</t>
  </si>
  <si>
    <t>38 309,39</t>
  </si>
  <si>
    <t>C:\BG\BridgeGroup\result\23.05.2023 17-43\ООО ЭНЕРГИЯ\УПД №UT-104928 от 02.05.23.pdf</t>
  </si>
  <si>
    <t>7 094,40</t>
  </si>
  <si>
    <t>C:\BG\BridgeGroup\result\23.05.2023 17-43\ООО ЭНЕРГИЯ\УПД №UT-105205 от 02.05.23.pdf</t>
  </si>
  <si>
    <t>11 296,84</t>
  </si>
  <si>
    <t>C:\BG\BridgeGroup\result\23.05.2023 17-43\ООО ЭНЕРГИЯ\УПД №UT-104482 от 02.05.23.pdf</t>
  </si>
  <si>
    <t>3 819,75</t>
  </si>
  <si>
    <t>C:\BG\BridgeGroup\result\23.05.2023 17-43\ООО ЭНЕРГИЯ\УПД №UT-104484 от 02.05.23.pdf</t>
  </si>
  <si>
    <t>2 729,89</t>
  </si>
  <si>
    <t>C:\BG\BridgeGroup\result\23.05.2023 17-43\ООО ЭНЕРГИЯ\УПД №UT-104505 от 02.05.23.pdf</t>
  </si>
  <si>
    <t>5 264,29</t>
  </si>
  <si>
    <t>C:\BG\BridgeGroup\result\23.05.2023 17-43\ООО ЭНЕРГИЯ\УПД №UT-104891 от 02.05.23.pdf</t>
  </si>
  <si>
    <t>1 693,58</t>
  </si>
  <si>
    <t>C:\BG\BridgeGroup\result\23.05.2023 17-43\ООО ЭНЕРГИЯ\УПД №UT-104926 от 02.05.23.pdf</t>
  </si>
  <si>
    <t>C:\BG\BridgeGroup\result\23.05.2023 17-43\ООО ЭНЕРГИЯ\УПД №UT-105143 от 02.05.23.pdf</t>
  </si>
  <si>
    <t>C:\BG\BridgeGroup\result\23.05.2023 17-43\АО «ТК «МЕГАПОЛИС»\УПД №34606_520E от 03.05.23.pdf</t>
  </si>
  <si>
    <t>25 264,68</t>
  </si>
  <si>
    <t>C:\BG\BridgeGroup\result\23.05.2023 17-43\АО «ТК «МЕГАПОЛИС»\УПД №34611_520E от 03.05.23.pdf</t>
  </si>
  <si>
    <t>C:\BG\BridgeGroup\result\23.05.2023 17-43\ООО БРИДЖ ГРУПП\УПД №882 от 30.04.23.pdf</t>
  </si>
  <si>
    <t>C:\BG\BridgeGroup\result\23.05.2023 17-43\ООО БРИДЖ ГРУПП\УПД №911 от 30.04.23.pdf</t>
  </si>
  <si>
    <t>C:\BG\BridgeGroup\result\23.05.2023 17-43\ООО БРИДЖ ГРУПП\УПД №939 от 30.04.23.pdf</t>
  </si>
  <si>
    <t>C:\BG\BridgeGroup\result\23.05.2023 17-43\ООО БРИДЖ ГРУПП\УПД №982 от 30.04.23.pdf</t>
  </si>
  <si>
    <t>11 992,76</t>
  </si>
  <si>
    <t>C:\BG\BridgeGroup\result\23.05.2023 17-43\ООО ТД ЛФБ\УПД №27534 от 02.05.23.pdf</t>
  </si>
  <si>
    <t>5 270,96</t>
  </si>
  <si>
    <t>C:\BG\BridgeGroup\result\23.05.2023 17-43\ООО ТД ЛФБ\УПД №27518 от 02.05.23.pdf</t>
  </si>
  <si>
    <t>12 010,65</t>
  </si>
  <si>
    <t>C:\BG\BridgeGroup\result\23.05.2023 17-43\ООО ТД ЛФБ\УПД №27454 от 02.05.23.pdf</t>
  </si>
  <si>
    <t>73 920,00</t>
  </si>
  <si>
    <t>C:\BG\BridgeGroup\result\23.05.2023 17-43\ООО ПС СОЛЮШН\УПД №164 от 30.04.23.pdf</t>
  </si>
  <si>
    <t>C:\BG\BridgeGroup\result\23.05.2023 17-43\ООО СНС-Холдинг\Акт сверки №1800002521 от 04.05.23.pdf</t>
  </si>
  <si>
    <t>21 696,90</t>
  </si>
  <si>
    <t>C:\BG\BridgeGroup\result\23.05.2023 17-43\ООО СНС-Холдинг\УПД №5220_8174471405 от 04.05.23.pdf</t>
  </si>
  <si>
    <t>2 494,80</t>
  </si>
  <si>
    <t>C:\BG\BridgeGroup\result\23.05.2023 17-43\ООО СНС-Холдинг\УПД №5220_8174471446 от 04.05.23.pdf</t>
  </si>
  <si>
    <t>3 189,12</t>
  </si>
  <si>
    <t>C:\BG\BridgeGroup\result\23.05.2023 17-43\ООО Полезные продукты\УПД №КАДА0504_06 от 04.05.23.pdf</t>
  </si>
  <si>
    <t>C:\BG\BridgeGroup\result\23.05.2023 17-43\ООО АЛЕФ ТРЕЙД МСК\УПД №1090 от 24.04.23.pdf</t>
  </si>
  <si>
    <t>C:\BG\BridgeGroup\result\23.05.2023 17-43\АО «ТК «МЕГАПОЛИС»\УПД №35644_520E от 05.05.23.pdf</t>
  </si>
  <si>
    <t>8 012,03</t>
  </si>
  <si>
    <t>C:\BG\BridgeGroup\result\23.05.2023 17-43\АО «ТК «МЕГАПОЛИС»\УПД №35647_520E от 05.05.23.pdf</t>
  </si>
  <si>
    <t>59 567,40</t>
  </si>
  <si>
    <t>C:\BG\BridgeGroup\result\23.05.2023 17-43\АО «ТК «МЕГАПОЛИС»\УПД №35651_520E от 05.05.23.pdf</t>
  </si>
  <si>
    <t>89 682,72</t>
  </si>
  <si>
    <t>C:\BG\BridgeGroup\result\23.05.2023 17-43\АО «ТК «МЕГАПОЛИС»\УПД №35650_520E от 05.05.23.pdf</t>
  </si>
  <si>
    <t>1 756,50</t>
  </si>
  <si>
    <t>C:\BG\BridgeGroup\result\23.05.2023 17-43\ООО АкваТрэйдэр\УПД №5-229427 от 05.05.23.pdf</t>
  </si>
  <si>
    <t>C:\BG\BridgeGroup\result\23.05.2023 17-43\ООО АкваТрэйдэр\УПД №5-229422 от 05.05.23.pdf</t>
  </si>
  <si>
    <t>C:\BG\BridgeGroup\result\23.05.2023 17-43\ООО АкваТрэйдэр\УПД №5-229410 от 05.05.23.pdf</t>
  </si>
  <si>
    <t>22 575,60</t>
  </si>
  <si>
    <t>C:\BG\BridgeGroup\result\23.05.2023 17-43\ООО СНС-Холдинг\УПД №5220_8174510882 от 05.05.23.pdf</t>
  </si>
  <si>
    <t>3 348,72</t>
  </si>
  <si>
    <t>C:\BG\BridgeGroup\result\23.05.2023 17-43\ООО СНС-Холдинг\УПД №5220_8174510916 от 05.05.23.pdf</t>
  </si>
  <si>
    <t>1 911,96</t>
  </si>
  <si>
    <t>C:\BG\BridgeGroup\result\23.05.2023 17-43\ООО СНС-Холдинг\УПД №5220_8174511094 от 05.05.23.pdf</t>
  </si>
  <si>
    <t>9 163,50</t>
  </si>
  <si>
    <t>C:\BG\BridgeGroup\result\23.05.2023 17-43\ООО СНС-Холдинг\УПД №5220_8174519706 от 05.05.23.pdf</t>
  </si>
  <si>
    <t xml:space="preserve">ООО "Регион-1"
</t>
  </si>
  <si>
    <t>6 422,55</t>
  </si>
  <si>
    <t>C:\BG\BridgeGroup\result\23.05.2023 17-43\ООО ЭНЕРГИЯ\УПД №UT-105237 от 02.05.23.pdf</t>
  </si>
  <si>
    <t>2 117,47</t>
  </si>
  <si>
    <t>C:\BG\BridgeGroup\result\23.05.2023 17-43\ООО ЭНЕРГИЯ\УПД №UT-105374 от 02.05.23.pdf</t>
  </si>
  <si>
    <t>27 204,74</t>
  </si>
  <si>
    <t>C:\BG\BridgeGroup\result\23.05.2023 17-43\ООО ЭНЕРГИЯ\УПД №UT-105382 от 02.05.23.pdf</t>
  </si>
  <si>
    <t>C:\BG\BridgeGroup\result\23.05.2023 17-43\ООО ЭНЕРГИЯ\УПД №UT-105383 от 02.05.23.pdf</t>
  </si>
  <si>
    <t>17 847,29</t>
  </si>
  <si>
    <t>C:\BG\BridgeGroup\result\23.05.2023 17-43\ООО ЭНЕРГИЯ\УПД №UT-105425 от 02.05.23.pdf</t>
  </si>
  <si>
    <t>8 454,44</t>
  </si>
  <si>
    <t>C:\BG\BridgeGroup\result\23.05.2023 17-43\АО «ТК «МЕГАПОЛИС»\УПД №17952_320E от 03.05.23.pdf</t>
  </si>
  <si>
    <t>209 035,68</t>
  </si>
  <si>
    <t>C:\BG\BridgeGroup\result\23.05.2023 17-43\АО «ТК «МЕГАПОЛИС»\УПД №17953_320E от 03.05.23.pdf</t>
  </si>
  <si>
    <t>1 424,59</t>
  </si>
  <si>
    <t>C:\BG\BridgeGroup\result\23.05.2023 17-43\ООО ЭНЕРГИЯ\УПД №UT-106897 от 03.05.23.pdf</t>
  </si>
  <si>
    <t>46 550,11</t>
  </si>
  <si>
    <t>C:\BG\BridgeGroup\result\23.05.2023 17-43\ООО ЭНЕРГИЯ\УПД №UT-106898 от 03.05.23.pdf</t>
  </si>
  <si>
    <t>C:\BG\BridgeGroup\result\23.05.2023 17-43\ООО Смартен\УПД №УТ-305-000072 от 03.05.23.pdf</t>
  </si>
  <si>
    <t>50 563,08</t>
  </si>
  <si>
    <t>C:\BG\BridgeGroup\result\23.05.2023 17-43\ООО Смартен\УПД №УТ-305-000066 от 03.05.23.pdf</t>
  </si>
  <si>
    <t>1 421,20</t>
  </si>
  <si>
    <t>C:\BG\BridgeGroup\result\23.05.2023 17-43\ООО Смартен\УПД №УТ-305-000064 от 03.05.23.pdf</t>
  </si>
  <si>
    <t>241 844,40</t>
  </si>
  <si>
    <t>C:\BG\BridgeGroup\result\23.05.2023 17-43\ООО БРИДЖ ГРУПП\УПД №866 от 30.04.23.pdf</t>
  </si>
  <si>
    <t>13 767,60</t>
  </si>
  <si>
    <t>C:\BG\BridgeGroup\result\23.05.2023 17-43\ООО БРИДЖ ГРУПП\УПД №898 от 30.04.23.pdf</t>
  </si>
  <si>
    <t>18 438,00</t>
  </si>
  <si>
    <t>C:\BG\BridgeGroup\result\23.05.2023 17-43\ООО БРИДЖ ГРУПП\УПД №925 от 30.04.23.pdf</t>
  </si>
  <si>
    <t>27 913,20</t>
  </si>
  <si>
    <t>C:\BG\BridgeGroup\result\23.05.2023 17-43\ООО БРИДЖ ГРУПП\УПД №969 от 30.04.23.pdf</t>
  </si>
  <si>
    <t>C:\BG\BridgeGroup\result\23.05.2023 17-43\ООО Маркон\УПД №2279 от 02.05.23.pdf</t>
  </si>
  <si>
    <t>47 566,20</t>
  </si>
  <si>
    <t>C:\BG\BridgeGroup\result\23.05.2023 17-43\ООО СНС-Холдинг\УПД №3210_8174449293 от 03.05.23.pdf</t>
  </si>
  <si>
    <t>29 848,20</t>
  </si>
  <si>
    <t>C:\BG\BridgeGroup\result\23.05.2023 17-43\ООО СНС-Холдинг\УПД №3210_8174449449 от 03.05.23.pdf</t>
  </si>
  <si>
    <t>C:\BG\BridgeGroup\result\23.05.2023 17-43\ООО РИТЕЙЛ ПЕРСОНАЛ\УПД №111 от 30.04.23.pdf</t>
  </si>
  <si>
    <t>6 776,95</t>
  </si>
  <si>
    <t>C:\BG\BridgeGroup\result\23.05.2023 17-43\ООО Полезные продукты\УПД №ИгДМ0425_06 от 25.04.23.pdf</t>
  </si>
  <si>
    <t>7 326,56</t>
  </si>
  <si>
    <t>C:\BG\BridgeGroup\result\23.05.2023 17-43\ООО Полезные продукты\УПД №КУБО0426_15 от 26.04.23.pdf</t>
  </si>
  <si>
    <t>15 675,31</t>
  </si>
  <si>
    <t>C:\BG\BridgeGroup\result\23.05.2023 17-43\ООО Полезные продукты\УПД №ИгДМ0426_11 от 26.04.23.pdf</t>
  </si>
  <si>
    <t>C:\BG\BridgeGroup\result\23.05.2023 17-43\ООО Полезные продукты\УПД №ИгДМ0427_14 от 27.04.23.pdf</t>
  </si>
  <si>
    <t>10 727,36</t>
  </si>
  <si>
    <t>C:\BG\BridgeGroup\result\23.05.2023 17-43\ООО Полезные продукты\УПД №КУБО0427_11 от 27.04.23.pdf</t>
  </si>
  <si>
    <t>10 621,20</t>
  </si>
  <si>
    <t>C:\BG\BridgeGroup\result\23.05.2023 17-43\ООО ТОРГОВЫЙ ДОМ ХОЛОД\УПД №13470503-12 от 03.05.23.pdf</t>
  </si>
  <si>
    <t>205 392,00</t>
  </si>
  <si>
    <t>C:\BG\BridgeGroup\result\23.05.2023 17-43\ООО ПС СОЛЮШН\УПД №165 от 30.04.23.pdf</t>
  </si>
  <si>
    <t>46 943,17</t>
  </si>
  <si>
    <t>C:\BG\BridgeGroup\result\23.05.2023 17-43\ООО ВКУС ОН ТРЕЙД\УПД №SR110023204 от 04.05.23.pdf</t>
  </si>
  <si>
    <t>36 855,36</t>
  </si>
  <si>
    <t>C:\BG\BridgeGroup\result\23.05.2023 17-43\ООО ВКУС ОН ТРЕЙД\УПД №SR110023259 от 04.05.23.pdf</t>
  </si>
  <si>
    <t>7 044,48</t>
  </si>
  <si>
    <t>C:\BG\BridgeGroup\result\23.05.2023 17-43\АО «ТК «МЕГАПОЛИС»\УПД №4831_670F от 04.05.23.pdf</t>
  </si>
  <si>
    <t>27 434,04</t>
  </si>
  <si>
    <t>C:\BG\BridgeGroup\result\23.05.2023 17-43\АО «ТК «МЕГАПОЛИС»\УПД №4832_670F от 04.05.23.pdf</t>
  </si>
  <si>
    <t>31 614,84</t>
  </si>
  <si>
    <t>C:\BG\BridgeGroup\result\23.05.2023 17-43\АО «ТК «МЕГАПОЛИС»\УПД №15557_670E от 04.05.23.pdf</t>
  </si>
  <si>
    <t>1 969,93</t>
  </si>
  <si>
    <t>C:\BG\BridgeGroup\result\23.05.2023 17-43\АО «ТК «МЕГАПОЛИС»\УПД №15558_670E от 04.05.23.pdf</t>
  </si>
  <si>
    <t>20 917,92</t>
  </si>
  <si>
    <t>C:\BG\BridgeGroup\result\23.05.2023 17-43\АО «ТК «МЕГАПОЛИС»\УПД №15559_670E от 04.05.23.pdf</t>
  </si>
  <si>
    <t>48 846,48</t>
  </si>
  <si>
    <t>C:\BG\BridgeGroup\result\23.05.2023 17-43\АО «ТК «МЕГАПОЛИС»\УПД №18201_320E от 04.05.23.pdf</t>
  </si>
  <si>
    <t>3 302,35</t>
  </si>
  <si>
    <t>C:\BG\BridgeGroup\result\23.05.2023 17-43\АО «ТК «МЕГАПОЛИС»\УПД №18200_320E от 04.05.23.pdf</t>
  </si>
  <si>
    <t>2 961,44</t>
  </si>
  <si>
    <t>C:\BG\BridgeGroup\result\23.05.2023 17-43\АО «ТК «МЕГАПОЛИС»\УПД №18234_320E от 04.05.23.pdf</t>
  </si>
  <si>
    <t>68 561,40</t>
  </si>
  <si>
    <t>C:\BG\BridgeGroup\result\23.05.2023 17-43\АО «ТК «МЕГАПОЛИС»\УПД №18235_320E от 04.05.23.pdf</t>
  </si>
  <si>
    <t>5 568,50</t>
  </si>
  <si>
    <t>C:\BG\BridgeGroup\result\23.05.2023 17-43\ООО ЭНЕРГИЯ\УПД №UT-108361 от 04.05.23.pdf</t>
  </si>
  <si>
    <t>15 417,72</t>
  </si>
  <si>
    <t>C:\BG\BridgeGroup\result\23.05.2023 17-43\ООО ЭНЕРГИЯ\УПД №UT-108362 от 04.05.23.pdf</t>
  </si>
  <si>
    <t>ИП Алдошин Евгений Сергеевич</t>
  </si>
  <si>
    <t>3 031,26</t>
  </si>
  <si>
    <t>C:\BG\BridgeGroup\result\23.05.2023 17-43\ИП Алдошин Евгений Сергеевич\УПД №2320431 от 04.05.23.pdf</t>
  </si>
  <si>
    <t>C:\BG\BridgeGroup\result\23.05.2023 17-43\ООО СНС-Холдинг\Акт сверки №1800000616 от 04.05.23.pdf</t>
  </si>
  <si>
    <t>15 129,80</t>
  </si>
  <si>
    <t>C:\BG\BridgeGroup\result\23.05.2023 17-43\ООО МЕТРО Кэш энд Керри\УПД №61 003151 _ 069 от 04.05.23.pdf</t>
  </si>
  <si>
    <t>C:\BG\BridgeGroup\result\23.05.2023 17-43\ООО МЕТРО Кэш энд Керри\УПД №61 003152 _ 069 от 04.05.23.pdf</t>
  </si>
  <si>
    <t>4 581,24</t>
  </si>
  <si>
    <t>C:\BG\BridgeGroup\result\23.05.2023 17-43\ООО ТОРГОВЫЙ ДОМ ХОЛОД\УПД №13470503-15 от 03.05.23.pdf</t>
  </si>
  <si>
    <t>41 135,90</t>
  </si>
  <si>
    <t>C:\BG\BridgeGroup\result\23.05.2023 17-43\ООО СНС-Холдинг\УПД №3210_8174469120 от 04.05.23.pdf</t>
  </si>
  <si>
    <t>2 804,40</t>
  </si>
  <si>
    <t>C:\BG\BridgeGroup\result\23.05.2023 17-43\ООО ТОРГОВЫЙ ДОМ ХОЛОД\УПД №13470504-05 от 04.05.23.pdf</t>
  </si>
  <si>
    <t>2 860,92</t>
  </si>
  <si>
    <t>C:\BG\BridgeGroup\result\23.05.2023 17-43\ООО ТОРГОВЫЙ ДОМ ХОЛОД\УПД №13470504-02 от 04.05.23.pdf</t>
  </si>
  <si>
    <t>1 189,29</t>
  </si>
  <si>
    <t>C:\BG\BridgeGroup\result\23.05.2023 17-43\АО «ТК «МЕГАПОЛИС»\УПД №15793_670E от 05.05.23.pdf</t>
  </si>
  <si>
    <t>67 847,04</t>
  </si>
  <si>
    <t>C:\BG\BridgeGroup\result\23.05.2023 17-43\АО «ТК «МЕГАПОЛИС»\УПД №15794_670E от 05.05.23.pdf</t>
  </si>
  <si>
    <t>14 884,24</t>
  </si>
  <si>
    <t>C:\BG\BridgeGroup\result\23.05.2023 17-43\ООО ЭНЕРГИЯ\УПД №UT-109509 от 05.05.23.pdf</t>
  </si>
  <si>
    <t>508,03</t>
  </si>
  <si>
    <t>C:\BG\BridgeGroup\result\23.05.2023 17-43\ООО ЭНЕРГИЯ\УПД №UT-109419 от 05.05.23.pdf</t>
  </si>
  <si>
    <t>5 466,85</t>
  </si>
  <si>
    <t>C:\BG\BridgeGroup\result\23.05.2023 17-43\ООО ЭНЕРГИЯ\УПД №UT-109452 от 05.05.23.pdf</t>
  </si>
  <si>
    <t>2 697,46</t>
  </si>
  <si>
    <t>C:\BG\BridgeGroup\result\23.05.2023 17-43\ООО ЭНЕРГИЯ\УПД №UT-109453 от 05.05.23.pdf</t>
  </si>
  <si>
    <t>13 491,38</t>
  </si>
  <si>
    <t>C:\BG\BridgeGroup\result\23.05.2023 17-43\ООО ВКУС ОН ТРЕЙД\УПД №SR110023862 от 06.05.23.pdf</t>
  </si>
  <si>
    <t>29 019,48</t>
  </si>
  <si>
    <t>C:\BG\BridgeGroup\result\23.05.2023 17-43\ООО ВКУС ОН ТРЕЙД\УПД №SR110023859 от 06.05.23.pdf</t>
  </si>
  <si>
    <t xml:space="preserve">ООО "Север"
</t>
  </si>
  <si>
    <t>2 110,51</t>
  </si>
  <si>
    <t>C:\BG\BridgeGroup\result\23.05.2023 17-43\ООО Полезные продукты\УПД №ВАГР0501_13 от 01.05.23.pdf</t>
  </si>
  <si>
    <t>7 206,08</t>
  </si>
  <si>
    <t>C:\BG\BridgeGroup\result\23.05.2023 17-43\ООО ЭНЕРГИЯ\УПД №UT-104344 от 02.05.23.pdf</t>
  </si>
  <si>
    <t>5 556,97</t>
  </si>
  <si>
    <t>C:\BG\BridgeGroup\result\23.05.2023 17-43\ООО ЭНЕРГИЯ\УПД №UT-104337 от 02.05.23.pdf</t>
  </si>
  <si>
    <t>C:\BG\BridgeGroup\result\23.05.2023 17-43\ООО ЭНЕРГИЯ\УПД №UT-104339 от 02.05.23.pdf</t>
  </si>
  <si>
    <t>1 242,00</t>
  </si>
  <si>
    <t>C:\BG\BridgeGroup\result\23.05.2023 17-43\ООО ЭНЕРГИЯ\УПД №UT-104486 от 02.05.23.pdf</t>
  </si>
  <si>
    <t>10 050,28</t>
  </si>
  <si>
    <t>C:\BG\BridgeGroup\result\23.05.2023 17-43\ООО ЭНЕРГИЯ\УПД №UT-104488 от 02.05.23.pdf</t>
  </si>
  <si>
    <t>14 302,78</t>
  </si>
  <si>
    <t>C:\BG\BridgeGroup\result\23.05.2023 17-43\ООО ЭНЕРГИЯ\УПД №UT-104927 от 02.05.23.pdf</t>
  </si>
  <si>
    <t>3 336,49</t>
  </si>
  <si>
    <t>C:\BG\BridgeGroup\result\23.05.2023 17-43\ООО ЭНЕРГИЯ\УПД №UT-105203 от 02.05.23.pdf</t>
  </si>
  <si>
    <t>C:\BG\BridgeGroup\result\23.05.2023 17-43\ООО ЭНЕРГИЯ\УПД №UT-105204 от 02.05.23.pdf</t>
  </si>
  <si>
    <t>C:\BG\BridgeGroup\result\23.05.2023 17-43\ООО ЭНЕРГИЯ\УПД №UT-105214 от 02.05.23.pdf</t>
  </si>
  <si>
    <t>C:\BG\BridgeGroup\result\23.05.2023 17-43\ООО НИЛА СПРИНГС\УПД №2023_30_03_0133178 от 30.04.23.pdf</t>
  </si>
  <si>
    <t>C:\BG\BridgeGroup\result\23.05.2023 17-43\ООО НИЛА СПРИНГС\УПД №2023_30_03_0127992_38 от 01.05.23.pdf</t>
  </si>
  <si>
    <t>C:\BG\BridgeGroup\result\23.05.2023 17-43\ООО НИЛА СПРИНГС\УПД №2023_30_03_0127993_38 от 01.05.23.pdf</t>
  </si>
  <si>
    <t>18 020,16</t>
  </si>
  <si>
    <t>C:\BG\BridgeGroup\result\23.05.2023 17-43\ООО Полезные продукты\УПД №МОС0502_07 от 02.05.23.pdf</t>
  </si>
  <si>
    <t>C:\BG\BridgeGroup\result\23.05.2023 17-43\ООО Смартен\УПД №ОТ-3004-000027 от 30.04.23.pdf</t>
  </si>
  <si>
    <t>C:\BG\BridgeGroup\result\23.05.2023 17-43\ООО Смартен\УПД №ОТ-3004-000026 от 30.04.23.pdf</t>
  </si>
  <si>
    <t>C:\BG\BridgeGroup\result\23.05.2023 17-43\ООО Смартен\УПД №ОТ-3004-000025 от 30.04.23.pdf</t>
  </si>
  <si>
    <t>47 123,13</t>
  </si>
  <si>
    <t>C:\BG\BridgeGroup\result\23.05.2023 17-43\ООО ЭНЕРГИЯ\УПД №UT-106900 от 03.05.23.pdf</t>
  </si>
  <si>
    <t>8 184,25</t>
  </si>
  <si>
    <t>C:\BG\BridgeGroup\result\23.05.2023 17-43\ООО ЭНЕРГИЯ\УПД №UT-106871 от 03.05.23.pdf</t>
  </si>
  <si>
    <t>3 257,94</t>
  </si>
  <si>
    <t>C:\BG\BridgeGroup\result\23.05.2023 17-43\ООО ЭНЕРГИЯ\УПД №UT-106873 от 03.05.23.pdf</t>
  </si>
  <si>
    <t>2 731,20</t>
  </si>
  <si>
    <t>C:\BG\BridgeGroup\result\23.05.2023 17-43\ООО ЭНЕРГИЯ\УПД №UT-106899 от 03.05.23.pdf</t>
  </si>
  <si>
    <t>C:\BG\BridgeGroup\result\23.05.2023 17-43\ООО ЭНЕРГИЯ\УПД №UT-106903 от 03.05.23.pdf</t>
  </si>
  <si>
    <t>59 780,32</t>
  </si>
  <si>
    <t>C:\BG\BridgeGroup\result\23.05.2023 17-43\ООО ЭНЕРГИЯ\УПД №UT-106902 от 03.05.23.pdf</t>
  </si>
  <si>
    <t>15 812,29</t>
  </si>
  <si>
    <t>C:\BG\BridgeGroup\result\23.05.2023 17-43\ООО ЭНЕРГИЯ\УПД №UT-106904 от 03.05.23.pdf</t>
  </si>
  <si>
    <t>3 059,72</t>
  </si>
  <si>
    <t>C:\BG\BridgeGroup\result\23.05.2023 17-43\ООО ЭНЕРГИЯ\УПД №UT-106872 от 03.05.23.pdf</t>
  </si>
  <si>
    <t>C:\BG\BridgeGroup\result\23.05.2023 17-43\ООО ЭНЕРГИЯ\УПД №UT-106901 от 03.05.23.pdf</t>
  </si>
  <si>
    <t>7 473,47</t>
  </si>
  <si>
    <t>C:\BG\BridgeGroup\result\23.05.2023 17-43\ООО ПепсиКо Холдингс\УПД №01_00232183-23 от 03.05.23.pdf</t>
  </si>
  <si>
    <t>C:\BG\BridgeGroup\result\23.05.2023 17-43\ООО БРИДЖ ГРУПП\УПД №868 от 30.04.23.pdf</t>
  </si>
  <si>
    <t>C:\BG\BridgeGroup\result\23.05.2023 17-43\ООО БРИДЖ ГРУПП\УПД №900 от 30.04.23.pdf</t>
  </si>
  <si>
    <t>C:\BG\BridgeGroup\result\23.05.2023 17-43\ООО БРИДЖ ГРУПП\УПД №927 от 30.04.23.pdf</t>
  </si>
  <si>
    <t>C:\BG\BridgeGroup\result\23.05.2023 17-43\ООО БРИДЖ ГРУПП\УПД №971 от 30.04.23.pdf</t>
  </si>
  <si>
    <t>C:\BG\BridgeGroup\result\23.05.2023 17-43\ООО НИЛА СПРИНГС\УПД №2023_30_03_0134871_38 от 02.05.23.pdf</t>
  </si>
  <si>
    <t>C:\BG\BridgeGroup\result\23.05.2023 17-43\ООО НИЛА СПРИНГС\УПД №2023_30_03_0134870_38 от 02.05.23.pdf</t>
  </si>
  <si>
    <t>C:\BG\BridgeGroup\result\23.05.2023 17-43\ООО НИЛА СПРИНГС\УПД №2023_30_03_0134835_38 от 02.05.23.pdf</t>
  </si>
  <si>
    <t>ООО "ДЕЛИС МЕДИА"</t>
  </si>
  <si>
    <t>3 250,00</t>
  </si>
  <si>
    <t>C:\BG\BridgeGroup\result\23.05.2023 17-43\ООО ДЕЛИС МЕДИА\УПД №972 от 30.04.23.pdf</t>
  </si>
  <si>
    <t>42 270,28</t>
  </si>
  <si>
    <t>C:\BG\BridgeGroup\result\23.05.2023 17-43\ООО ТД ЛФБ\УПД №28182 от 03.05.23.pdf</t>
  </si>
  <si>
    <t>5 779,92</t>
  </si>
  <si>
    <t>C:\BG\BridgeGroup\result\23.05.2023 17-43\ООО ТД ЛФБ\УПД №27675 от 02.05.23.pdf</t>
  </si>
  <si>
    <t>2 908,08</t>
  </si>
  <si>
    <t>C:\BG\BridgeGroup\result\23.05.2023 17-43\ООО ТД ЛФБ\УПД №27619 от 02.05.23.pdf</t>
  </si>
  <si>
    <t>42 897,42</t>
  </si>
  <si>
    <t>C:\BG\BridgeGroup\result\23.05.2023 17-43\ООО ТД ЛФБ\УПД №27543 от 02.05.23.pdf</t>
  </si>
  <si>
    <t>8 855,72</t>
  </si>
  <si>
    <t>C:\BG\BridgeGroup\result\23.05.2023 17-43\ООО ТД ЛФБ\УПД №27224 от 02.05.23.pdf</t>
  </si>
  <si>
    <t>6 261,63</t>
  </si>
  <si>
    <t>C:\BG\BridgeGroup\result\23.05.2023 17-43\ООО ТД ЛФБ\УПД №27210 от 02.05.23.pdf</t>
  </si>
  <si>
    <t>10 245,24</t>
  </si>
  <si>
    <t>C:\BG\BridgeGroup\result\23.05.2023 17-43\ООО ТД ЛФБ\УПД №27189 от 02.05.23.pdf</t>
  </si>
  <si>
    <t>C:\BG\BridgeGroup\result\23.05.2023 17-43\ООО ТД ЛФБ\УПД №26691 от 02.05.23.pdf</t>
  </si>
  <si>
    <t>C:\BG\BridgeGroup\result\23.05.2023 17-43\ООО ТД ЛФБ\УПД №26687 от 02.05.23.pdf</t>
  </si>
  <si>
    <t>C:\BG\BridgeGroup\result\23.05.2023 17-43\ООО РИТЕЙЛ ПЕРСОНАЛ\УПД №113 от 30.04.23.pdf</t>
  </si>
  <si>
    <t>11 074,47</t>
  </si>
  <si>
    <t>C:\BG\BridgeGroup\result\23.05.2023 17-43\ООО Смартен\УПД №УТ-405-000119 от 04.05.23.pdf</t>
  </si>
  <si>
    <t>71 329,57</t>
  </si>
  <si>
    <t>C:\BG\BridgeGroup\result\23.05.2023 17-43\ООО Смартен\УПД №УТ-405-000103 от 04.05.23.pdf</t>
  </si>
  <si>
    <t>3 456,40</t>
  </si>
  <si>
    <t>C:\BG\BridgeGroup\result\23.05.2023 17-43\ООО Смартен\УПД №УТ-405-000093 от 04.05.23.pdf</t>
  </si>
  <si>
    <t>10 693,64</t>
  </si>
  <si>
    <t>C:\BG\BridgeGroup\result\23.05.2023 17-43\ООО КОМУС\УПД №28313880 от 03.05.23.pdf</t>
  </si>
  <si>
    <t>205 488,00</t>
  </si>
  <si>
    <t>C:\BG\BridgeGroup\result\23.05.2023 17-43\ООО ПС СОЛЮШН\УПД №166 от 30.04.23.pdf</t>
  </si>
  <si>
    <t>10 000,08</t>
  </si>
  <si>
    <t>C:\BG\BridgeGroup\result\23.05.2023 17-43\АО «ТК «МЕГАПОЛИС»\УПД №32637_760E от 04.05.23.pdf</t>
  </si>
  <si>
    <t>52 702,56</t>
  </si>
  <si>
    <t>C:\BG\BridgeGroup\result\23.05.2023 17-43\АО «ТК «МЕГАПОЛИС»\УПД №32638_760E от 04.05.23.pdf</t>
  </si>
  <si>
    <t>10 120,19</t>
  </si>
  <si>
    <t>C:\BG\BridgeGroup\result\23.05.2023 17-43\АО «ТК «МЕГАПОЛИС»\УПД №32639_760E от 04.05.23.pdf</t>
  </si>
  <si>
    <t>18 789,17</t>
  </si>
  <si>
    <t>C:\BG\BridgeGroup\result\23.05.2023 17-43\ООО ЭНЕРГИЯ\УПД №UT-108264 от 04.05.23.pdf</t>
  </si>
  <si>
    <t>6 554,88</t>
  </si>
  <si>
    <t>C:\BG\BridgeGroup\result\23.05.2023 17-43\ООО ЭНЕРГИЯ\УПД №UT-108265 от 04.05.23.pdf</t>
  </si>
  <si>
    <t>20 004,00</t>
  </si>
  <si>
    <t>C:\BG\BridgeGroup\result\23.05.2023 17-43\ООО ЭНЕРГИЯ\УПД №UT-108363 от 04.05.23.pdf</t>
  </si>
  <si>
    <t>3 823,68</t>
  </si>
  <si>
    <t>C:\BG\BridgeGroup\result\23.05.2023 17-43\ООО ЭНЕРГИЯ\УПД №UT-108364 от 04.05.23.pdf</t>
  </si>
  <si>
    <t>8 001,60</t>
  </si>
  <si>
    <t>C:\BG\BridgeGroup\result\23.05.2023 17-43\ООО ЭНЕРГИЯ\УПД №UT-108367 от 04.05.23.pdf</t>
  </si>
  <si>
    <t>84 368,59</t>
  </si>
  <si>
    <t>C:\BG\BridgeGroup\result\23.05.2023 17-43\ООО ЭНЕРГИЯ\УПД №UT-108365 от 04.05.23.pdf</t>
  </si>
  <si>
    <t>9 031,93</t>
  </si>
  <si>
    <t>C:\BG\BridgeGroup\result\23.05.2023 17-43\ООО ЭНЕРГИЯ\УПД №UT-108366 от 04.05.23.pdf</t>
  </si>
  <si>
    <t>C:\BG\BridgeGroup\result\23.05.2023 17-43\ООО НИЛА СПРИНГС\УПД №2023_30_03_0136616_38 от 03.05.23.pdf</t>
  </si>
  <si>
    <t>103 221,70</t>
  </si>
  <si>
    <t>C:\BG\BridgeGroup\result\23.05.2023 17-43\ООО СНС-Холдинг\УПД №5040_8174453571 от 04.05.23.pdf</t>
  </si>
  <si>
    <t>7 287,80</t>
  </si>
  <si>
    <t>C:\BG\BridgeGroup\result\23.05.2023 17-43\ООО СНС-Холдинг\УПД №5040_8174477871 от 04.05.23.pdf</t>
  </si>
  <si>
    <t>C:\BG\BridgeGroup\result\23.05.2023 17-43\ООО АЛЕФ ТРЕЙД МСК\УПД №1089 от 29.04.23.pdf</t>
  </si>
  <si>
    <t>10 900,00</t>
  </si>
  <si>
    <t>C:\BG\BridgeGroup\result\23.05.2023 17-43\ООО АЛЕФ ТРЕЙД МСК\УПД №1088 от 28.04.23.pdf</t>
  </si>
  <si>
    <t>4 800,00</t>
  </si>
  <si>
    <t>C:\BG\BridgeGroup\result\23.05.2023 17-43\ООО АЛЕФ ТРЕЙД МСК\УПД №1108 от 25.04.23.pdf</t>
  </si>
  <si>
    <t>8 110,56</t>
  </si>
  <si>
    <t>C:\BG\BridgeGroup\result\23.05.2023 17-43\ООО Полезные продукты\УПД №МОС0504_13 от 04.05.23.pdf</t>
  </si>
  <si>
    <t>46 646,24</t>
  </si>
  <si>
    <t>C:\BG\BridgeGroup\result\23.05.2023 17-43\ООО Смартен\УПД №УТ-505-000016 от 05.05.23.pdf</t>
  </si>
  <si>
    <t>1 458,72</t>
  </si>
  <si>
    <t>C:\BG\BridgeGroup\result\23.05.2023 17-43\ООО ТОРГОВЫЙ ДОМ ХОЛОД\УПД №17120504-11 от 04.05.23.pdf</t>
  </si>
  <si>
    <t>71 046,12</t>
  </si>
  <si>
    <t>C:\BG\BridgeGroup\result\23.05.2023 17-43\АО «ТК «МЕГАПОЛИС»\УПД №199284_777E от 05.05.23.pdf</t>
  </si>
  <si>
    <t>C:\BG\BridgeGroup\result\23.05.2023 17-43\АО «ТК «МЕГАПОЛИС»\УПД №199283_777E от 05.05.23.pdf</t>
  </si>
  <si>
    <t>144 105,12</t>
  </si>
  <si>
    <t>C:\BG\BridgeGroup\result\23.05.2023 17-43\АО «ТК «МЕГАПОЛИС»\УПД №199286_777E от 05.05.23.pdf</t>
  </si>
  <si>
    <t>7 373,23</t>
  </si>
  <si>
    <t>C:\BG\BridgeGroup\result\23.05.2023 17-43\АО «ТК «МЕГАПОЛИС»\УПД №199288_777E от 05.05.23.pdf</t>
  </si>
  <si>
    <t>188 195,76</t>
  </si>
  <si>
    <t>C:\BG\BridgeGroup\result\23.05.2023 17-43\АО «ТК «МЕГАПОЛИС»\УПД №199287_777E от 05.05.23.pdf</t>
  </si>
  <si>
    <t>10 184,55</t>
  </si>
  <si>
    <t>C:\BG\BridgeGroup\result\23.05.2023 17-43\АО «ТК «МЕГАПОЛИС»\УПД №199285_777E от 05.05.23.pdf</t>
  </si>
  <si>
    <t>151 313,04</t>
  </si>
  <si>
    <t>C:\BG\BridgeGroup\result\23.05.2023 17-43\АО «ТК «МЕГАПОЛИС»\УПД №199290_777E от 05.05.23.pdf</t>
  </si>
  <si>
    <t>17 012,46</t>
  </si>
  <si>
    <t>C:\BG\BridgeGroup\result\23.05.2023 17-43\АО «ТК «МЕГАПОЛИС»\УПД №199289_777E от 05.05.23.pdf</t>
  </si>
  <si>
    <t>C:\BG\BridgeGroup\result\23.05.2023 17-43\АО «ТК «МЕГАПОЛИС»\УПД №33090_760E от 05.05.23.pdf</t>
  </si>
  <si>
    <t>23 843,64</t>
  </si>
  <si>
    <t>C:\BG\BridgeGroup\result\23.05.2023 17-43\АО «ТК «МЕГАПОЛИС»\УПД №33089_760E от 05.05.23.pdf</t>
  </si>
  <si>
    <t>20 116,68</t>
  </si>
  <si>
    <t>C:\BG\BridgeGroup\result\23.05.2023 17-43\АО «ТК «МЕГАПОЛИС»\УПД №15656_506E от 05.05.23.pdf</t>
  </si>
  <si>
    <t>60 048,24</t>
  </si>
  <si>
    <t>C:\BG\BridgeGroup\result\23.05.2023 17-43\АО «ТК «МЕГАПОЛИС»\УПД №15659_506E от 05.05.23.pdf</t>
  </si>
  <si>
    <t>4 408,10</t>
  </si>
  <si>
    <t>C:\BG\BridgeGroup\result\23.05.2023 17-43\ООО КОМУС\УПД №28352199 от 04.05.23.pdf</t>
  </si>
  <si>
    <t>1 835,90</t>
  </si>
  <si>
    <t>C:\BG\BridgeGroup\result\23.05.2023 17-43\ООО ПепсиКо Холдингс\УПД №01_00237354-23 от 05.05.23.pdf</t>
  </si>
  <si>
    <t>3 174,69</t>
  </si>
  <si>
    <t>C:\BG\BridgeGroup\result\23.05.2023 17-43\ООО КОМУС\УПД №28357224 от 04.05.23.pdf</t>
  </si>
  <si>
    <t>9 201,90</t>
  </si>
  <si>
    <t>C:\BG\BridgeGroup\result\23.05.2023 17-43\ООО СНС-Холдинг\УПД №7610_8174496765 от 05.05.23.pdf</t>
  </si>
  <si>
    <t>19 045,30</t>
  </si>
  <si>
    <t>C:\BG\BridgeGroup\result\23.05.2023 17-43\ООО СНС-Холдинг\УПД №7610_8174509055 от 05.05.23.pdf</t>
  </si>
  <si>
    <t>21 341,90</t>
  </si>
  <si>
    <t>C:\BG\BridgeGroup\result\23.05.2023 17-43\ООО СНС-Холдинг\УПД №5040_8174496984 от 05.05.23.pdf</t>
  </si>
  <si>
    <t>5 851,45</t>
  </si>
  <si>
    <t>C:\BG\BridgeGroup\result\23.05.2023 17-43\ООО КОМУС\УПД №28368478 от 04.05.23.pdf</t>
  </si>
  <si>
    <t>40 477,79</t>
  </si>
  <si>
    <t>C:\BG\BridgeGroup\result\23.05.2023 17-43\ООО Смартен\УПД №УТ-705-000014 от 07.05.23.pdf</t>
  </si>
  <si>
    <t xml:space="preserve">ООО "Селект"
</t>
  </si>
  <si>
    <t>33 782,04</t>
  </si>
  <si>
    <t>C:\BG\BridgeGroup\result\23.05.2023 17-43\ООО ВКУС ОН ТРЕЙД\УПД №SR110022155 от 01.05.23.pdf</t>
  </si>
  <si>
    <t>5 105,00</t>
  </si>
  <si>
    <t>C:\BG\BridgeGroup\result\23.05.2023 17-43\ООО Полезные продукты\УПД №СОСТ0501_15 от 01.05.23.pdf</t>
  </si>
  <si>
    <t>14 265,80</t>
  </si>
  <si>
    <t>C:\BG\BridgeGroup\result\23.05.2023 17-43\АО «ТК «МЕГАПОЛИС»\УПД №191414_777E от 02.05.23.pdf</t>
  </si>
  <si>
    <t>53 460,31</t>
  </si>
  <si>
    <t>C:\BG\BridgeGroup\result\23.05.2023 17-43\АО «ТК «МЕГАПОЛИС»\УПД №191958_777E от 02.05.23.pdf</t>
  </si>
  <si>
    <t>C:\BG\BridgeGroup\result\23.05.2023 17-43\ООО ЭНЕРГИЯ\УПД №UT-105385 от 02.05.23.pdf</t>
  </si>
  <si>
    <t>52 730,86</t>
  </si>
  <si>
    <t>C:\BG\BridgeGroup\result\23.05.2023 17-43\ООО ЭНЕРГИЯ\УПД №UT-105366 от 02.05.23.pdf</t>
  </si>
  <si>
    <t>52 778,37</t>
  </si>
  <si>
    <t>C:\BG\BridgeGroup\result\23.05.2023 17-43\ООО ЭНЕРГИЯ\УПД №UT-105380 от 02.05.23.pdf</t>
  </si>
  <si>
    <t>44 403,14</t>
  </si>
  <si>
    <t>C:\BG\BridgeGroup\result\23.05.2023 17-43\ООО ЭНЕРГИЯ\УПД №UT-105381 от 02.05.23.pdf</t>
  </si>
  <si>
    <t>1 764,84</t>
  </si>
  <si>
    <t>C:\BG\BridgeGroup\result\23.05.2023 17-43\ООО ЭНЕРГИЯ\УПД №UT-105376 от 02.05.23.pdf</t>
  </si>
  <si>
    <t>10 541,30</t>
  </si>
  <si>
    <t>C:\BG\BridgeGroup\result\23.05.2023 17-43\ООО ЭНЕРГИЯ\УПД №UT-105378 от 02.05.23.pdf</t>
  </si>
  <si>
    <t>2 442,95</t>
  </si>
  <si>
    <t>C:\BG\BridgeGroup\result\23.05.2023 17-43\ООО ЭНЕРГИЯ\УПД №UT-105384 от 02.05.23.pdf</t>
  </si>
  <si>
    <t>2 958,06</t>
  </si>
  <si>
    <t>C:\BG\BridgeGroup\result\23.05.2023 17-43\ООО ЭНЕРГИЯ\УПД №UT-105386 от 02.05.23.pdf</t>
  </si>
  <si>
    <t>8 170,27</t>
  </si>
  <si>
    <t>C:\BG\BridgeGroup\result\23.05.2023 17-43\ООО ЭНЕРГИЯ\УПД №UT-105387 от 02.05.23.pdf</t>
  </si>
  <si>
    <t>1 654,08</t>
  </si>
  <si>
    <t>C:\BG\BridgeGroup\result\23.05.2023 17-43\ООО СНС-Холдинг\УПД №7740_8174358693 от 02.05.23.pdf</t>
  </si>
  <si>
    <t>35 665,60</t>
  </si>
  <si>
    <t>C:\BG\BridgeGroup\result\23.05.2023 17-43\ООО СНС-Холдинг\УПД №7740_8174351590 от 02.05.23.pdf</t>
  </si>
  <si>
    <t>17 966,90</t>
  </si>
  <si>
    <t>C:\BG\BridgeGroup\result\23.05.2023 17-43\ООО СНС-Холдинг\УПД №7720_8174359567 от 02.05.23.pdf</t>
  </si>
  <si>
    <t>300,00</t>
  </si>
  <si>
    <t>C:\BG\BridgeGroup\result\23.05.2023 17-43\ООО НИЛА СПРИНГС\УПД №2023_30_03_0133541 от 30.04.23.pdf</t>
  </si>
  <si>
    <t>C:\BG\BridgeGroup\result\23.05.2023 17-43\ООО НИЛА СПРИНГС\УПД №2023_30_03_0133543 от 30.04.23.pdf</t>
  </si>
  <si>
    <t>C:\BG\BridgeGroup\result\23.05.2023 17-43\ООО НИЛА СПРИНГС\УПД №2023_30_03_0132830 от 30.04.23.pdf</t>
  </si>
  <si>
    <t>C:\BG\BridgeGroup\result\23.05.2023 17-43\ООО НИЛА СПРИНГС\УПД №2023_30_03_0132836 от 30.04.23.pdf</t>
  </si>
  <si>
    <t>C:\BG\BridgeGroup\result\23.05.2023 17-43\ООО НИЛА СПРИНГС\УПД №2023_30_03_0132829 от 30.04.23.pdf</t>
  </si>
  <si>
    <t>C:\BG\BridgeGroup\result\23.05.2023 17-43\ООО НИЛА СПРИНГС\УПД №2023_30_03_0132787 от 30.04.23.pdf</t>
  </si>
  <si>
    <t>C:\BG\BridgeGroup\result\23.05.2023 17-43\ООО НИЛА СПРИНГС\УПД №2023_30_03_0131639 от 30.04.23.pdf</t>
  </si>
  <si>
    <t>C:\BG\BridgeGroup\result\23.05.2023 17-43\ООО НИЛА СПРИНГС\УПД №2023_30_03_0131641 от 30.04.23.pdf</t>
  </si>
  <si>
    <t>C:\BG\BridgeGroup\result\23.05.2023 17-43\ООО НИЛА СПРИНГС\УПД №2023_30_03_0131640 от 30.04.23.pdf</t>
  </si>
  <si>
    <t>33 432,70</t>
  </si>
  <si>
    <t>C:\BG\BridgeGroup\result\23.05.2023 17-43\ООО СНС-Холдинг\УПД №7740_8174371606 от 02.05.23.pdf</t>
  </si>
  <si>
    <t>C:\BG\BridgeGroup\result\23.05.2023 17-43\ООО Смартен\УПД №ОТ-3004-000024 от 30.04.23.pdf</t>
  </si>
  <si>
    <t>C:\BG\BridgeGroup\result\23.05.2023 17-43\ООО НИЛА СПРИНГС\УПД №2023_30_03_0134189 от 02.05.23.pdf</t>
  </si>
  <si>
    <t>52 104,48</t>
  </si>
  <si>
    <t>C:\BG\BridgeGroup\result\23.05.2023 17-43\АО «ТК «МЕГАПОЛИС»\УПД №193899_777E от 03.05.23.pdf</t>
  </si>
  <si>
    <t>C:\BG\BridgeGroup\result\23.05.2023 17-43\АО «ТК «МЕГАПОЛИС»\УПД №193900_777E от 03.05.23.pdf</t>
  </si>
  <si>
    <t>86 499,60</t>
  </si>
  <si>
    <t>C:\BG\BridgeGroup\result\23.05.2023 17-43\АО «ТК «МЕГАПОЛИС»\УПД №193967_777E от 03.05.23.pdf</t>
  </si>
  <si>
    <t>C:\BG\BridgeGroup\result\23.05.2023 17-43\ООО ЭНЕРГИЯ\УПД №UT-106714 от 03.05.23.pdf</t>
  </si>
  <si>
    <t>C:\BG\BridgeGroup\result\23.05.2023 17-43\ООО ЭНЕРГИЯ\УПД №UT-106972 от 03.05.23.pdf</t>
  </si>
  <si>
    <t>45 729,16</t>
  </si>
  <si>
    <t>C:\BG\BridgeGroup\result\23.05.2023 17-43\ООО ЭНЕРГИЯ\УПД №UT-106973 от 03.05.23.pdf</t>
  </si>
  <si>
    <t>24 863,75</t>
  </si>
  <si>
    <t>C:\BG\BridgeGroup\result\23.05.2023 17-43\ООО ЭНЕРГИЯ\УПД №UT-106715 от 03.05.23.pdf</t>
  </si>
  <si>
    <t>10 904,27</t>
  </si>
  <si>
    <t>C:\BG\BridgeGroup\result\23.05.2023 17-43\ООО ЭНЕРГИЯ\УПД №UT-106836 от 03.05.23.pdf</t>
  </si>
  <si>
    <t>74 899,99</t>
  </si>
  <si>
    <t>C:\BG\BridgeGroup\result\23.05.2023 17-43\ООО ЭНЕРГИЯ\УПД №UT-106835 от 03.05.23.pdf</t>
  </si>
  <si>
    <t>50 508,55</t>
  </si>
  <si>
    <t>C:\BG\BridgeGroup\result\23.05.2023 17-43\ООО ЭНЕРГИЯ\УПД №UT-106975 от 03.05.23.pdf</t>
  </si>
  <si>
    <t>4 577,32</t>
  </si>
  <si>
    <t>C:\BG\BridgeGroup\result\23.05.2023 17-43\ООО ЭНЕРГИЯ\УПД №UT-106974 от 03.05.23.pdf</t>
  </si>
  <si>
    <t>C:\BG\BridgeGroup\result\23.05.2023 17-43\ООО БРИДЖ ГРУПП\УПД №867 от 30.04.23.pdf</t>
  </si>
  <si>
    <t>C:\BG\BridgeGroup\result\23.05.2023 17-43\ООО БРИДЖ ГРУПП\УПД №899 от 30.04.23.pdf</t>
  </si>
  <si>
    <t>C:\BG\BridgeGroup\result\23.05.2023 17-43\ООО БРИДЖ ГРУПП\УПД №926 от 30.04.23.pdf</t>
  </si>
  <si>
    <t>C:\BG\BridgeGroup\result\23.05.2023 17-43\ООО БРИДЖ ГРУПП\УПД №970 от 30.04.23.pdf</t>
  </si>
  <si>
    <t>C:\BG\BridgeGroup\result\23.05.2023 17-43\ООО НИЛА СПРИНГС\УПД №2023_30_03_0136380 от 03.05.23.pdf</t>
  </si>
  <si>
    <t>12 541,41</t>
  </si>
  <si>
    <t>C:\BG\BridgeGroup\result\23.05.2023 17-43\ООО ТД ЛФБ\УПД №28055 от 03.05.23.pdf</t>
  </si>
  <si>
    <t>5 307,36</t>
  </si>
  <si>
    <t>C:\BG\BridgeGroup\result\23.05.2023 17-43\ООО ТД ЛФБ\УПД №27767 от 02.05.23.pdf</t>
  </si>
  <si>
    <t>5 153,68</t>
  </si>
  <si>
    <t>C:\BG\BridgeGroup\result\23.05.2023 17-43\ООО ТД ЛФБ\УПД №27762 от 02.05.23.pdf</t>
  </si>
  <si>
    <t>5 874,20</t>
  </si>
  <si>
    <t>C:\BG\BridgeGroup\result\23.05.2023 17-43\ООО ТД ЛФБ\УПД №27745 от 02.05.23.pdf</t>
  </si>
  <si>
    <t>14 643,56</t>
  </si>
  <si>
    <t>C:\BG\BridgeGroup\result\23.05.2023 17-43\ООО ТД ЛФБ\УПД №27254 от 02.05.23.pdf</t>
  </si>
  <si>
    <t>239 592,00</t>
  </si>
  <si>
    <t>C:\BG\BridgeGroup\result\23.05.2023 17-43\ООО ПС СОЛЮШН\УПД №167 от 30.04.23.pdf</t>
  </si>
  <si>
    <t>11 781,91</t>
  </si>
  <si>
    <t>C:\BG\BridgeGroup\result\23.05.2023 17-43\ООО ТД ЛФБ\УПД №28351 от 04.05.23.pdf</t>
  </si>
  <si>
    <t>240 700,80</t>
  </si>
  <si>
    <t>C:\BG\BridgeGroup\result\23.05.2023 17-43\АО «ТК «МЕГАПОЛИС»\УПД №196482_777E от 04.05.23.pdf</t>
  </si>
  <si>
    <t>659 596,20</t>
  </si>
  <si>
    <t>C:\BG\BridgeGroup\result\23.05.2023 17-43\АО «ТК «МЕГАПОЛИС»\УПД №197203_777E от 04.05.23.pdf</t>
  </si>
  <si>
    <t>32 272,79</t>
  </si>
  <si>
    <t>C:\BG\BridgeGroup\result\23.05.2023 17-43\ООО ЭНЕРГИЯ\УПД №UT-108114 от 04.05.23.pdf</t>
  </si>
  <si>
    <t>C:\BG\BridgeGroup\result\23.05.2023 17-43\ООО ЭНЕРГИЯ\УПД №UT-108208 от 04.05.23.pdf</t>
  </si>
  <si>
    <t>4 582,40</t>
  </si>
  <si>
    <t>C:\BG\BridgeGroup\result\23.05.2023 17-43\ООО КОМУС\УПД №28329696 от 03.05.23.pdf</t>
  </si>
  <si>
    <t>8 651,10</t>
  </si>
  <si>
    <t>C:\BG\BridgeGroup\result\23.05.2023 17-43\ООО КОМУС\УПД №28331751 от 03.05.23.pdf</t>
  </si>
  <si>
    <t>7 700,00</t>
  </si>
  <si>
    <t>C:\BG\BridgeGroup\result\23.05.2023 17-43\ООО АЛЕФ ТРЕЙД МСК\УПД №1082 от 29.04.23.pdf</t>
  </si>
  <si>
    <t>ООО "ЭКОГРУПП"</t>
  </si>
  <si>
    <t>C:\BG\BridgeGroup\result\23.05.2023 17-43\ООО ЭКОГРУПП\УПД №2452 от 30.04.23.pdf</t>
  </si>
  <si>
    <t>5 497,20</t>
  </si>
  <si>
    <t>C:\BG\BridgeGroup\result\23.05.2023 17-43\ООО Полезные продукты\УПД №СОСТ0504_11 от 04.05.23.pdf</t>
  </si>
  <si>
    <t>C:\BG\BridgeGroup\result\23.05.2023 17-43\ООО НИЛА СПРИНГС\УПД №2023_30_03_0137687 от 04.05.23.pdf</t>
  </si>
  <si>
    <t>C:\BG\BridgeGroup\result\23.05.2023 17-43\ООО НИЛА СПРИНГС\УПД №2023_30_03_0137497 от 04.05.23.pdf</t>
  </si>
  <si>
    <t>5 880,64</t>
  </si>
  <si>
    <t>C:\BG\BridgeGroup\result\23.05.2023 17-43\АО «ТК «МЕГАПОЛИС»\УПД №198930_777E от 05.05.23.pdf</t>
  </si>
  <si>
    <t>242 028,60</t>
  </si>
  <si>
    <t>C:\BG\BridgeGroup\result\23.05.2023 17-43\АО «ТК «МЕГАПОЛИС»\УПД №198931_777E от 05.05.23.pdf</t>
  </si>
  <si>
    <t>31 233,71</t>
  </si>
  <si>
    <t>C:\BG\BridgeGroup\result\23.05.2023 17-43\ООО ЭНЕРГИЯ\УПД №UT-109600 от 05.05.23.pdf</t>
  </si>
  <si>
    <t>1 435,52</t>
  </si>
  <si>
    <t>C:\BG\BridgeGroup\result\23.05.2023 17-43\ООО ПепсиКо Холдингс\УПД №03_00235410-23 от 05.05.23.pdf</t>
  </si>
  <si>
    <t>37 627,00</t>
  </si>
  <si>
    <t>C:\BG\BridgeGroup\result\23.05.2023 17-43\ООО СНС-Холдинг\УПД №7720_8174496989 от 05.05.23.pdf</t>
  </si>
  <si>
    <t>9 594,24</t>
  </si>
  <si>
    <t>C:\BG\BridgeGroup\result\23.05.2023 17-43\ООО ТОРГОВЫЙ ДОМ ХОЛОД\УПД №14970505-03 от 05.05.23.pdf</t>
  </si>
  <si>
    <t>14 232,00</t>
  </si>
  <si>
    <t>C:\BG\BridgeGroup\result\23.05.2023 17-43\ООО ТОРГОВЫЙ ДОМ ХОЛОД\УПД №14970505-07 от 05.05.23.pdf</t>
  </si>
  <si>
    <t>7 200,00</t>
  </si>
  <si>
    <t>C:\BG\BridgeGroup\result\23.05.2023 17-43\ООО АЛЕФ ТРЕЙД МСК\УПД №1134 от 04.05.23.pdf</t>
  </si>
  <si>
    <t>2 260,87</t>
  </si>
  <si>
    <t>C:\BG\BridgeGroup\result\23.05.2023 17-43\ООО ВКУС ОН ТРЕЙД\УПД №SR110023652 от 05.05.23.pdf</t>
  </si>
  <si>
    <t>3 920,00</t>
  </si>
  <si>
    <t>C:\BG\BridgeGroup\result\23.05.2023 17-43\ООО Смартен\УПД №УТ-605-000048 от 06.05.23.pdf</t>
  </si>
  <si>
    <t>36 843,76</t>
  </si>
  <si>
    <t>C:\BG\BridgeGroup\result\23.05.2023 17-43\ООО Смартен\УПД №УТ-605-000012 от 06.05.23.pdf</t>
  </si>
  <si>
    <t>21 701,06</t>
  </si>
  <si>
    <t>C:\BG\BridgeGroup\result\23.05.2023 17-43\ООО ПепсиКо Холдингс\УПД №03_00238656-23 от 06.05.23.pdf</t>
  </si>
  <si>
    <t>71 511,23</t>
  </si>
  <si>
    <t>C:\BG\BridgeGroup\result\23.05.2023 17-43\ООО ВКУС ОН ТРЕЙД\УПД №SR110024061 от 07.05.23.pdf</t>
  </si>
  <si>
    <t xml:space="preserve">ООО "СИБФОРМАТ"
</t>
  </si>
  <si>
    <t>ООО "ВИШЕРА- ПЛЮС"</t>
  </si>
  <si>
    <t>18 907,08</t>
  </si>
  <si>
    <t>C:\BG\BridgeGroup\result\23.05.2023 17-43\ООО ВИШЕРА- ПЛЮС\УПД №39778 от 29.04.23.pdf</t>
  </si>
  <si>
    <t>11 614,16</t>
  </si>
  <si>
    <t>C:\BG\BridgeGroup\result\23.05.2023 17-43\ООО ВИШЕРА- ПЛЮС\УПД №39763 от 29.04.23.pdf</t>
  </si>
  <si>
    <t>17 362,10</t>
  </si>
  <si>
    <t>C:\BG\BridgeGroup\result\23.05.2023 17-43\ООО ВИШЕРА- ПЛЮС\УПД №39685 от 28.04.23.pdf</t>
  </si>
  <si>
    <t>10 233,31</t>
  </si>
  <si>
    <t>C:\BG\BridgeGroup\result\23.05.2023 17-43\ООО ВИШЕРА- ПЛЮС\УПД №39668 от 28.04.23.pdf</t>
  </si>
  <si>
    <t>ООО "СВ ПРОФИ ПЛЮС"</t>
  </si>
  <si>
    <t>C:\BG\BridgeGroup\result\23.05.2023 17-43\ООО СВ ПРОФИ ПЛЮС\Акт об оказании услуг № 920 от 30 апреля 2023 г.pdf</t>
  </si>
  <si>
    <t>C:\BG\BridgeGroup\result\23.05.2023 17-43\ООО СВ ПРОФИ ПЛЮС\Акт об оказании услуг № 45 от 30 апреля 2023 г.pdf</t>
  </si>
  <si>
    <t>16 023,76</t>
  </si>
  <si>
    <t>C:\BG\BridgeGroup\result\23.05.2023 17-43\АО «ТК «МЕГАПОЛИС»\УПД №53348_540E от 03.05.23.pdf</t>
  </si>
  <si>
    <t>21 588,84</t>
  </si>
  <si>
    <t>C:\BG\BridgeGroup\result\23.05.2023 17-43\АО «ТК «МЕГАПОЛИС»\УПД №53349_540E от 03.05.23.pdf</t>
  </si>
  <si>
    <t>2 649,37</t>
  </si>
  <si>
    <t>C:\BG\BridgeGroup\result\23.05.2023 17-43\АО «ТК «МЕГАПОЛИС»\УПД №53357_540E от 03.05.23.pdf</t>
  </si>
  <si>
    <t>178 371,96</t>
  </si>
  <si>
    <t>C:\BG\BridgeGroup\result\23.05.2023 17-43\АО «ТК «МЕГАПОЛИС»\УПД №53356_540E от 03.05.23.pdf</t>
  </si>
  <si>
    <t>248,04</t>
  </si>
  <si>
    <t>C:\BG\BridgeGroup\result\23.05.2023 17-43\ООО КОМУС\УПД №28284533 от 02.05.23.pdf</t>
  </si>
  <si>
    <t>16 717,47</t>
  </si>
  <si>
    <t>C:\BG\BridgeGroup\result\23.05.2023 17-43\ООО ВИШЕРА- ПЛЮС\УПД №41013 от 02.05.23.pdf</t>
  </si>
  <si>
    <t>4 512,02</t>
  </si>
  <si>
    <t>C:\BG\BridgeGroup\result\23.05.2023 17-43\ООО КОМУС\УПД №28294884 от 02.05.23.pdf</t>
  </si>
  <si>
    <t>17 493,72</t>
  </si>
  <si>
    <t>C:\BG\BridgeGroup\result\23.05.2023 17-43\ООО СНС-Холдинг\УПД №5410_8174443895 от 03.05.23.pdf</t>
  </si>
  <si>
    <t>30 184,88</t>
  </si>
  <si>
    <t>C:\BG\BridgeGroup\result\23.05.2023 17-43\ООО СНС-Холдинг\УПД №5410_8174443894 от 03.05.23.pdf</t>
  </si>
  <si>
    <t>C:\BG\BridgeGroup\result\23.05.2023 17-43\ООО БРИДЖ ГРУПП\УПД №881 от 30.04.23.pdf</t>
  </si>
  <si>
    <t>11 800,80</t>
  </si>
  <si>
    <t>C:\BG\BridgeGroup\result\23.05.2023 17-43\ООО БРИДЖ ГРУПП\УПД №910 от 30.04.23.pdf</t>
  </si>
  <si>
    <t>15 804,00</t>
  </si>
  <si>
    <t>C:\BG\BridgeGroup\result\23.05.2023 17-43\ООО БРИДЖ ГРУПП\УПД №938 от 30.04.23.pdf</t>
  </si>
  <si>
    <t>23 925,60</t>
  </si>
  <si>
    <t>C:\BG\BridgeGroup\result\23.05.2023 17-43\ООО БРИДЖ ГРУПП\УПД №981 от 30.04.23.pdf</t>
  </si>
  <si>
    <t>C:\BG\BridgeGroup\result\23.05.2023 17-43\АО «ТК «МЕГАПОЛИС»\УПД №54090_540E от 04.05.23.pdf</t>
  </si>
  <si>
    <t>10 155,45</t>
  </si>
  <si>
    <t>C:\BG\BridgeGroup\result\23.05.2023 17-43\АО «ТК «МЕГАПОЛИС»\УПД №54088_540E от 04.05.23.pdf</t>
  </si>
  <si>
    <t>27 238,68</t>
  </si>
  <si>
    <t>C:\BG\BridgeGroup\result\23.05.2023 17-43\АО «ТК «МЕГАПОЛИС»\УПД №54087_540E от 04.05.23.pdf</t>
  </si>
  <si>
    <t>203 449,56</t>
  </si>
  <si>
    <t>C:\BG\BridgeGroup\result\23.05.2023 17-43\АО «ТК «МЕГАПОЛИС»\УПД №54092_540E от 04.05.23.pdf</t>
  </si>
  <si>
    <t>6 714,20</t>
  </si>
  <si>
    <t>C:\BG\BridgeGroup\result\23.05.2023 17-43\АО «ТК «МЕГАПОЛИС»\УПД №54091_540E от 04.05.23.pdf</t>
  </si>
  <si>
    <t>136 961,88</t>
  </si>
  <si>
    <t>C:\BG\BridgeGroup\result\23.05.2023 17-43\АО «ТК «МЕГАПОЛИС»\УПД №54089_540E от 04.05.23.pdf</t>
  </si>
  <si>
    <t>119 703,36</t>
  </si>
  <si>
    <t>C:\BG\BridgeGroup\result\23.05.2023 17-43\АО «ТК «МЕГАПОЛИС»\УПД №54093_540E от 04.05.23.pdf</t>
  </si>
  <si>
    <t>110 880,00</t>
  </si>
  <si>
    <t>C:\BG\BridgeGroup\result\23.05.2023 17-43\ООО ПС СОЛЮШН\УПД №168 от 30.04.23.pdf</t>
  </si>
  <si>
    <t>398,04</t>
  </si>
  <si>
    <t>C:\BG\BridgeGroup\result\23.05.2023 17-43\ООО КОМУС\УПД №28315658 от 03.05.23.pdf</t>
  </si>
  <si>
    <t>11 936,40</t>
  </si>
  <si>
    <t>C:\BG\BridgeGroup\result\23.05.2023 17-43\ООО КОМУС\УПД №28325026 от 03.05.23.pdf</t>
  </si>
  <si>
    <t>C:\BG\BridgeGroup\result\23.05.2023 17-43\ООО СНС-Холдинг\Акт сверки №1800000815 от 04.05.23.pdf</t>
  </si>
  <si>
    <t>3 989,67</t>
  </si>
  <si>
    <t>C:\BG\BridgeGroup\result\23.05.2023 17-43\ООО ЭНЕРГИЯ\УПД №UT-107994 от 04.05.23.pdf</t>
  </si>
  <si>
    <t>4 612,33</t>
  </si>
  <si>
    <t>C:\BG\BridgeGroup\result\23.05.2023 17-43\ООО ЭНЕРГИЯ\УПД №UT-107995 от 04.05.23.pdf</t>
  </si>
  <si>
    <t>2 907,36</t>
  </si>
  <si>
    <t>C:\BG\BridgeGroup\result\23.05.2023 17-43\ООО ЭНЕРГИЯ\УПД №UT-107996 от 04.05.23.pdf</t>
  </si>
  <si>
    <t>5 976,30</t>
  </si>
  <si>
    <t>C:\BG\BridgeGroup\result\23.05.2023 17-43\ООО ЭНЕРГИЯ\УПД №UT-107998 от 04.05.23.pdf</t>
  </si>
  <si>
    <t>6 570,01</t>
  </si>
  <si>
    <t>C:\BG\BridgeGroup\result\23.05.2023 17-43\ООО ЭНЕРГИЯ\УПД №UT-108004 от 04.05.23.pdf</t>
  </si>
  <si>
    <t>20 342,30</t>
  </si>
  <si>
    <t>C:\BG\BridgeGroup\result\23.05.2023 17-43\ООО ЭНЕРГИЯ\УПД №UT-108048 от 04.05.23.pdf</t>
  </si>
  <si>
    <t>49 858,90</t>
  </si>
  <si>
    <t>C:\BG\BridgeGroup\result\23.05.2023 17-43\ООО ЭНЕРГИЯ\УПД №UT-108046 от 04.05.23.pdf</t>
  </si>
  <si>
    <t>41 391,25</t>
  </si>
  <si>
    <t>C:\BG\BridgeGroup\result\23.05.2023 17-43\ООО ЭНЕРГИЯ\УПД №UT-108047 от 04.05.23.pdf</t>
  </si>
  <si>
    <t>22 916,28</t>
  </si>
  <si>
    <t>C:\BG\BridgeGroup\result\23.05.2023 17-43\ООО ЭНЕРГИЯ\УПД №UT-108055 от 04.05.23.pdf</t>
  </si>
  <si>
    <t>18 882,19</t>
  </si>
  <si>
    <t>C:\BG\BridgeGroup\result\23.05.2023 17-43\ООО ЭНЕРГИЯ\УПД №UT-108057 от 04.05.23.pdf</t>
  </si>
  <si>
    <t>48 404,76</t>
  </si>
  <si>
    <t>C:\BG\BridgeGroup\result\23.05.2023 17-43\АО «ТК «МЕГАПОЛИС»\УПД №54787_540E от 05.05.23.pdf</t>
  </si>
  <si>
    <t>932,18</t>
  </si>
  <si>
    <t>C:\BG\BridgeGroup\result\23.05.2023 17-43\АО «ТК «МЕГАПОЛИС»\УПД №54788_540E от 05.05.23.pdf</t>
  </si>
  <si>
    <t>10 632,09</t>
  </si>
  <si>
    <t>C:\BG\BridgeGroup\result\23.05.2023 17-43\ООО ВИШЕРА- ПЛЮС\УПД №41968 от 04.05.23.pdf</t>
  </si>
  <si>
    <t>13 284,87</t>
  </si>
  <si>
    <t>C:\BG\BridgeGroup\result\23.05.2023 17-43\ООО ВИШЕРА- ПЛЮС\УПД №41918 от 04.05.23.pdf</t>
  </si>
  <si>
    <t>9 852,28</t>
  </si>
  <si>
    <t>C:\BG\BridgeGroup\result\23.05.2023 17-43\ООО КОМУС\УПД №28355172 от 04.05.23.pdf</t>
  </si>
  <si>
    <t>10 915,76</t>
  </si>
  <si>
    <t>C:\BG\BridgeGroup\result\23.05.2023 17-43\ООО КОМУС\УПД №28360587 от 04.05.23.pdf</t>
  </si>
  <si>
    <t>1 635,00</t>
  </si>
  <si>
    <t>C:\BG\BridgeGroup\result\23.05.2023 17-43\ООО КЕХ еКоммерц\УПД №04-390321 от 30.04.23.pdf</t>
  </si>
  <si>
    <t>C:\BG\BridgeGroup\result\23.05.2023 17-43\ООО АЛЕФ ТРЕЙД МСК\УПД №1135 от 02.05.23.pdf</t>
  </si>
  <si>
    <t>ООО "Минводы Боржоми"</t>
  </si>
  <si>
    <t>C:\BG\BridgeGroup\result\23.05.2023 17-43\ООО Минводы Боржоми\УПД №477812 от 06.05.23.pdf</t>
  </si>
  <si>
    <t>1 386,00</t>
  </si>
  <si>
    <t>C:\BG\BridgeGroup\result\23.05.2023 17-43\ООО Минводы Боржоми\УПД №475716 от 06.05.23.pdf</t>
  </si>
  <si>
    <t xml:space="preserve">ООО "СПЕКТР"
</t>
  </si>
  <si>
    <t>6 448,56</t>
  </si>
  <si>
    <t>C:\BG\BridgeGroup\result\23.05.2023 17-43\ООО Полезные продукты\УПД №МОС0501_07 от 01.05.23.pdf</t>
  </si>
  <si>
    <t>15 806,74</t>
  </si>
  <si>
    <t>C:\BG\BridgeGroup\result\23.05.2023 17-43\АО «ТК «МЕГАПОЛИС»\УПД №191487_777E от 02.05.23.pdf</t>
  </si>
  <si>
    <t>376 050,72</t>
  </si>
  <si>
    <t>C:\BG\BridgeGroup\result\23.05.2023 17-43\АО «ТК «МЕГАПОЛИС»\УПД №191488_777E от 02.05.23.pdf</t>
  </si>
  <si>
    <t>44 520,14</t>
  </si>
  <si>
    <t>C:\BG\BridgeGroup\result\23.05.2023 17-43\ООО СНС-Холдинг\УПД №7740_8174371200 от 02.05.23.pdf</t>
  </si>
  <si>
    <t>C:\BG\BridgeGroup\result\23.05.2023 17-43\ООО НИЛА СПРИНГС\УПД №2023_30_03_0133509 от 30.04.23.pdf</t>
  </si>
  <si>
    <t>C:\BG\BridgeGroup\result\23.05.2023 17-43\ООО НИЛА СПРИНГС\УПД №2023_30_03_0133508 от 30.04.23.pdf</t>
  </si>
  <si>
    <t>C:\BG\BridgeGroup\result\23.05.2023 17-43\ООО НИЛА СПРИНГС\УПД №2023_30_03_0133510 от 30.04.23.pdf</t>
  </si>
  <si>
    <t>120,00</t>
  </si>
  <si>
    <t>C:\BG\BridgeGroup\result\23.05.2023 17-43\ООО НИЛА СПРИНГС\УПД №2023_30_03_0133507 от 30.04.23.pdf</t>
  </si>
  <si>
    <t>C:\BG\BridgeGroup\result\23.05.2023 17-43\ООО НИЛА СПРИНГС\УПД №2023_30_03_0132797 от 30.04.23.pdf</t>
  </si>
  <si>
    <t>C:\BG\BridgeGroup\result\23.05.2023 17-43\ООО НИЛА СПРИНГС\УПД №2023_30_03_0131649 от 30.04.23.pdf</t>
  </si>
  <si>
    <t>C:\BG\BridgeGroup\result\23.05.2023 17-43\ООО НИЛА СПРИНГС\УПД №2023_30_03_0131647 от 30.04.23.pdf</t>
  </si>
  <si>
    <t>C:\BG\BridgeGroup\result\23.05.2023 17-43\ООО НИЛА СПРИНГС\УПД №2023_30_03_0131648 от 30.04.23.pdf</t>
  </si>
  <si>
    <t>C:\BG\BridgeGroup\result\23.05.2023 17-43\ООО НИЛА СПРИНГС\УПД №2023_30_03_0126887_41 от 28.04.23.pdf</t>
  </si>
  <si>
    <t>16 400,00</t>
  </si>
  <si>
    <t>C:\BG\BridgeGroup\result\23.05.2023 17-43\ООО Смартен\УПД №ОТ-3004-000028 от 30.04.23.pdf</t>
  </si>
  <si>
    <t>17.04.2023</t>
  </si>
  <si>
    <t>2 938,80</t>
  </si>
  <si>
    <t>C:\BG\BridgeGroup\result\23.05.2023 17-43\ООО Маркон\УПД №1753 от 17.04.23.pdf</t>
  </si>
  <si>
    <t>39 523,50</t>
  </si>
  <si>
    <t>C:\BG\BridgeGroup\result\23.05.2023 17-43\ООО ЭНЕРГИЯ\УПД №UT-106774 от 03.05.23.pdf</t>
  </si>
  <si>
    <t>C:\BG\BridgeGroup\result\23.05.2023 17-43\ООО ЭНЕРГИЯ\УПД №UT-106773 от 03.05.23.pdf</t>
  </si>
  <si>
    <t>19 842,79</t>
  </si>
  <si>
    <t>C:\BG\BridgeGroup\result\23.05.2023 17-43\ООО ПепсиКо Холдингс\УПД №02_00167400-23 от 03.05.23.pdf</t>
  </si>
  <si>
    <t>C:\BG\BridgeGroup\result\23.05.2023 17-43\ООО БРИДЖ ГРУПП\УПД №871 от 30.04.23.pdf</t>
  </si>
  <si>
    <t>C:\BG\BridgeGroup\result\23.05.2023 17-43\ООО БРИДЖ ГРУПП\УПД №902 от 30.04.23.pdf</t>
  </si>
  <si>
    <t>C:\BG\BridgeGroup\result\23.05.2023 17-43\ООО БРИДЖ ГРУПП\УПД №930 от 30.04.23.pdf</t>
  </si>
  <si>
    <t>C:\BG\BridgeGroup\result\23.05.2023 17-43\ООО БРИДЖ ГРУПП\УПД №974 от 30.04.23.pdf</t>
  </si>
  <si>
    <t>7 258,49</t>
  </si>
  <si>
    <t>C:\BG\BridgeGroup\result\23.05.2023 17-43\ООО ПепсиКо Холдингс\УПД №02_00167715-23 от 03.05.23.pdf</t>
  </si>
  <si>
    <t>7 902,95</t>
  </si>
  <si>
    <t>C:\BG\BridgeGroup\result\23.05.2023 17-43\ООО ТД ЛФБ\УПД №27948 от 03.05.23.pdf</t>
  </si>
  <si>
    <t>5 349,12</t>
  </si>
  <si>
    <t>C:\BG\BridgeGroup\result\23.05.2023 17-43\ООО ТД ЛФБ\УПД №27764 от 02.05.23.pdf</t>
  </si>
  <si>
    <t>4 906,68</t>
  </si>
  <si>
    <t>C:\BG\BridgeGroup\result\23.05.2023 17-43\ООО ТД ЛФБ\УПД №27744 от 02.05.23.pdf</t>
  </si>
  <si>
    <t>8 116,56</t>
  </si>
  <si>
    <t>C:\BG\BridgeGroup\result\23.05.2023 17-43\ООО ТД ЛФБ\УПД №27737 от 02.05.23.pdf</t>
  </si>
  <si>
    <t>15 395,94</t>
  </si>
  <si>
    <t>C:\BG\BridgeGroup\result\23.05.2023 17-43\ООО ТД ЛФБ\УПД №28179 от 03.05.23.pdf</t>
  </si>
  <si>
    <t>C:\BG\BridgeGroup\result\23.05.2023 17-43\ООО РИТЕЙЛ ПЕРСОНАЛ\УПД №114 от 30.04.23.pdf</t>
  </si>
  <si>
    <t>27 927,00</t>
  </si>
  <si>
    <t>C:\BG\BridgeGroup\result\23.05.2023 17-43\ООО Смартен\УПД №УТ-405-000042 от 04.05.23.pdf</t>
  </si>
  <si>
    <t>6 661,52</t>
  </si>
  <si>
    <t>C:\BG\BridgeGroup\result\23.05.2023 17-43\ООО Полезные продукты\УПД №МОС0503_15 от 03.05.23.pdf</t>
  </si>
  <si>
    <t>218 676,00</t>
  </si>
  <si>
    <t>C:\BG\BridgeGroup\result\23.05.2023 17-43\ООО ПС СОЛЮШН\УПД №169 от 30.04.23.pdf</t>
  </si>
  <si>
    <t>C:\BG\BridgeGroup\result\23.05.2023 17-43\ООО ЭНЕРГИЯ\УПД №UT-108489 от 04.05.23.pdf</t>
  </si>
  <si>
    <t>11 681,14</t>
  </si>
  <si>
    <t>C:\BG\BridgeGroup\result\23.05.2023 17-43\ООО ЭНЕРГИЯ\УПД №UT-108491 от 04.05.23.pdf</t>
  </si>
  <si>
    <t>07.03.2023</t>
  </si>
  <si>
    <t>3 529,68</t>
  </si>
  <si>
    <t>C:\BG\BridgeGroup\result\23.05.2023 17-43\ООО ЭНЕРГИЯ\УПД №UT-51365 от 07.03.23.pdf</t>
  </si>
  <si>
    <t>3 273,60</t>
  </si>
  <si>
    <t>C:\BG\BridgeGroup\result\23.05.2023 17-43\ООО НИЛА СПРИНГС\УПД №2023_30_03_0136771_38 от 03.05.23.pdf</t>
  </si>
  <si>
    <t>C:\BG\BridgeGroup\result\23.05.2023 17-43\ООО НИЛА СПРИНГС\УПД №2023_30_03_0136772_38 от 03.05.23.pdf</t>
  </si>
  <si>
    <t>4 315,20</t>
  </si>
  <si>
    <t>C:\BG\BridgeGroup\result\23.05.2023 17-43\ООО НИЛА СПРИНГС\УПД №2023_30_03_0136770_38 от 03.05.23.pdf</t>
  </si>
  <si>
    <t>C:\BG\BridgeGroup\result\23.05.2023 17-43\ООО НИЛА СПРИНГС\УПД №2023_30_03_0136709_38 от 03.05.23.pdf</t>
  </si>
  <si>
    <t>C:\BG\BridgeGroup\result\23.05.2023 17-43\ООО АЛЕФ ТРЕЙД МСК\УПД №1080 от 30.04.23.pdf</t>
  </si>
  <si>
    <t>29 935,44</t>
  </si>
  <si>
    <t>C:\BG\BridgeGroup\result\23.05.2023 17-43\ООО ТД ЛФБ\УПД №28593 от 05.05.23.pdf</t>
  </si>
  <si>
    <t>97 094,64</t>
  </si>
  <si>
    <t>C:\BG\BridgeGroup\result\23.05.2023 17-43\АО «ТК «МЕГАПОЛИС»\УПД №199350_777E от 05.05.23.pdf</t>
  </si>
  <si>
    <t>213 156,00</t>
  </si>
  <si>
    <t>C:\BG\BridgeGroup\result\23.05.2023 17-43\АО «ТК «МЕГАПОЛИС»\УПД №199351_777E от 05.05.23.pdf</t>
  </si>
  <si>
    <t>12 781,89</t>
  </si>
  <si>
    <t>C:\BG\BridgeGroup\result\23.05.2023 17-43\АО «ТК «МЕГАПОЛИС»\УПД №199353_777E от 05.05.23.pdf</t>
  </si>
  <si>
    <t>34 732,25</t>
  </si>
  <si>
    <t>C:\BG\BridgeGroup\result\23.05.2023 17-43\АО «ТК «МЕГАПОЛИС»\УПД №199352_777E от 05.05.23.pdf</t>
  </si>
  <si>
    <t>416,00</t>
  </si>
  <si>
    <t>C:\BG\BridgeGroup\result\23.05.2023 17-43\ООО ЭНЕРГИЯ\УПД №UT-109757 от 05.05.23.pdf</t>
  </si>
  <si>
    <t>3 113,13</t>
  </si>
  <si>
    <t>C:\BG\BridgeGroup\result\23.05.2023 17-43\ООО ЭНЕРГИЯ\УПД №UT-109601 от 05.05.23.pdf</t>
  </si>
  <si>
    <t>2 750,08</t>
  </si>
  <si>
    <t>C:\BG\BridgeGroup\result\23.05.2023 17-43\ООО ЭНЕРГИЯ\УПД №UT-109670 от 05.05.23.pdf</t>
  </si>
  <si>
    <t>2 764,80</t>
  </si>
  <si>
    <t>C:\BG\BridgeGroup\result\23.05.2023 17-43\ООО ЭНЕРГИЯ\УПД №UT-109705 от 05.05.23.pdf</t>
  </si>
  <si>
    <t>C:\BG\BridgeGroup\result\23.05.2023 17-43\ООО ЭНЕРГИЯ\УПД №UT-109706 от 05.05.23.pdf</t>
  </si>
  <si>
    <t>3 971,08</t>
  </si>
  <si>
    <t>C:\BG\BridgeGroup\result\23.05.2023 17-43\ООО ЭНЕРГИЯ\УПД №UT-109673 от 05.05.23.pdf</t>
  </si>
  <si>
    <t>8 829,00</t>
  </si>
  <si>
    <t>C:\BG\BridgeGroup\result\23.05.2023 17-43\ООО КОМУС\УПД №28361213 от 04.05.23.pdf</t>
  </si>
  <si>
    <t>C:\BG\BridgeGroup\result\23.05.2023 17-43\ООО ПепсиКо Холдингс\УПД №02_00170281-23 от 05.05.23.pdf</t>
  </si>
  <si>
    <t>9 179,52</t>
  </si>
  <si>
    <t>C:\BG\BridgeGroup\result\23.05.2023 17-43\ООО ПепсиКо Холдингс\УПД №02_00170278-23 от 05.05.23.pdf</t>
  </si>
  <si>
    <t>21 176,58</t>
  </si>
  <si>
    <t>C:\BG\BridgeGroup\result\23.05.2023 17-43\ООО СНС-Холдинг\УПД №5050_8174496990 от 05.05.23.pdf</t>
  </si>
  <si>
    <t>16 129,79</t>
  </si>
  <si>
    <t>C:\BG\BridgeGroup\result\23.05.2023 17-43\ООО ЭНЕРГИЯ\УПД №UT-109749 от 05.05.23.pdf</t>
  </si>
  <si>
    <t>17 636,22</t>
  </si>
  <si>
    <t>C:\BG\BridgeGroup\result\23.05.2023 17-43\ООО ЭНЕРГИЯ\УПД №UT-109610 от 05.05.23.pdf</t>
  </si>
  <si>
    <t>5 077,95</t>
  </si>
  <si>
    <t>C:\BG\BridgeGroup\result\23.05.2023 17-43\ООО ЭНЕРГИЯ\УПД №UT-109707 от 05.05.23.pdf</t>
  </si>
  <si>
    <t>C:\BG\BridgeGroup\result\23.05.2023 17-43\ООО ЭНЕРГИЯ\УПД №UT-109759 от 05.05.23.pdf</t>
  </si>
  <si>
    <t>4 764,04</t>
  </si>
  <si>
    <t>C:\BG\BridgeGroup\result\23.05.2023 17-43\ООО КОМУС\УПД №28367744 от 04.05.23.pdf</t>
  </si>
  <si>
    <t>3 249,98</t>
  </si>
  <si>
    <t>C:\BG\BridgeGroup\result\23.05.2023 17-43\ООО КОМУС\УПД №28368057 от 04.05.23.pdf</t>
  </si>
  <si>
    <t>C:\BG\BridgeGroup\result\23.05.2023 17-43\ООО НИЛА СПРИНГС\УПД №2023_30_03_0137436_41 от 04.05.23.pdf</t>
  </si>
  <si>
    <t>C:\BG\BridgeGroup\result\23.05.2023 17-43\ООО НИЛА СПРИНГС\УПД №2023_30_03_0138419_38 от 04.05.23.pdf</t>
  </si>
  <si>
    <t>88 957,16</t>
  </si>
  <si>
    <t>C:\BG\BridgeGroup\result\23.05.2023 17-43\ООО ЭНЕРГИЯ\УПД №UT-108490 от 04.05.23.pdf</t>
  </si>
  <si>
    <t>10 431,12</t>
  </si>
  <si>
    <t>C:\BG\BridgeGroup\result\23.05.2023 17-43\ООО ТОРГОВЫЙ ДОМ ХОЛОД\УПД №10740505-09 от 05.05.23.pdf</t>
  </si>
  <si>
    <t>6 383,09</t>
  </si>
  <si>
    <t>C:\BG\BridgeGroup\result\23.05.2023 17-43\ООО ПепсиКо Холдингс\УПД №02_00172630-23 от 06.05.23.pdf</t>
  </si>
  <si>
    <t>10 972,86</t>
  </si>
  <si>
    <t>C:\BG\BridgeGroup\result\23.05.2023 17-43\ООО ПепсиКо Холдингс\УПД №02_00173173-23 от 06.05.23.pdf</t>
  </si>
  <si>
    <t xml:space="preserve">ООО "Стар-С"
</t>
  </si>
  <si>
    <t>82 906,80</t>
  </si>
  <si>
    <t>C:\BG\BridgeGroup\result\23.05.2023 17-43\ООО ЭНЕРГИЯ\УПД №UT-105012 от 02.05.23.pdf</t>
  </si>
  <si>
    <t>16 711,42</t>
  </si>
  <si>
    <t>C:\BG\BridgeGroup\result\23.05.2023 17-43\ООО ЭНЕРГИЯ\УПД №UT-105017 от 02.05.23.pdf</t>
  </si>
  <si>
    <t>66 373,39</t>
  </si>
  <si>
    <t>C:\BG\BridgeGroup\result\23.05.2023 17-43\ООО ЭНЕРГИЯ\УПД №UT-105401 от 02.05.23.pdf</t>
  </si>
  <si>
    <t>51 019,23</t>
  </si>
  <si>
    <t>C:\BG\BridgeGroup\result\23.05.2023 17-43\ООО ЭНЕРГИЯ\УПД №UT-105402 от 02.05.23.pdf</t>
  </si>
  <si>
    <t>71 119,22</t>
  </si>
  <si>
    <t>C:\BG\BridgeGroup\result\23.05.2023 17-43\ООО ЭНЕРГИЯ\УПД №UT-105404 от 02.05.23.pdf</t>
  </si>
  <si>
    <t>4 395,17</t>
  </si>
  <si>
    <t>C:\BG\BridgeGroup\result\23.05.2023 17-43\ООО ЭНЕРГИЯ\УПД №UT-105005 от 02.05.23.pdf</t>
  </si>
  <si>
    <t>C:\BG\BridgeGroup\result\23.05.2023 17-43\ООО ЭНЕРГИЯ\УПД №UT-105007 от 02.05.23.pdf</t>
  </si>
  <si>
    <t>7 063,85</t>
  </si>
  <si>
    <t>C:\BG\BridgeGroup\result\23.05.2023 17-43\ООО ЭНЕРГИЯ\УПД №UT-105013 от 02.05.23.pdf</t>
  </si>
  <si>
    <t>C:\BG\BridgeGroup\result\23.05.2023 17-43\ООО ЭНЕРГИЯ\УПД №UT-105015 от 02.05.23.pdf</t>
  </si>
  <si>
    <t>3 296,32</t>
  </si>
  <si>
    <t>C:\BG\BridgeGroup\result\23.05.2023 17-43\ООО ЭНЕРГИЯ\УПД №UT-105396 от 02.05.23.pdf</t>
  </si>
  <si>
    <t>C:\BG\BridgeGroup\result\23.05.2023 17-43\ООО ЭНЕРГИЯ\УПД №UT-105408 от 02.05.23.pdf</t>
  </si>
  <si>
    <t>1 732,98</t>
  </si>
  <si>
    <t>C:\BG\BridgeGroup\result\23.05.2023 17-43\ООО ЭНЕРГИЯ\УПД №UT-105412 от 02.05.23.pdf</t>
  </si>
  <si>
    <t>8 383,84</t>
  </si>
  <si>
    <t>C:\BG\BridgeGroup\result\23.05.2023 17-43\ООО ЭНЕРГИЯ\УПД №UT-105644 от 02.05.23.pdf</t>
  </si>
  <si>
    <t>C:\BG\BridgeGroup\result\23.05.2023 17-43\ООО ЭНЕРГИЯ\УПД №UT-105645 от 02.05.23.pdf</t>
  </si>
  <si>
    <t>29 658,23</t>
  </si>
  <si>
    <t>C:\BG\BridgeGroup\result\23.05.2023 17-43\ООО ЭНЕРГИЯ\УПД №UT-105646 от 02.05.23.pdf</t>
  </si>
  <si>
    <t>4 916,16</t>
  </si>
  <si>
    <t>C:\BG\BridgeGroup\result\23.05.2023 17-43\ООО ЭНЕРГИЯ\УПД №UT-105647 от 02.05.23.pdf</t>
  </si>
  <si>
    <t>18 952,90</t>
  </si>
  <si>
    <t>C:\BG\BridgeGroup\result\23.05.2023 17-43\ООО СНС-Холдинг\УПД №5010_8174376641 от 02.05.23.pdf</t>
  </si>
  <si>
    <t>65 213,18</t>
  </si>
  <si>
    <t>C:\BG\BridgeGroup\result\23.05.2023 17-43\ООО СНС-Холдинг\УПД №5010_8174351413 от 02.05.23.pdf</t>
  </si>
  <si>
    <t>2 581,65</t>
  </si>
  <si>
    <t>C:\BG\BridgeGroup\result\23.05.2023 17-43\ООО ПепсиКо Холдингс\УПД №03_00229431-23 от 02.05.23.pdf</t>
  </si>
  <si>
    <t>C:\BG\BridgeGroup\result\23.05.2023 17-43\ООО НИЛА СПРИНГС\УПД №2023_30_03_0133500 от 30.04.23.pdf</t>
  </si>
  <si>
    <t>C:\BG\BridgeGroup\result\23.05.2023 17-43\ООО НИЛА СПРИНГС\УПД №2023_30_03_0131646 от 30.04.23.pdf</t>
  </si>
  <si>
    <t>C:\BG\BridgeGroup\result\23.05.2023 17-43\ООО НИЛА СПРИНГС\УПД №2023_30_03_0134152 от 02.05.23.pdf</t>
  </si>
  <si>
    <t>C:\BG\BridgeGroup\result\23.05.2023 17-43\ООО Смартен\УПД №ОТ-3004-000031 от 30.04.23.pdf</t>
  </si>
  <si>
    <t>C:\BG\BridgeGroup\result\23.05.2023 17-43\ООО Смартен\УПД №ОТ-3004-000029 от 30.04.23.pdf</t>
  </si>
  <si>
    <t>95 184,59</t>
  </si>
  <si>
    <t>C:\BG\BridgeGroup\result\23.05.2023 17-43\ООО ЭНЕРГИЯ\УПД №UT-106725 от 03.05.23.pdf</t>
  </si>
  <si>
    <t>19 997,99</t>
  </si>
  <si>
    <t>C:\BG\BridgeGroup\result\23.05.2023 17-43\ООО ЭНЕРГИЯ\УПД №UT-106723 от 03.05.23.pdf</t>
  </si>
  <si>
    <t>2 648,85</t>
  </si>
  <si>
    <t>C:\BG\BridgeGroup\result\23.05.2023 17-43\ООО ЭНЕРГИЯ\УПД №UT-106724 от 03.05.23.pdf</t>
  </si>
  <si>
    <t>77 479,13</t>
  </si>
  <si>
    <t>C:\BG\BridgeGroup\result\23.05.2023 17-43\ООО ЭНЕРГИЯ\УПД №UT-107071 от 03.05.23.pdf</t>
  </si>
  <si>
    <t>C:\BG\BridgeGroup\result\23.05.2023 17-43\ООО ЭНЕРГИЯ\УПД №UT-107041 от 03.05.23.pdf</t>
  </si>
  <si>
    <t>105 935,30</t>
  </si>
  <si>
    <t>C:\BG\BridgeGroup\result\23.05.2023 17-43\ООО Смартен\УПД №УТ-305-000132 от 03.05.23.pdf</t>
  </si>
  <si>
    <t>5 740,00</t>
  </si>
  <si>
    <t>C:\BG\BridgeGroup\result\23.05.2023 17-43\ООО Смартен\УПД №УТ-305-000130 от 03.05.23.pdf</t>
  </si>
  <si>
    <t>12 400,00</t>
  </si>
  <si>
    <t>C:\BG\BridgeGroup\result\23.05.2023 17-43\ООО Смартен\УПД №УТ-305-000127 от 03.05.23.pdf</t>
  </si>
  <si>
    <t>C:\BG\BridgeGroup\result\23.05.2023 17-43\ООО БРИДЖ ГРУПП\УПД №872 от 30.04.23.pdf</t>
  </si>
  <si>
    <t>C:\BG\BridgeGroup\result\23.05.2023 17-43\ООО БРИДЖ ГРУПП\УПД №903 от 30.04.23.pdf</t>
  </si>
  <si>
    <t>C:\BG\BridgeGroup\result\23.05.2023 17-43\ООО БРИДЖ ГРУПП\УПД №931 от 30.04.23.pdf</t>
  </si>
  <si>
    <t>C:\BG\BridgeGroup\result\23.05.2023 17-43\ООО БРИДЖ ГРУПП\УПД №975 от 30.04.23.pdf</t>
  </si>
  <si>
    <t>ООО "ПЯТНИЦКАЯ МЕД"</t>
  </si>
  <si>
    <t>48 550,00</t>
  </si>
  <si>
    <t>C:\BG\BridgeGroup\result\23.05.2023 17-43\ООО ПЯТНИЦКАЯ МЕД\УПД №1588 от 30.04.23.pdf</t>
  </si>
  <si>
    <t>11 404,24</t>
  </si>
  <si>
    <t>C:\BG\BridgeGroup\result\23.05.2023 17-43\ООО ТД ЛФБ\УПД №27538 от 02.05.23.pdf</t>
  </si>
  <si>
    <t>26 905,95</t>
  </si>
  <si>
    <t>C:\BG\BridgeGroup\result\23.05.2023 17-43\ООО ТД ЛФБ\УПД №27524 от 02.05.23.pdf</t>
  </si>
  <si>
    <t>4 680,88</t>
  </si>
  <si>
    <t>C:\BG\BridgeGroup\result\23.05.2023 17-43\ООО ТД ЛФБ\УПД №27362 от 02.05.23.pdf</t>
  </si>
  <si>
    <t>18 075,65</t>
  </si>
  <si>
    <t>C:\BG\BridgeGroup\result\23.05.2023 17-43\ООО ТД ЛФБ\УПД №27307 от 02.05.23.pdf</t>
  </si>
  <si>
    <t>C:\BG\BridgeGroup\result\23.05.2023 17-43\ООО ТД ЛФБ\УПД №26688 от 02.05.23.pdf</t>
  </si>
  <si>
    <t>C:\BG\BridgeGroup\result\23.05.2023 17-43\ООО ТД ЛФБ\УПД №26682 от 02.05.23.pdf</t>
  </si>
  <si>
    <t>C:\BG\BridgeGroup\result\23.05.2023 17-43\ООО ТД ЛФБ\УПД №26674 от 02.05.23.pdf</t>
  </si>
  <si>
    <t>C:\BG\BridgeGroup\result\23.05.2023 17-43\ООО РИТЕЙЛ ПЕРСОНАЛ\УПД №115 от 30.04.23.pdf</t>
  </si>
  <si>
    <t>207 828,00</t>
  </si>
  <si>
    <t>C:\BG\BridgeGroup\result\23.05.2023 17-43\ООО ПС СОЛЮШН\УПД №170 от 30.04.23.pdf</t>
  </si>
  <si>
    <t>11 059,42</t>
  </si>
  <si>
    <t>C:\BG\BridgeGroup\result\23.05.2023 17-43\ООО ТД ЛФБ\УПД №28372 от 04.05.23.pdf</t>
  </si>
  <si>
    <t>8 177,56</t>
  </si>
  <si>
    <t>C:\BG\BridgeGroup\result\23.05.2023 17-43\ООО Полезные продукты\УПД №КУБО0504_05 от 04.05.23.pdf</t>
  </si>
  <si>
    <t>ООО "ФРИДОМ"</t>
  </si>
  <si>
    <t>47 295,00</t>
  </si>
  <si>
    <t>C:\BG\BridgeGroup\result\23.05.2023 17-43\ООО ФРИДОМ\УПД №30 от 04.05.23.pdf</t>
  </si>
  <si>
    <t>33 570,00</t>
  </si>
  <si>
    <t>C:\BG\BridgeGroup\result\23.05.2023 17-43\ООО ФРИДОМ\УПД №31 от 04.05.23.pdf</t>
  </si>
  <si>
    <t>15 000,00</t>
  </si>
  <si>
    <t>C:\BG\BridgeGroup\result\23.05.2023 17-43\ООО ФРИДОМ\УПД №32 от 04.05.23.pdf</t>
  </si>
  <si>
    <t>C:\BG\BridgeGroup\result\23.05.2023 17-43\ООО АЛЕФ ТРЕЙД МСК\УПД №1086 от 28.04.23.pdf</t>
  </si>
  <si>
    <t>3 220,00</t>
  </si>
  <si>
    <t>C:\BG\BridgeGroup\result\23.05.2023 17-43\ООО АЛЕФ ТРЕЙД МСК\УПД №1084 от 28.04.23.pdf</t>
  </si>
  <si>
    <t>23.04.2023</t>
  </si>
  <si>
    <t>35 721,15</t>
  </si>
  <si>
    <t>C:\BG\BridgeGroup\result\23.05.2023 17-43\ООО АЛЕФ ТРЕЙД МСК\УПД №1083 от 23.04.23.pdf</t>
  </si>
  <si>
    <t>C:\BG\BridgeGroup\result\23.05.2023 17-43\ООО НИЛА СПРИНГС\УПД №2023_30_03_0137730 от 04.05.23.pdf</t>
  </si>
  <si>
    <t>C:\BG\BridgeGroup\result\23.05.2023 17-43\ООО НИЛА СПРИНГС\УПД №2023_30_03_0137731 от 04.05.23.pdf</t>
  </si>
  <si>
    <t>C:\BG\BridgeGroup\result\23.05.2023 17-43\ООО НИЛА СПРИНГС\УПД №2023_30_03_0137732 от 04.05.23.pdf</t>
  </si>
  <si>
    <t>5 294,64</t>
  </si>
  <si>
    <t>C:\BG\BridgeGroup\result\23.05.2023 17-43\ООО Полезные продукты\УПД №КУБО0504_17 от 04.05.23.pdf</t>
  </si>
  <si>
    <t>3 638,36</t>
  </si>
  <si>
    <t>C:\BG\BridgeGroup\result\23.05.2023 17-43\ООО Полезные продукты\УПД №КУБО0504_21 от 04.05.23.pdf</t>
  </si>
  <si>
    <t>8 186,16</t>
  </si>
  <si>
    <t>C:\BG\BridgeGroup\result\23.05.2023 17-43\ООО Полезные продукты\УПД №КУБО0504_25 от 04.05.23.pdf</t>
  </si>
  <si>
    <t>13 552,28</t>
  </si>
  <si>
    <t>C:\BG\BridgeGroup\result\23.05.2023 17-43\ООО КОМУС\УПД №28344696 от 04.05.23.pdf</t>
  </si>
  <si>
    <t>8 032,62</t>
  </si>
  <si>
    <t>C:\BG\BridgeGroup\result\23.05.2023 17-43\АО «ТК «МЕГАПОЛИС»\УПД №199006_777E от 05.05.23.pdf</t>
  </si>
  <si>
    <t>103 576,92</t>
  </si>
  <si>
    <t>C:\BG\BridgeGroup\result\23.05.2023 17-43\АО «ТК «МЕГАПОЛИС»\УПД №199007_777E от 05.05.23.pdf</t>
  </si>
  <si>
    <t>22 982,88</t>
  </si>
  <si>
    <t>C:\BG\BridgeGroup\result\23.05.2023 17-43\ООО Полезные продукты\УПД №КУБО0504_32 от 04.05.23.pdf</t>
  </si>
  <si>
    <t>15 563,00</t>
  </si>
  <si>
    <t>C:\BG\BridgeGroup\result\23.05.2023 17-43\ООО КОМУС\УПД №28372771 от 04.05.23.pdf</t>
  </si>
  <si>
    <t>11 897,64</t>
  </si>
  <si>
    <t>C:\BG\BridgeGroup\result\23.05.2023 17-43\ООО КОМУС\УПД №28373249 от 04.05.23.pdf</t>
  </si>
  <si>
    <t>4 794,00</t>
  </si>
  <si>
    <t>C:\BG\BridgeGroup\result\23.05.2023 17-43\ООО Смартен\УПД №УТ-605-000047 от 06.05.23.pdf</t>
  </si>
  <si>
    <t>6 240,00</t>
  </si>
  <si>
    <t>C:\BG\BridgeGroup\result\23.05.2023 17-43\ООО Смартен\УПД №УТ-605-000046 от 06.05.23.pdf</t>
  </si>
  <si>
    <t>C:\BG\BridgeGroup\result\23.05.2023 17-43\ООО Смартен\УПД №УТ-605-000039 от 06.05.23.pdf</t>
  </si>
  <si>
    <t>19 075,08</t>
  </si>
  <si>
    <t>C:\BG\BridgeGroup\result\23.05.2023 17-43\ООО Смартен\УПД №УТ-605-000038 от 06.05.23.pdf</t>
  </si>
  <si>
    <t>1 920,00</t>
  </si>
  <si>
    <t>C:\BG\BridgeGroup\result\23.05.2023 17-43\ООО Смартен\УПД №УТ-605-000037 от 06.05.23.pdf</t>
  </si>
  <si>
    <t>2 756,64</t>
  </si>
  <si>
    <t>C:\BG\BridgeGroup\result\23.05.2023 17-43\ООО Полезные продукты\УПД №КУБО0505_24 от 05.05.23.pdf</t>
  </si>
  <si>
    <t>34 855,12</t>
  </si>
  <si>
    <t>C:\BG\BridgeGroup\result\23.05.2023 17-43\ООО Полезные продукты\УПД №КУБО0505_25 от 05.05.23.pdf</t>
  </si>
  <si>
    <t xml:space="preserve">ООО "Степ-Ойл"
</t>
  </si>
  <si>
    <t>3 270,88</t>
  </si>
  <si>
    <t>C:\BG\BridgeGroup\result\23.05.2023 17-43\ООО КОМУС\УПД №28271807 от 28.04.23.pdf</t>
  </si>
  <si>
    <t>4 750,86</t>
  </si>
  <si>
    <t>C:\BG\BridgeGroup\result\23.05.2023 17-43\АО «ТК «МЕГАПОЛИС»\УПД №191749_777E от 02.05.23.pdf</t>
  </si>
  <si>
    <t>82 940,64</t>
  </si>
  <si>
    <t>C:\BG\BridgeGroup\result\23.05.2023 17-43\АО «ТК «МЕГАПОЛИС»\УПД №191750_777E от 02.05.23.pdf</t>
  </si>
  <si>
    <t>33 673,56</t>
  </si>
  <si>
    <t>C:\BG\BridgeGroup\result\23.05.2023 17-43\АО «ТК «МЕГАПОЛИС»\УПД №191800_777E от 02.05.23.pdf</t>
  </si>
  <si>
    <t>30 628,39</t>
  </si>
  <si>
    <t>C:\BG\BridgeGroup\result\23.05.2023 17-43\ООО ЭНЕРГИЯ\УПД №UT-104920 от 02.05.23.pdf</t>
  </si>
  <si>
    <t>16 740,49</t>
  </si>
  <si>
    <t>C:\BG\BridgeGroup\result\23.05.2023 17-43\ООО ЭНЕРГИЯ\УПД №UT-104925 от 02.05.23.pdf</t>
  </si>
  <si>
    <t>C:\BG\BridgeGroup\result\23.05.2023 17-43\ООО ЭНЕРГИЯ\УПД №UT-104913 от 02.05.23.pdf</t>
  </si>
  <si>
    <t>2 538,44</t>
  </si>
  <si>
    <t>C:\BG\BridgeGroup\result\23.05.2023 17-43\ООО ЭНЕРГИЯ\УПД №UT-104915 от 02.05.23.pdf</t>
  </si>
  <si>
    <t>6 343,89</t>
  </si>
  <si>
    <t>C:\BG\BridgeGroup\result\23.05.2023 17-43\ООО ЭНЕРГИЯ\УПД №UT-104916 от 02.05.23.pdf</t>
  </si>
  <si>
    <t>C:\BG\BridgeGroup\result\23.05.2023 17-43\ООО ЭНЕРГИЯ\УПД №UT-104918 от 02.05.23.pdf</t>
  </si>
  <si>
    <t>C:\BG\BridgeGroup\result\23.05.2023 17-43\ООО ЭНЕРГИЯ\УПД №UT-104921 от 02.05.23.pdf</t>
  </si>
  <si>
    <t>48 898,93</t>
  </si>
  <si>
    <t>C:\BG\BridgeGroup\result\23.05.2023 17-43\ООО ЭНЕРГИЯ\УПД №UT-104924 от 02.05.23.pdf</t>
  </si>
  <si>
    <t>44 736,84</t>
  </si>
  <si>
    <t>C:\BG\BridgeGroup\result\23.05.2023 17-43\ООО ЭНЕРГИЯ\УПД №UT-105217 от 02.05.23.pdf</t>
  </si>
  <si>
    <t>6 979,06</t>
  </si>
  <si>
    <t>C:\BG\BridgeGroup\result\23.05.2023 17-43\ООО ЭНЕРГИЯ\УПД №UT-105223 от 02.05.23.pdf</t>
  </si>
  <si>
    <t>8 161,06</t>
  </si>
  <si>
    <t>C:\BG\BridgeGroup\result\23.05.2023 17-43\ООО ЭНЕРГИЯ\УПД №UT-105297 от 02.05.23.pdf</t>
  </si>
  <si>
    <t>C:\BG\BridgeGroup\result\23.05.2023 17-43\ООО ЭНЕРГИЯ\УПД №UT-105298 от 02.05.23.pdf</t>
  </si>
  <si>
    <t>2 192,82</t>
  </si>
  <si>
    <t>C:\BG\BridgeGroup\result\23.05.2023 17-43\ООО ЭНЕРГИЯ\УПД №UT-105582 от 02.05.23.pdf</t>
  </si>
  <si>
    <t>C:\BG\BridgeGroup\result\23.05.2023 17-43\ООО ЭНЕРГИЯ\УПД №UT-105726 от 02.05.23.pdf</t>
  </si>
  <si>
    <t>ООО "МЕДИКАЛ ПЛЮС"</t>
  </si>
  <si>
    <t>6 780,00</t>
  </si>
  <si>
    <t>C:\BG\BridgeGroup\result\23.05.2023 17-43\ООО МЕДИКАЛ ПЛЮС\Акт №109 от 30.04.23.pdf</t>
  </si>
  <si>
    <t>C:\BG\BridgeGroup\result\23.05.2023 17-43\ООО НИЛА СПРИНГС\УПД №2023_30_03_0133539 от 30.04.23.pdf</t>
  </si>
  <si>
    <t>C:\BG\BridgeGroup\result\23.05.2023 17-43\ООО НИЛА СПРИНГС\УПД №2023_30_03_0133538 от 30.04.23.pdf</t>
  </si>
  <si>
    <t>C:\BG\BridgeGroup\result\23.05.2023 17-43\ООО НИЛА СПРИНГС\УПД №2023_30_03_0133536 от 30.04.23.pdf</t>
  </si>
  <si>
    <t>C:\BG\BridgeGroup\result\23.05.2023 17-43\ООО НИЛА СПРИНГС\УПД №2023_30_03_0133537 от 30.04.23.pdf</t>
  </si>
  <si>
    <t>C:\BG\BridgeGroup\result\23.05.2023 17-43\ООО НИЛА СПРИНГС\УПД №2023_30_03_0132786 от 30.04.23.pdf</t>
  </si>
  <si>
    <t>C:\BG\BridgeGroup\result\23.05.2023 17-43\ООО НИЛА СПРИНГС\УПД №2023_30_03_0132784 от 30.04.23.pdf</t>
  </si>
  <si>
    <t>C:\BG\BridgeGroup\result\23.05.2023 17-43\ООО НИЛА СПРИНГС\УПД №2023_30_03_0132785 от 30.04.23.pdf</t>
  </si>
  <si>
    <t>C:\BG\BridgeGroup\result\23.05.2023 17-43\ООО НИЛА СПРИНГС\УПД №2023_30_03_0126927_41 от 28.04.23.pdf</t>
  </si>
  <si>
    <t>C:\BG\BridgeGroup\result\23.05.2023 17-43\ООО НИЛА СПРИНГС\УПД №2023_30_03_0126862_41 от 28.04.23.pdf</t>
  </si>
  <si>
    <t>C:\BG\BridgeGroup\result\23.05.2023 17-43\ООО Смартен\УПД №ОТ-3004-000034 от 30.04.23.pdf</t>
  </si>
  <si>
    <t>ООО "ТД Премьер Айс"</t>
  </si>
  <si>
    <t>5 162,40</t>
  </si>
  <si>
    <t>C:\BG\BridgeGroup\result\23.05.2023 17-43\ООО ТД Премьер Айс\УПД №123-063_2 от 03.05.23.pdf</t>
  </si>
  <si>
    <t>C:\BG\BridgeGroup\result\23.05.2023 17-43\АО «ТК «МЕГАПОЛИС»\УПД №3991_690F от 03.05.23.pdf</t>
  </si>
  <si>
    <t>8 518,56</t>
  </si>
  <si>
    <t>C:\BG\BridgeGroup\result\23.05.2023 17-43\АО «ТК «МЕГАПОЛИС»\УПД №3992_690F от 03.05.23.pdf</t>
  </si>
  <si>
    <t>46 186,56</t>
  </si>
  <si>
    <t>C:\BG\BridgeGroup\result\23.05.2023 17-43\АО «ТК «МЕГАПОЛИС»\УПД №3993_690F от 03.05.23.pdf</t>
  </si>
  <si>
    <t>9 045,89</t>
  </si>
  <si>
    <t>C:\BG\BridgeGroup\result\23.05.2023 17-43\АО «ТК «МЕГАПОЛИС»\УПД №3994_690F от 03.05.23.pdf</t>
  </si>
  <si>
    <t>C:\BG\BridgeGroup\result\23.05.2023 17-43\АО «ТК «МЕГАПОЛИС»\УПД №3995_690F от 03.05.23.pdf</t>
  </si>
  <si>
    <t>6 947,00</t>
  </si>
  <si>
    <t>C:\BG\BridgeGroup\result\23.05.2023 17-43\АО «ТК «МЕГАПОЛИС»\УПД №3996_690F от 03.05.23.pdf</t>
  </si>
  <si>
    <t>83 553,96</t>
  </si>
  <si>
    <t>C:\BG\BridgeGroup\result\23.05.2023 17-43\АО «ТК «МЕГАПОЛИС»\УПД №3997_690F от 03.05.23.pdf</t>
  </si>
  <si>
    <t>3 227,91</t>
  </si>
  <si>
    <t>C:\BG\BridgeGroup\result\23.05.2023 17-43\АО «ТК «МЕГАПОЛИС»\УПД №48862_710E от 03.05.23.pdf</t>
  </si>
  <si>
    <t>192 793,92</t>
  </si>
  <si>
    <t>C:\BG\BridgeGroup\result\23.05.2023 17-43\АО «ТК «МЕГАПОЛИС»\УПД №48870_710E от 03.05.23.pdf</t>
  </si>
  <si>
    <t>5 779,60</t>
  </si>
  <si>
    <t>C:\BG\BridgeGroup\result\23.05.2023 17-43\ООО ЭНЕРГИЯ\УПД №UT-106775 от 03.05.23.pdf</t>
  </si>
  <si>
    <t>29 140,37</t>
  </si>
  <si>
    <t>C:\BG\BridgeGroup\result\23.05.2023 17-43\ООО ЭНЕРГИЯ\УПД №UT-106776 от 03.05.23.pdf</t>
  </si>
  <si>
    <t>4 893,56</t>
  </si>
  <si>
    <t>C:\BG\BridgeGroup\result\23.05.2023 17-43\ООО ЭНЕРГИЯ\УПД №UT-106914 от 03.05.23.pdf</t>
  </si>
  <si>
    <t>C:\BG\BridgeGroup\result\23.05.2023 17-43\ООО Смартен\УПД №УТ-305-000080 от 03.05.23.pdf</t>
  </si>
  <si>
    <t>8 060,00</t>
  </si>
  <si>
    <t>C:\BG\BridgeGroup\result\23.05.2023 17-43\ООО Смартен\УПД №УТ-305-000067 от 03.05.23.pdf</t>
  </si>
  <si>
    <t>6 140,00</t>
  </si>
  <si>
    <t>C:\BG\BridgeGroup\result\23.05.2023 17-43\ООО Смартен\УПД №УТ-305-000063 от 03.05.23.pdf</t>
  </si>
  <si>
    <t>C:\BG\BridgeGroup\result\23.05.2023 17-43\ООО БРИДЖ ГРУПП\УПД №873 от 30.04.23.pdf</t>
  </si>
  <si>
    <t>C:\BG\BridgeGroup\result\23.05.2023 17-43\ООО БРИДЖ ГРУПП\УПД №904 от 30.04.23.pdf</t>
  </si>
  <si>
    <t>C:\BG\BridgeGroup\result\23.05.2023 17-43\ООО БРИДЖ ГРУПП\УПД №932 от 30.04.23.pdf</t>
  </si>
  <si>
    <t>C:\BG\BridgeGroup\result\23.05.2023 17-43\ООО БРИДЖ ГРУПП\УПД №976 от 30.04.23.pdf</t>
  </si>
  <si>
    <t>2 742,00</t>
  </si>
  <si>
    <t>C:\BG\BridgeGroup\result\23.05.2023 17-43\ООО Маркон\УПД №2281 от 02.05.23.pdf</t>
  </si>
  <si>
    <t>28 528,50</t>
  </si>
  <si>
    <t>C:\BG\BridgeGroup\result\23.05.2023 17-43\ООО СНС-Холдинг\УПД №7710_8174433482 от 03.05.23.pdf</t>
  </si>
  <si>
    <t>C:\BG\BridgeGroup\result\23.05.2023 17-43\ООО НИЛА СПРИНГС\УПД №2023_30_03_0134246 от 02.05.23.pdf</t>
  </si>
  <si>
    <t>C:\BG\BridgeGroup\result\23.05.2023 17-43\ООО НИЛА СПРИНГС\УПД №2023_30_03_0134245 от 02.05.23.pdf</t>
  </si>
  <si>
    <t>ООО "Мобил.Мед"</t>
  </si>
  <si>
    <t>17 450,00</t>
  </si>
  <si>
    <t>C:\BG\BridgeGroup\result\23.05.2023 17-43\ООО Мобил.Мед\УПД №2244 от 30.04.23.pdf</t>
  </si>
  <si>
    <t>12 917,98</t>
  </si>
  <si>
    <t>C:\BG\BridgeGroup\result\23.05.2023 17-43\ООО ТД ЛФБ\УПД №27935 от 03.05.23.pdf</t>
  </si>
  <si>
    <t>48 015,02</t>
  </si>
  <si>
    <t>C:\BG\BridgeGroup\result\23.05.2023 17-43\ООО ТД ЛФБ\УПД №27338 от 02.05.23.pdf</t>
  </si>
  <si>
    <t>C:\BG\BridgeGroup\result\23.05.2023 17-43\ООО НИЛА СПРИНГС\УПД №2023_30_03_0136315 от 03.05.23.pdf</t>
  </si>
  <si>
    <t>C:\BG\BridgeGroup\result\23.05.2023 17-43\ООО РИТЕЙЛ ПЕРСОНАЛ\УПД №108 от 30.04.23.pdf</t>
  </si>
  <si>
    <t>2 035,20</t>
  </si>
  <si>
    <t>C:\BG\BridgeGroup\result\23.05.2023 17-43\ООО Смартен\УПД №УТ-405-000046 от 04.05.23.pdf</t>
  </si>
  <si>
    <t>5 915,20</t>
  </si>
  <si>
    <t>C:\BG\BridgeGroup\result\23.05.2023 17-43\ООО Смартен\УПД №УТ-405-000031 от 04.05.23.pdf</t>
  </si>
  <si>
    <t>28.02.2023</t>
  </si>
  <si>
    <t>C:\BG\BridgeGroup\result\23.05.2023 17-43\ООО Смартен\УПД №ОТ-2802-000039 от 28.02.23.pdf</t>
  </si>
  <si>
    <t>7 067,52</t>
  </si>
  <si>
    <t>C:\BG\BridgeGroup\result\23.05.2023 17-43\ООО ТОРГОВЫЙ ДОМ ХОЛОД\УПД №13470503-07 от 03.05.23.pdf</t>
  </si>
  <si>
    <t>8 543,68</t>
  </si>
  <si>
    <t>C:\BG\BridgeGroup\result\23.05.2023 17-43\ООО ТД ЛФБ\УПД №27755 от 03.05.23.pdf</t>
  </si>
  <si>
    <t>241 800,00</t>
  </si>
  <si>
    <t>C:\BG\BridgeGroup\result\23.05.2023 17-43\ООО ПС СОЛЮШН\УПД №171 от 30.04.23.pdf</t>
  </si>
  <si>
    <t>87 476,17</t>
  </si>
  <si>
    <t>C:\BG\BridgeGroup\result\23.05.2023 17-43\ООО ВКУС ОН ТРЕЙД\УПД №SR110023268 от 04.05.23.pdf</t>
  </si>
  <si>
    <t>1 399,20</t>
  </si>
  <si>
    <t>C:\BG\BridgeGroup\result\23.05.2023 17-43\ООО ВКУС ОН ТРЕЙД\УПД №SR110023235 от 04.05.23.pdf</t>
  </si>
  <si>
    <t>32 585,16</t>
  </si>
  <si>
    <t>C:\BG\BridgeGroup\result\23.05.2023 17-43\ООО ВКУС ОН ТРЕЙД\УПД №SR110023270 от 04.05.23.pdf</t>
  </si>
  <si>
    <t>131 752,02</t>
  </si>
  <si>
    <t>C:\BG\BridgeGroup\result\23.05.2023 17-43\ООО ВКУС ОН ТРЕЙД\УПД №SR110023262 от 04.05.23.pdf</t>
  </si>
  <si>
    <t>31 712,83</t>
  </si>
  <si>
    <t>C:\BG\BridgeGroup\result\23.05.2023 17-43\АО «ТК «МЕГАПОЛИС»\УПД №49301_710E от 04.05.23.pdf</t>
  </si>
  <si>
    <t>19 811,15</t>
  </si>
  <si>
    <t>C:\BG\BridgeGroup\result\23.05.2023 17-43\АО «ТК «МЕГАПОЛИС»\УПД №49302_710E от 04.05.23.pdf</t>
  </si>
  <si>
    <t>206 619,24</t>
  </si>
  <si>
    <t>C:\BG\BridgeGroup\result\23.05.2023 17-43\АО «ТК «МЕГАПОЛИС»\УПД №49304_710E от 04.05.23.pdf</t>
  </si>
  <si>
    <t>172 206,96</t>
  </si>
  <si>
    <t>C:\BG\BridgeGroup\result\23.05.2023 17-43\АО «ТК «МЕГАПОЛИС»\УПД №49303_710E от 04.05.23.pdf</t>
  </si>
  <si>
    <t>38 810,02</t>
  </si>
  <si>
    <t>C:\BG\BridgeGroup\result\23.05.2023 17-43\ООО ЭНЕРГИЯ\УПД №UT-108407 от 04.05.23.pdf</t>
  </si>
  <si>
    <t>3 606,77</t>
  </si>
  <si>
    <t>C:\BG\BridgeGroup\result\23.05.2023 17-43\ООО ЭНЕРГИЯ\УПД №UT-108406 от 04.05.23.pdf</t>
  </si>
  <si>
    <t>3 277,44</t>
  </si>
  <si>
    <t>C:\BG\BridgeGroup\result\23.05.2023 17-43\ООО ЭНЕРГИЯ\УПД №UT-108408 от 04.05.23.pdf</t>
  </si>
  <si>
    <t>C:\BG\BridgeGroup\result\23.05.2023 17-43\ООО ВКУС ОН ТРЕЙД\УПД №SR110023377 от 04.05.23.pdf</t>
  </si>
  <si>
    <t>98 495,45</t>
  </si>
  <si>
    <t>C:\BG\BridgeGroup\result\23.05.2023 17-43\ООО ВКУС ОН ТРЕЙД\УПД №SR110023316 от 04.05.23.pdf</t>
  </si>
  <si>
    <t>36 081,00</t>
  </si>
  <si>
    <t>C:\BG\BridgeGroup\result\23.05.2023 17-43\ООО ВКУС ОН ТРЕЙД\УПД №SR110023314 от 04.05.23.pdf</t>
  </si>
  <si>
    <t>ООО "ГЛОБАЛ"</t>
  </si>
  <si>
    <t>3 228,81</t>
  </si>
  <si>
    <t>C:\BG\BridgeGroup\result\23.05.2023 17-43\ООО ГЛОБАЛ\УПД №44230_002 от 04.05.23.pdf</t>
  </si>
  <si>
    <t>5 521,01</t>
  </si>
  <si>
    <t>C:\BG\BridgeGroup\result\23.05.2023 17-43\ООО ГЛОБАЛ\УПД №44326_002 от 04.05.23.pdf</t>
  </si>
  <si>
    <t>1 714,20</t>
  </si>
  <si>
    <t>C:\BG\BridgeGroup\result\23.05.2023 17-43\ООО КОМУС\УПД №28332688 от 03.05.23.pdf</t>
  </si>
  <si>
    <t>951,00</t>
  </si>
  <si>
    <t>C:\BG\BridgeGroup\result\23.05.2023 17-43\ООО КОМУС\УПД №28333314 от 03.05.23.pdf</t>
  </si>
  <si>
    <t>3 352,14</t>
  </si>
  <si>
    <t>C:\BG\BridgeGroup\result\23.05.2023 17-43\ООО КОМУС\УПД №28333690 от 03.05.23.pdf</t>
  </si>
  <si>
    <t>C:\BG\BridgeGroup\result\23.05.2023 17-43\ООО АЛЕФ ТРЕЙД МСК\УПД №1087 от 30.04.23.pdf</t>
  </si>
  <si>
    <t>10 569,71</t>
  </si>
  <si>
    <t>C:\BG\BridgeGroup\result\23.05.2023 17-43\ООО АЛЕФ ТРЕЙД МСК\УПД №1085 от 27.04.23.pdf</t>
  </si>
  <si>
    <t>10 638,00</t>
  </si>
  <si>
    <t>C:\BG\BridgeGroup\result\23.05.2023 17-43\ООО КОМУС\УПД №28341050 от 03.05.23.pdf</t>
  </si>
  <si>
    <t>C:\BG\BridgeGroup\result\23.05.2023 17-43\ООО НИЛА СПРИНГС\УПД №2023_30_03_0137517 от 04.05.23.pdf</t>
  </si>
  <si>
    <t>44 918,79</t>
  </si>
  <si>
    <t>C:\BG\BridgeGroup\result\23.05.2023 17-43\ООО Смартен\УПД №УТ-505-000010 от 05.05.23.pdf</t>
  </si>
  <si>
    <t>8 607,75</t>
  </si>
  <si>
    <t>C:\BG\BridgeGroup\result\23.05.2023 17-43\АО «ТК «МЕГАПОЛИС»\УПД №199091_777E от 05.05.23.pdf</t>
  </si>
  <si>
    <t>162 656,04</t>
  </si>
  <si>
    <t>C:\BG\BridgeGroup\result\23.05.2023 17-43\АО «ТК «МЕГАПОЛИС»\УПД №199092_777E от 05.05.23.pdf</t>
  </si>
  <si>
    <t>93 095,52</t>
  </si>
  <si>
    <t>C:\BG\BridgeGroup\result\23.05.2023 17-43\АО «ТК «МЕГАПОЛИС»\УПД №50120_710E от 05.05.23.pdf</t>
  </si>
  <si>
    <t>9 618,64</t>
  </si>
  <si>
    <t>C:\BG\BridgeGroup\result\23.05.2023 17-43\АО «ТК «МЕГАПОЛИС»\УПД №50123_710E от 05.05.23.pdf</t>
  </si>
  <si>
    <t>C:\BG\BridgeGroup\result\23.05.2023 17-43\ООО ЭНЕРГИЯ\УПД №UT-109751 от 05.05.23.pdf</t>
  </si>
  <si>
    <t>22 556,72</t>
  </si>
  <si>
    <t>C:\BG\BridgeGroup\result\23.05.2023 17-43\ООО ЭНЕРГИЯ\УПД №UT-109752 от 05.05.23.pdf</t>
  </si>
  <si>
    <t>606,12</t>
  </si>
  <si>
    <t>C:\BG\BridgeGroup\result\23.05.2023 17-43\ООО КОМУС\УПД №28354471 от 04.05.23.pdf</t>
  </si>
  <si>
    <t>77 546,23</t>
  </si>
  <si>
    <t>C:\BG\BridgeGroup\result\23.05.2023 17-43\ООО ЭНЕРГИЯ\УПД №UT-109806 от 05.05.23.pdf</t>
  </si>
  <si>
    <t>14 330,69</t>
  </si>
  <si>
    <t>C:\BG\BridgeGroup\result\23.05.2023 17-43\ООО ЭНЕРГИЯ\УПД №UT-109804 от 05.05.23.pdf</t>
  </si>
  <si>
    <t>C:\BG\BridgeGroup\result\23.05.2023 17-43\ООО ЭНЕРГИЯ\УПД №UT-109805 от 05.05.23.pdf</t>
  </si>
  <si>
    <t>ООО "МОРОЗОФФ"</t>
  </si>
  <si>
    <t>2 771,64</t>
  </si>
  <si>
    <t>C:\BG\BridgeGroup\result\23.05.2023 17-43\ООО МОРОЗОФФ\УПД №МФ00-074689 от 05.05.23.pdf</t>
  </si>
  <si>
    <t>16 569,60</t>
  </si>
  <si>
    <t>C:\BG\BridgeGroup\result\23.05.2023 17-43\ООО СНС-Холдинг\УПД №7710_8174496993 от 05.05.23.pdf</t>
  </si>
  <si>
    <t>8 993,76</t>
  </si>
  <si>
    <t>C:\BG\BridgeGroup\result\23.05.2023 17-43\ООО Полезные продукты\УПД №МОС0505_08 от 05.05.23.pdf</t>
  </si>
  <si>
    <t>13 203,32</t>
  </si>
  <si>
    <t>C:\BG\BridgeGroup\result\23.05.2023 17-43\ООО Полезные продукты\УПД №МОС0505_12 от 05.05.23.pdf</t>
  </si>
  <si>
    <t>Акт_187826245.pdf</t>
  </si>
  <si>
    <t>ООО "ЯНДЕКС.ТАКСИ"</t>
  </si>
  <si>
    <t>C:\BG\BridgeGroup\result\23.05.2023 17-43\ООО ЯНДЕКС.ТАКСИ\Акт_187826245.pdf</t>
  </si>
  <si>
    <t>10.05.2023</t>
  </si>
  <si>
    <t>15 175,20</t>
  </si>
  <si>
    <t>C:\BG\BridgeGroup\result\23.05.2023 17-43\ООО Смартен\УПД №УТ-1005-000093 от 10.05.23.pdf</t>
  </si>
  <si>
    <t>21 709,21</t>
  </si>
  <si>
    <t>C:\BG\BridgeGroup\result\23.05.2023 17-43\ООО ВКУС ОН ТРЕЙД\УПД №SR110024062 от 07.05.23.pdf</t>
  </si>
  <si>
    <t>17 924,49</t>
  </si>
  <si>
    <t>C:\BG\BridgeGroup\result\23.05.2023 17-43\ООО ВКУС ОН ТРЕЙД\УПД №SR110024101 от 08.05.23.pdf</t>
  </si>
  <si>
    <t xml:space="preserve">ООО "Трейд-Ойл"
</t>
  </si>
  <si>
    <t>35 058,12</t>
  </si>
  <si>
    <t>C:\BG\BridgeGroup\result\23.05.2023 17-43\ООО ВКУС ОН ТРЕЙД\УПД №SR110022633 от 01.05.23.pdf</t>
  </si>
  <si>
    <t>16 728,94</t>
  </si>
  <si>
    <t>C:\BG\BridgeGroup\result\23.05.2023 17-43\ООО ВКУС ОН ТРЕЙД\УПД №SR110022669 от 01.05.23.pdf</t>
  </si>
  <si>
    <t>449 737,44</t>
  </si>
  <si>
    <t>C:\BG\BridgeGroup\result\23.05.2023 17-43\АО «ТК «МЕГАПОЛИС»\УПД №191859_777E от 02.05.23.pdf</t>
  </si>
  <si>
    <t>408 640,08</t>
  </si>
  <si>
    <t>C:\BG\BridgeGroup\result\23.05.2023 17-43\АО «ТК «МЕГАПОЛИС»\УПД №191907_777E от 02.05.23.pdf</t>
  </si>
  <si>
    <t>31 275,93</t>
  </si>
  <si>
    <t>C:\BG\BridgeGroup\result\23.05.2023 17-43\АО «ТК «МЕГАПОЛИС»\УПД №191906_777E от 02.05.23.pdf</t>
  </si>
  <si>
    <t>42 928,54</t>
  </si>
  <si>
    <t>C:\BG\BridgeGroup\result\23.05.2023 17-43\АО «ТК «МЕГАПОЛИС»\УПД №191908_777E от 02.05.23.pdf</t>
  </si>
  <si>
    <t>60 468,98</t>
  </si>
  <si>
    <t>C:\BG\BridgeGroup\result\23.05.2023 17-43\ООО ЭНЕРГИЯ\УПД №UT-105215 от 02.05.23.pdf</t>
  </si>
  <si>
    <t>15 008,14</t>
  </si>
  <si>
    <t>C:\BG\BridgeGroup\result\23.05.2023 17-43\ООО ЭНЕРГИЯ\УПД №UT-104914 от 02.05.23.pdf</t>
  </si>
  <si>
    <t>8 219,47</t>
  </si>
  <si>
    <t>C:\BG\BridgeGroup\result\23.05.2023 17-43\ООО ЭНЕРГИЯ\УПД №UT-104923 от 02.05.23.pdf</t>
  </si>
  <si>
    <t>2 621,53</t>
  </si>
  <si>
    <t>C:\BG\BridgeGroup\result\23.05.2023 17-43\ООО ЭНЕРГИЯ\УПД №UT-105221 от 02.05.23.pdf</t>
  </si>
  <si>
    <t>3 071,08</t>
  </si>
  <si>
    <t>C:\BG\BridgeGroup\result\23.05.2023 17-43\ООО КОМУС\УПД №28282054 от 29.04.23.pdf</t>
  </si>
  <si>
    <t>111 420,90</t>
  </si>
  <si>
    <t>C:\BG\BridgeGroup\result\23.05.2023 17-43\ООО СНС-Холдинг\УПД №7710_8174351450 от 02.05.23.pdf</t>
  </si>
  <si>
    <t>86 408,28</t>
  </si>
  <si>
    <t>C:\BG\BridgeGroup\result\23.05.2023 17-43\ООО СНС-Холдинг\УПД №7710_8174351495 от 02.05.23.pdf</t>
  </si>
  <si>
    <t>730,93</t>
  </si>
  <si>
    <t>C:\BG\BridgeGroup\result\23.05.2023 17-43\ООО НИЛА СПРИНГС\УПД №2023_30_03_0133505 от 30.04.23.pdf</t>
  </si>
  <si>
    <t>2 704,56</t>
  </si>
  <si>
    <t>C:\BG\BridgeGroup\result\23.05.2023 17-43\ООО СНС-Холдинг\УПД №6910_8174372173 от 02.05.23.pdf</t>
  </si>
  <si>
    <t>27 649,40</t>
  </si>
  <si>
    <t>C:\BG\BridgeGroup\result\23.05.2023 17-43\ООО СНС-Холдинг\УПД №6910_8174372171 от 02.05.23.pdf</t>
  </si>
  <si>
    <t>ООО "А-В-КОМПАНИ"</t>
  </si>
  <si>
    <t>615,00</t>
  </si>
  <si>
    <t>C:\BG\BridgeGroup\result\23.05.2023 17-43\ООО А-В-КОМПАНИ\УПД №8736 от 29.04.23.pdf</t>
  </si>
  <si>
    <t>1 025,00</t>
  </si>
  <si>
    <t>C:\BG\BridgeGroup\result\23.05.2023 17-43\ООО А-В-КОМПАНИ\УПД №8735 от 29.04.23.pdf</t>
  </si>
  <si>
    <t>C:\BG\BridgeGroup\result\23.05.2023 17-43\АО «ТК «МЕГАПОЛИС»\УПД №13507_690E от 03.05.23.pdf</t>
  </si>
  <si>
    <t>38 658,27</t>
  </si>
  <si>
    <t>C:\BG\BridgeGroup\result\23.05.2023 17-43\ООО ЭНЕРГИЯ\УПД №UT-106755 от 03.05.23.pdf</t>
  </si>
  <si>
    <t>C:\BG\BridgeGroup\result\23.05.2023 17-43\ООО ЭНЕРГИЯ\УПД №UT-106754 от 03.05.23.pdf</t>
  </si>
  <si>
    <t>1 804,47</t>
  </si>
  <si>
    <t>C:\BG\BridgeGroup\result\23.05.2023 17-43\ООО ЭНЕРГИЯ\УПД №UT-106756 от 03.05.23.pdf</t>
  </si>
  <si>
    <t>3 403,88</t>
  </si>
  <si>
    <t>C:\BG\BridgeGroup\result\23.05.2023 17-43\ООО ЭНЕРГИЯ\УПД №UT-107029 от 03.05.23.pdf</t>
  </si>
  <si>
    <t>C:\BG\BridgeGroup\result\23.05.2023 17-43\ООО ЭНЕРГИЯ\УПД №UT-107030 от 03.05.23.pdf</t>
  </si>
  <si>
    <t>27 475,01</t>
  </si>
  <si>
    <t>C:\BG\BridgeGroup\result\23.05.2023 17-43\ООО ЭНЕРГИЯ\УПД №UT-107031 от 03.05.23.pdf</t>
  </si>
  <si>
    <t>C:\BG\BridgeGroup\result\23.05.2023 17-43\ООО БРИДЖ ГРУПП\УПД №875 от 30.04.23.pdf</t>
  </si>
  <si>
    <t>C:\BG\BridgeGroup\result\23.05.2023 17-43\ООО БРИДЖ ГРУПП\УПД №905 от 30.04.23.pdf</t>
  </si>
  <si>
    <t>C:\BG\BridgeGroup\result\23.05.2023 17-43\ООО БРИДЖ ГРУПП\УПД №933 от 30.04.23.pdf</t>
  </si>
  <si>
    <t>C:\BG\BridgeGroup\result\23.05.2023 17-43\ООО БРИДЖ ГРУПП\УПД №977 от 30.04.23.pdf</t>
  </si>
  <si>
    <t>C:\BG\BridgeGroup\result\23.05.2023 17-43\ООО Маркон\УПД №2273 от 02.05.23.pdf</t>
  </si>
  <si>
    <t>ООО "ВИП Строй Дизайн"</t>
  </si>
  <si>
    <t>C:\BG\BridgeGroup\result\23.05.2023 17-43\ООО ВИП Строй Дизайн\Акт об оказании услуг № 434 от 03 мая 2023 г.pdf</t>
  </si>
  <si>
    <t>C:\BG\BridgeGroup\result\23.05.2023 17-43\ООО НИЛА СПРИНГС\УПД №2023_30_03_0134857_38 от 02.05.23.pdf</t>
  </si>
  <si>
    <t>82 340,84</t>
  </si>
  <si>
    <t>C:\BG\BridgeGroup\result\23.05.2023 17-43\ООО СНС-Холдинг\УПД №7710_8174424115 от 03.05.23.pdf</t>
  </si>
  <si>
    <t>34 650,00</t>
  </si>
  <si>
    <t>C:\BG\BridgeGroup\result\23.05.2023 17-43\ООО Мобил.Мед\УПД №2267 от 30.04.23.pdf</t>
  </si>
  <si>
    <t>11 996,16</t>
  </si>
  <si>
    <t>C:\BG\BridgeGroup\result\23.05.2023 17-43\ООО ТД ЛФБ\УПД №28183 от 03.05.23.pdf</t>
  </si>
  <si>
    <t>13 578,82</t>
  </si>
  <si>
    <t>C:\BG\BridgeGroup\result\23.05.2023 17-43\ООО ТД ЛФБ\УПД №28181 от 03.05.23.pdf</t>
  </si>
  <si>
    <t>10 359,60</t>
  </si>
  <si>
    <t>C:\BG\BridgeGroup\result\23.05.2023 17-43\ООО ТД ЛФБ\УПД №28118 от 03.05.23.pdf</t>
  </si>
  <si>
    <t>5 594,64</t>
  </si>
  <si>
    <t>C:\BG\BridgeGroup\result\23.05.2023 17-43\ООО ТД ЛФБ\УПД №27944 от 03.05.23.pdf</t>
  </si>
  <si>
    <t>2 180,45</t>
  </si>
  <si>
    <t>C:\BG\BridgeGroup\result\23.05.2023 17-43\ООО ТД ЛФБ\УПД №27934 от 03.05.23.pdf</t>
  </si>
  <si>
    <t>6 500,60</t>
  </si>
  <si>
    <t>C:\BG\BridgeGroup\result\23.05.2023 17-43\ООО ТД ЛФБ\УПД №27739 от 02.05.23.pdf</t>
  </si>
  <si>
    <t>C:\BG\BridgeGroup\result\23.05.2023 17-43\ООО РИТЕЙЛ ПЕРСОНАЛ\УПД №109 от 30.04.23.pdf</t>
  </si>
  <si>
    <t>34 935,82</t>
  </si>
  <si>
    <t>C:\BG\BridgeGroup\result\23.05.2023 17-43\ООО Смартен\УПД №УТ-405-000094 от 04.05.23.pdf</t>
  </si>
  <si>
    <t>19 467,46</t>
  </si>
  <si>
    <t>C:\BG\BridgeGroup\result\23.05.2023 17-43\ООО ВКУС ОН ТРЕЙД\УПД №SR110023176 от 03.05.23.pdf</t>
  </si>
  <si>
    <t>3 842,73</t>
  </si>
  <si>
    <t>C:\BG\BridgeGroup\result\23.05.2023 17-43\ООО ТОРГОВЫЙ ДОМ ХОЛОД\УПД №10740503-13 от 03.05.23.pdf</t>
  </si>
  <si>
    <t>197 316,00</t>
  </si>
  <si>
    <t>C:\BG\BridgeGroup\result\23.05.2023 17-43\ООО ПС СОЛЮШН\УПД №172 от 30.04.23.pdf</t>
  </si>
  <si>
    <t>12 658,97</t>
  </si>
  <si>
    <t>C:\BG\BridgeGroup\result\23.05.2023 17-43\ООО ЭНЕРГИЯ\УПД №UT-108049 от 04.05.23.pdf</t>
  </si>
  <si>
    <t>2 874,00</t>
  </si>
  <si>
    <t>C:\BG\BridgeGroup\result\23.05.2023 17-43\ООО КОМУС\УПД №28333749 от 03.05.23.pdf</t>
  </si>
  <si>
    <t>03.03.2023</t>
  </si>
  <si>
    <t>C:\BG\BridgeGroup\result\23.05.2023 17-43\ООО ВИП Строй Дизайн\Акт об оказании услуг № 188 от 03 марта 2023 г.pdf</t>
  </si>
  <si>
    <t>4 751,97</t>
  </si>
  <si>
    <t>C:\BG\BridgeGroup\result\23.05.2023 17-43\ООО ВКУС ОН ТРЕЙД\УПД №SR110023442 от 04.05.23.pdf</t>
  </si>
  <si>
    <t>64 529,25</t>
  </si>
  <si>
    <t>C:\BG\BridgeGroup\result\23.05.2023 17-43\ООО ЭНЕРГИЯ\УПД №UT-100276 от 26.04.23.pdf</t>
  </si>
  <si>
    <t>13 553,76</t>
  </si>
  <si>
    <t>C:\BG\BridgeGroup\result\23.05.2023 17-43\ООО Полезные продукты\УПД №ВАГР0504_09 от 04.05.23.pdf</t>
  </si>
  <si>
    <t>5 552,90</t>
  </si>
  <si>
    <t>C:\BG\BridgeGroup\result\23.05.2023 17-43\ООО КОМУС\УПД №28343087 от 03.05.23.pdf</t>
  </si>
  <si>
    <t>11 925,12</t>
  </si>
  <si>
    <t>C:\BG\BridgeGroup\result\23.05.2023 17-43\ООО ТД ЛФБ\УПД №28591 от 05.05.23.pdf</t>
  </si>
  <si>
    <t>92 601,72</t>
  </si>
  <si>
    <t>C:\BG\BridgeGroup\result\23.05.2023 17-43\АО «ТК «МЕГАПОЛИС»\УПД №13878_690E от 05.05.23.pdf</t>
  </si>
  <si>
    <t>13 163,08</t>
  </si>
  <si>
    <t>C:\BG\BridgeGroup\result\23.05.2023 17-43\АО «ТК «МЕГАПОЛИС»\УПД №14020_690E от 05.05.23.pdf</t>
  </si>
  <si>
    <t>132 379,44</t>
  </si>
  <si>
    <t>C:\BG\BridgeGroup\result\23.05.2023 17-43\АО «ТК «МЕГАПОЛИС»\УПД №14051_690E от 05.05.23.pdf</t>
  </si>
  <si>
    <t>4 062,82</t>
  </si>
  <si>
    <t>C:\BG\BridgeGroup\result\23.05.2023 17-43\ООО ЭНЕРГИЯ\УПД №UT-109753 от 05.05.23.pdf</t>
  </si>
  <si>
    <t>C:\BG\BridgeGroup\result\23.05.2023 17-43\ООО ЭНЕРГИЯ\УПД №UT-109244 от 05.05.23.pdf</t>
  </si>
  <si>
    <t>5 205,13</t>
  </si>
  <si>
    <t>C:\BG\BridgeGroup\result\23.05.2023 17-43\ООО ЭНЕРГИЯ\УПД №UT-109253 от 05.05.23.pdf</t>
  </si>
  <si>
    <t>18 701,70</t>
  </si>
  <si>
    <t>C:\BG\BridgeGroup\result\23.05.2023 17-43\ООО ЭНЕРГИЯ\УПД №UT-109303 от 05.05.23.pdf</t>
  </si>
  <si>
    <t>8 880,23</t>
  </si>
  <si>
    <t>C:\BG\BridgeGroup\result\23.05.2023 17-43\ООО ЭНЕРГИЯ\УПД №UT-109306 от 05.05.23.pdf</t>
  </si>
  <si>
    <t>9 681,40</t>
  </si>
  <si>
    <t>C:\BG\BridgeGroup\result\23.05.2023 17-43\ООО ЭНЕРГИЯ\УПД №UT-109307 от 05.05.23.pdf</t>
  </si>
  <si>
    <t>13 908,86</t>
  </si>
  <si>
    <t>C:\BG\BridgeGroup\result\23.05.2023 17-43\ООО ЭНЕРГИЯ\УПД №UT-109807 от 05.05.23.pdf</t>
  </si>
  <si>
    <t>1 636,80</t>
  </si>
  <si>
    <t>C:\BG\BridgeGroup\result\23.05.2023 17-43\ООО НИЛА СПРИНГС\УПД №2023_30_03_0138391_38 от 04.05.23.pdf</t>
  </si>
  <si>
    <t>C:\BG\BridgeGroup\result\23.05.2023 17-43\ООО НИЛА СПРИНГС\УПД №2023_30_03_0138390_38 от 04.05.23.pdf</t>
  </si>
  <si>
    <t>C:\BG\BridgeGroup\result\23.05.2023 17-43\ООО НИЛА СПРИНГС\УПД №2023_30_03_0138375_38 от 04.05.23.pdf</t>
  </si>
  <si>
    <t>C:\BG\BridgeGroup\result\23.05.2023 17-43\ООО НИЛА СПРИНГС\УПД №2023_30_03_0138376_38 от 04.05.23.pdf</t>
  </si>
  <si>
    <t>C:\BG\BridgeGroup\result\23.05.2023 17-43\ООО А-В-КОМПАНИ\УПД №8907 от 04.05.23.pdf</t>
  </si>
  <si>
    <t>2 050,00</t>
  </si>
  <si>
    <t>C:\BG\BridgeGroup\result\23.05.2023 17-43\ООО А-В-КОМПАНИ\УПД №8918 от 03.05.23.pdf</t>
  </si>
  <si>
    <t>22.11.2022</t>
  </si>
  <si>
    <t>ООО ФЛАЙТ</t>
  </si>
  <si>
    <t>30 000,00</t>
  </si>
  <si>
    <t>C:\BG\BridgeGroup\result\23.05.2023 17-43\ООО ФЛАЙТ\УПД №319 от 22.11.22.pdf</t>
  </si>
  <si>
    <t>14.12.2022</t>
  </si>
  <si>
    <t>C:\BG\BridgeGroup\result\23.05.2023 17-43\ООО ФЛАЙТ\УПД №405 от 14.12.22.pdf</t>
  </si>
  <si>
    <t>47 000,00</t>
  </si>
  <si>
    <t>C:\BG\BridgeGroup\result\23.05.2023 17-43\ООО ФЛАЙТ\УПД №406 от 14.12.22.pdf</t>
  </si>
  <si>
    <t>23.11.2022</t>
  </si>
  <si>
    <t>C:\BG\BridgeGroup\result\23.05.2023 17-43\ООО ФЛАЙТ\УПД №311 от 23.11.22.pdf</t>
  </si>
  <si>
    <t>36 000,00</t>
  </si>
  <si>
    <t>C:\BG\BridgeGroup\result\23.05.2023 17-43\ООО ФЛАЙТ\УПД №407 от 14.12.22.pdf</t>
  </si>
  <si>
    <t>16.12.2022</t>
  </si>
  <si>
    <t>C:\BG\BridgeGroup\result\23.05.2023 17-43\ООО ФЛАЙТ\УПД №437 от 16.12.22.pdf</t>
  </si>
  <si>
    <t>C:\BG\BridgeGroup\result\23.05.2023 17-43\ООО ФЛАЙТ\УПД №438 от 16.12.22.pdf</t>
  </si>
  <si>
    <t>21.12.2022</t>
  </si>
  <si>
    <t>C:\BG\BridgeGroup\result\23.05.2023 17-43\ООО ФЛАЙТ\УПД №460 от 21.12.22.pdf</t>
  </si>
  <si>
    <t>C:\BG\BridgeGroup\result\23.05.2023 17-43\ООО ФЛАЙТ\УПД №461 от 21.12.22.pdf</t>
  </si>
  <si>
    <t>48 000,00</t>
  </si>
  <si>
    <t>C:\BG\BridgeGroup\result\23.05.2023 17-43\ООО ФЛАЙТ\УПД №464 от 21.12.22.pdf</t>
  </si>
  <si>
    <t>52 000,00</t>
  </si>
  <si>
    <t>C:\BG\BridgeGroup\result\23.05.2023 17-43\ООО ФЛАЙТ\УПД №463 от 21.12.22.pdf</t>
  </si>
  <si>
    <t>C:\BG\BridgeGroup\result\23.05.2023 17-43\ООО ФЛАЙТ\УПД №465 от 21.12.22.pdf</t>
  </si>
  <si>
    <t>28.12.2022</t>
  </si>
  <si>
    <t>46 000,00</t>
  </si>
  <si>
    <t>C:\BG\BridgeGroup\result\23.05.2023 17-43\ООО ФЛАЙТ\УПД №523 от 28.12.22.pdf</t>
  </si>
  <si>
    <t>86 000,00</t>
  </si>
  <si>
    <t>C:\BG\BridgeGroup\result\23.05.2023 17-43\ООО ФЛАЙТ\УПД №524 от 28.12.22.pdf</t>
  </si>
  <si>
    <t>C:\BG\BridgeGroup\result\23.05.2023 17-43\ООО ФЛАЙТ\УПД №436 от 16.12.22.pdf</t>
  </si>
  <si>
    <t>29.12.2022</t>
  </si>
  <si>
    <t>C:\BG\BridgeGroup\result\23.05.2023 17-43\ООО ФЛАЙТ\УПД №550 от 29.12.22.pdf</t>
  </si>
  <si>
    <t>27 000,00</t>
  </si>
  <si>
    <t>C:\BG\BridgeGroup\result\23.05.2023 17-43\ООО ФЛАЙТ\УПД №549 от 29.12.22.pdf</t>
  </si>
  <si>
    <t>30.12.2022</t>
  </si>
  <si>
    <t>38 000,00</t>
  </si>
  <si>
    <t>C:\BG\BridgeGroup\result\23.05.2023 17-43\ООО ФЛАЙТ\УПД №551 от 30.12.22.pdf</t>
  </si>
  <si>
    <t>20.01.2023</t>
  </si>
  <si>
    <t>C:\BG\BridgeGroup\result\23.05.2023 17-43\ООО ФЛАЙТ\УПД №16 от 20.01.23.pdf</t>
  </si>
  <si>
    <t>1 793,34</t>
  </si>
  <si>
    <t>C:\BG\BridgeGroup\result\23.05.2023 17-43\ООО ПепсиКо Холдингс\УПД №02_00173241-23 от 06.05.23.pdf</t>
  </si>
  <si>
    <t xml:space="preserve">ООО "ФОРТУНА"
</t>
  </si>
  <si>
    <t>94 423,35</t>
  </si>
  <si>
    <t>C:\BG\BridgeGroup\result\23.05.2023 17-43\ООО ЭНЕРГИЯ\УПД №UT-105220 от 02.05.23.pdf</t>
  </si>
  <si>
    <t>7 257,04</t>
  </si>
  <si>
    <t>C:\BG\BridgeGroup\result\23.05.2023 17-43\ООО ЭНЕРГИЯ\УПД №UT-98337 от 02.05.23.pdf</t>
  </si>
  <si>
    <t>6 653,82</t>
  </si>
  <si>
    <t>C:\BG\BridgeGroup\result\23.05.2023 17-43\ООО ЭНЕРГИЯ\УПД №UT-98338 от 02.05.23.pdf</t>
  </si>
  <si>
    <t>2 709,94</t>
  </si>
  <si>
    <t>C:\BG\BridgeGroup\result\23.05.2023 17-43\ООО ЭНЕРГИЯ\УПД №UT-98340 от 02.05.23.pdf</t>
  </si>
  <si>
    <t>15 196,06</t>
  </si>
  <si>
    <t>C:\BG\BridgeGroup\result\23.05.2023 17-43\ООО ЭНЕРГИЯ\УПД №UT-98479 от 02.05.23.pdf</t>
  </si>
  <si>
    <t>25 650,27</t>
  </si>
  <si>
    <t>C:\BG\BridgeGroup\result\23.05.2023 17-43\ООО ЭНЕРГИЯ\УПД №UT-104917 от 02.05.23.pdf</t>
  </si>
  <si>
    <t>37 372,82</t>
  </si>
  <si>
    <t>C:\BG\BridgeGroup\result\23.05.2023 17-43\ООО ЭНЕРГИЯ\УПД №UT-104919 от 02.05.23.pdf</t>
  </si>
  <si>
    <t>27 454,96</t>
  </si>
  <si>
    <t>C:\BG\BridgeGroup\result\23.05.2023 17-43\ООО ЭНЕРГИЯ\УПД №UT-105186 от 02.05.23.pdf</t>
  </si>
  <si>
    <t>26 345,14</t>
  </si>
  <si>
    <t>C:\BG\BridgeGroup\result\23.05.2023 17-43\ООО ЭНЕРГИЯ\УПД №UT-105194 от 02.05.23.pdf</t>
  </si>
  <si>
    <t>68 019,84</t>
  </si>
  <si>
    <t>C:\BG\BridgeGroup\result\23.05.2023 17-43\АО «ТК «МЕГАПОЛИС»\УПД №91480_230E от 03.05.23.pdf</t>
  </si>
  <si>
    <t>14 264,98</t>
  </si>
  <si>
    <t>C:\BG\BridgeGroup\result\23.05.2023 17-43\АО «ТК «МЕГАПОЛИС»\УПД №91482_230E от 03.05.23.pdf</t>
  </si>
  <si>
    <t>C:\BG\BridgeGroup\result\23.05.2023 17-43\АО «ТК «МЕГАПОЛИС»\УПД №91481_230E от 03.05.23.pdf</t>
  </si>
  <si>
    <t>168 530,04</t>
  </si>
  <si>
    <t>C:\BG\BridgeGroup\result\23.05.2023 17-43\АО «ТК «МЕГАПОЛИС»\УПД №91483_230E от 03.05.23.pdf</t>
  </si>
  <si>
    <t>172 746,00</t>
  </si>
  <si>
    <t>C:\BG\BridgeGroup\result\23.05.2023 17-43\ООО БРИДЖ ГРУПП\УПД №850 от 30.04.23.pdf</t>
  </si>
  <si>
    <t>9 834,00</t>
  </si>
  <si>
    <t>C:\BG\BridgeGroup\result\23.05.2023 17-43\ООО БРИДЖ ГРУПП\УПД №884 от 30.04.23.pdf</t>
  </si>
  <si>
    <t>13 170,00</t>
  </si>
  <si>
    <t>C:\BG\BridgeGroup\result\23.05.2023 17-43\ООО БРИДЖ ГРУПП\УПД №914 от 30.04.23.pdf</t>
  </si>
  <si>
    <t>19 938,00</t>
  </si>
  <si>
    <t>C:\BG\BridgeGroup\result\23.05.2023 17-43\ООО БРИДЖ ГРУПП\УПД №957 от 30.04.23.pdf</t>
  </si>
  <si>
    <t>16 903,98</t>
  </si>
  <si>
    <t>C:\BG\BridgeGroup\result\23.05.2023 17-43\ООО СНС-Холдинг\УПД №2320_8174422807 от 03.05.23.pdf</t>
  </si>
  <si>
    <t>24 308,68</t>
  </si>
  <si>
    <t>C:\BG\BridgeGroup\result\23.05.2023 17-43\ООО СНС-Холдинг\УПД №2320_8174435683 от 03.05.23.pdf</t>
  </si>
  <si>
    <t>C:\BG\BridgeGroup\result\23.05.2023 17-43\ООО РИТЕЙЛ ПЕРСОНАЛ\УПД №104 от 30.04.23.pdf</t>
  </si>
  <si>
    <t>Фортуна</t>
  </si>
  <si>
    <t>ООО ЦМО "СИМПЛЕКС"</t>
  </si>
  <si>
    <t>C:\BG\BridgeGroup\result\23.05.2023 17-43\ООО ЦМО СИМПЛЕКС\Фортуна Акт об оказании услуг № 368 от 30 апреля 2023 г.pdf</t>
  </si>
  <si>
    <t>C:\BG\BridgeGroup\result\23.05.2023 17-43\ООО ЦМО СИМПЛЕКС\Фортуна Акт об оказании услуг № 369 от 30 апреля 2023 г периодич.pdf</t>
  </si>
  <si>
    <t>92 400,00</t>
  </si>
  <si>
    <t>C:\BG\BridgeGroup\result\23.05.2023 17-43\ООО ПС СОЛЮШН\УПД №173 от 30.04.23.pdf</t>
  </si>
  <si>
    <t>33 402,72</t>
  </si>
  <si>
    <t>C:\BG\BridgeGroup\result\23.05.2023 17-43\АО «ТК «МЕГАПОЛИС»\УПД №92651_230E от 04.05.23.pdf</t>
  </si>
  <si>
    <t>9 301,45</t>
  </si>
  <si>
    <t>C:\BG\BridgeGroup\result\23.05.2023 17-43\АО «ТК «МЕГАПОЛИС»\УПД №92653_230E от 04.05.23.pdf</t>
  </si>
  <si>
    <t>5 454,29</t>
  </si>
  <si>
    <t>C:\BG\BridgeGroup\result\23.05.2023 17-43\АО «ТК «МЕГАПОЛИС»\УПД №92652_230E от 04.05.23.pdf</t>
  </si>
  <si>
    <t>204 759,48</t>
  </si>
  <si>
    <t>C:\BG\BridgeGroup\result\23.05.2023 17-43\АО «ТК «МЕГАПОЛИС»\УПД №92654_230E от 04.05.23.pdf</t>
  </si>
  <si>
    <t>64 749,18</t>
  </si>
  <si>
    <t>C:\BG\BridgeGroup\result\23.05.2023 17-43\ООО ЭНЕРГИЯ\УПД №UT-98341 от 25.04.23.pdf</t>
  </si>
  <si>
    <t>109 089,72</t>
  </si>
  <si>
    <t>C:\BG\BridgeGroup\result\23.05.2023 17-43\АО «ТК «МЕГАПОЛИС»\УПД №93843_230E от 05.05.23.pdf</t>
  </si>
  <si>
    <t>4 770,38</t>
  </si>
  <si>
    <t>C:\BG\BridgeGroup\result\23.05.2023 17-43\АО «ТК «МЕГАПОЛИС»\УПД №93844_230E от 05.05.23.pdf</t>
  </si>
  <si>
    <t>31 429,62</t>
  </si>
  <si>
    <t>C:\BG\BridgeGroup\result\23.05.2023 17-43\ООО СНС-Холдинг\УПД №2320_8174511894 от 05.05.23.pdf</t>
  </si>
  <si>
    <t>C:\BG\BridgeGroup\result\23.05.2023 17-43\ООО АЛЕФ ТРЕЙД МСК\УПД №1137 от 04.05.23.pdf</t>
  </si>
  <si>
    <t>C:\BG\BridgeGroup\result\23.05.2023 17-43\ООО АЛЕФ ТРЕЙД МСК\УПД №1136 от 01.05.23.pdf</t>
  </si>
  <si>
    <t xml:space="preserve">ООО "Шельф Нефть"
</t>
  </si>
  <si>
    <t>28 093,62</t>
  </si>
  <si>
    <t>C:\BG\BridgeGroup\result\23.05.2023 17-43\ООО ЭНЕРГИЯ\УПД №UT-105397 от 02.05.23.pdf</t>
  </si>
  <si>
    <t>C:\BG\BridgeGroup\result\23.05.2023 17-43\ООО ЭНЕРГИЯ\УПД №UT-105406 от 02.05.23.pdf</t>
  </si>
  <si>
    <t>4 709,95</t>
  </si>
  <si>
    <t>C:\BG\BridgeGroup\result\23.05.2023 17-43\ООО ЭНЕРГИЯ\УПД №UT-105414 от 02.05.23.pdf</t>
  </si>
  <si>
    <t>2 579,19</t>
  </si>
  <si>
    <t>C:\BG\BridgeGroup\result\23.05.2023 17-43\ООО ЭНЕРГИЯ\УПД №UT-105419 от 02.05.23.pdf</t>
  </si>
  <si>
    <t>39 869,88</t>
  </si>
  <si>
    <t>C:\BG\BridgeGroup\result\23.05.2023 17-43\ООО ЭНЕРГИЯ\УПД №UT-105421 от 02.05.23.pdf</t>
  </si>
  <si>
    <t>1 844,28</t>
  </si>
  <si>
    <t>C:\BG\BridgeGroup\result\23.05.2023 17-43\ООО Полезные продукты\УПД №ИгДМ0502_01 от 02.05.23.pdf</t>
  </si>
  <si>
    <t>59 870,28</t>
  </si>
  <si>
    <t>C:\BG\BridgeGroup\result\23.05.2023 17-43\ООО СНС-Холдинг\УПД №7110_8174360824 от 02.05.23.pdf</t>
  </si>
  <si>
    <t>53 853,38</t>
  </si>
  <si>
    <t>C:\BG\BridgeGroup\result\23.05.2023 17-43\ООО СНС-Холдинг\УПД №7110_8174360865 от 02.05.23.pdf</t>
  </si>
  <si>
    <t>19 995,52</t>
  </si>
  <si>
    <t>C:\BG\BridgeGroup\result\23.05.2023 17-43\ООО ВКУС ОН ТРЕЙД\УПД №SR110022929 от 03.05.23.pdf</t>
  </si>
  <si>
    <t>16 427,94</t>
  </si>
  <si>
    <t>C:\BG\BridgeGroup\result\23.05.2023 17-43\ООО ВКУС ОН ТРЕЙД\УПД №SR110022926 от 03.05.23.pdf</t>
  </si>
  <si>
    <t>29 258,57</t>
  </si>
  <si>
    <t>C:\BG\BridgeGroup\result\23.05.2023 17-43\ООО ВКУС ОН ТРЕЙД\УПД №SR110022921 от 03.05.23.pdf</t>
  </si>
  <si>
    <t>46 323,89</t>
  </si>
  <si>
    <t>C:\BG\BridgeGroup\result\23.05.2023 17-43\ООО ВКУС ОН ТРЕЙД\УПД №SR110022914 от 03.05.23.pdf</t>
  </si>
  <si>
    <t>117 860,52</t>
  </si>
  <si>
    <t>C:\BG\BridgeGroup\result\23.05.2023 17-43\АО «ТК «МЕГАПОЛИС»\УПД №16653_480E от 03.05.23.pdf</t>
  </si>
  <si>
    <t>847,49</t>
  </si>
  <si>
    <t>C:\BG\BridgeGroup\result\23.05.2023 17-43\АО «ТК «МЕГАПОЛИС»\УПД №16654_480E от 03.05.23.pdf</t>
  </si>
  <si>
    <t>151 896,36</t>
  </si>
  <si>
    <t>C:\BG\BridgeGroup\result\23.05.2023 17-43\АО «ТК «МЕГАПОЛИС»\УПД №16655_480E от 03.05.23.pdf</t>
  </si>
  <si>
    <t>7 293,87</t>
  </si>
  <si>
    <t>C:\BG\BridgeGroup\result\23.05.2023 17-43\АО «ТК «МЕГАПОЛИС»\УПД №49090_710E от 03.05.23.pdf</t>
  </si>
  <si>
    <t>113 831,64</t>
  </si>
  <si>
    <t>C:\BG\BridgeGroup\result\23.05.2023 17-43\АО «ТК «МЕГАПОЛИС»\УПД №49091_710E от 03.05.23.pdf</t>
  </si>
  <si>
    <t>7 828,51</t>
  </si>
  <si>
    <t>C:\BG\BridgeGroup\result\23.05.2023 17-43\АО «ТК «МЕГАПОЛИС»\УПД №49092_710E от 03.05.23.pdf</t>
  </si>
  <si>
    <t>2 538,72</t>
  </si>
  <si>
    <t>C:\BG\BridgeGroup\result\23.05.2023 17-43\АО «ТК «МЕГАПОЛИС»\УПД №49093_710E от 03.05.23.pdf</t>
  </si>
  <si>
    <t>136 255,44</t>
  </si>
  <si>
    <t>C:\BG\BridgeGroup\result\23.05.2023 17-43\АО «ТК «МЕГАПОЛИС»\УПД №49094_710E от 03.05.23.pdf</t>
  </si>
  <si>
    <t>80 344,68</t>
  </si>
  <si>
    <t>C:\BG\BridgeGroup\result\23.05.2023 17-43\АО «ТК «МЕГАПОЛИС»\УПД №49095_710E от 03.05.23.pdf</t>
  </si>
  <si>
    <t>1 016,06</t>
  </si>
  <si>
    <t>C:\BG\BridgeGroup\result\23.05.2023 17-43\ООО ЭНЕРГИЯ\УПД №UT-106716 от 03.05.23.pdf</t>
  </si>
  <si>
    <t>48 192,69</t>
  </si>
  <si>
    <t>C:\BG\BridgeGroup\result\23.05.2023 17-43\ООО ЭНЕРГИЯ\УПД №UT-106717 от 03.05.23.pdf</t>
  </si>
  <si>
    <t>23 780,03</t>
  </si>
  <si>
    <t>C:\BG\BridgeGroup\result\23.05.2023 17-43\ООО ЭНЕРГИЯ\УПД №UT-106718 от 03.05.23.pdf</t>
  </si>
  <si>
    <t>5 710,32</t>
  </si>
  <si>
    <t>C:\BG\BridgeGroup\result\23.05.2023 17-43\ООО ЭНЕРГИЯ\УПД №UT-106720 от 03.05.23.pdf</t>
  </si>
  <si>
    <t>28 778,66</t>
  </si>
  <si>
    <t>C:\BG\BridgeGroup\result\23.05.2023 17-43\ООО ЭНЕРГИЯ\УПД №UT-106721 от 03.05.23.pdf</t>
  </si>
  <si>
    <t>20 911,85</t>
  </si>
  <si>
    <t>C:\BG\BridgeGroup\result\23.05.2023 17-43\ООО ЭНЕРГИЯ\УПД №UT-107033 от 03.05.23.pdf</t>
  </si>
  <si>
    <t>C:\BG\BridgeGroup\result\23.05.2023 17-43\ООО ЭНЕРГИЯ\УПД №UT-107034 от 03.05.23.pdf</t>
  </si>
  <si>
    <t>7 484,85</t>
  </si>
  <si>
    <t>C:\BG\BridgeGroup\result\23.05.2023 17-43\ООО ЭНЕРГИЯ\УПД №UT-107052 от 03.05.23.pdf</t>
  </si>
  <si>
    <t>5 257,60</t>
  </si>
  <si>
    <t>C:\BG\BridgeGroup\result\23.05.2023 17-43\ООО Смартен\УПД №УТ-305-000128 от 03.05.23.pdf</t>
  </si>
  <si>
    <t>36 762,70</t>
  </si>
  <si>
    <t>C:\BG\BridgeGroup\result\23.05.2023 17-43\ООО Смартен\УПД №УТ-305-000123 от 03.05.23.pdf</t>
  </si>
  <si>
    <t>C:\BG\BridgeGroup\result\23.05.2023 17-43\ООО Смартен\УПД №УТ-305-000121 от 03.05.23.pdf</t>
  </si>
  <si>
    <t>1 960,00</t>
  </si>
  <si>
    <t>C:\BG\BridgeGroup\result\23.05.2023 17-43\ООО Смартен\УПД №УТ-305-000117 от 03.05.23.pdf</t>
  </si>
  <si>
    <t>449 139,60</t>
  </si>
  <si>
    <t>C:\BG\BridgeGroup\result\23.05.2023 17-43\ООО БРИДЖ ГРУПП\УПД №870 от 30.04.23.pdf</t>
  </si>
  <si>
    <t>25 568,40</t>
  </si>
  <si>
    <t>C:\BG\BridgeGroup\result\23.05.2023 17-43\ООО БРИДЖ ГРУПП\УПД №885 от 30.04.23.pdf</t>
  </si>
  <si>
    <t>30 459,90</t>
  </si>
  <si>
    <t>C:\BG\BridgeGroup\result\23.05.2023 17-43\ООО СНС-Холдинг\УПД №4810_8174445262 от 03.05.23.pdf</t>
  </si>
  <si>
    <t>4 412,20</t>
  </si>
  <si>
    <t>C:\BG\BridgeGroup\result\23.05.2023 17-43\ООО СНС-Холдинг\УПД №4810_8174436134 от 03.05.23.pdf</t>
  </si>
  <si>
    <t>4 734,30</t>
  </si>
  <si>
    <t>C:\BG\BridgeGroup\result\23.05.2023 17-43\ООО СНС-Холдинг\УПД №4810_8174436199 от 03.05.23.pdf</t>
  </si>
  <si>
    <t>34 242,00</t>
  </si>
  <si>
    <t>C:\BG\BridgeGroup\result\23.05.2023 17-43\ООО БРИДЖ ГРУПП\УПД №929 от 30.04.23.pdf</t>
  </si>
  <si>
    <t>51 838,80</t>
  </si>
  <si>
    <t>C:\BG\BridgeGroup\result\23.05.2023 17-43\ООО БРИДЖ ГРУПП\УПД №973 от 30.04.23.pdf</t>
  </si>
  <si>
    <t>60 964,40</t>
  </si>
  <si>
    <t>C:\BG\BridgeGroup\result\23.05.2023 17-43\ООО СНС-Холдинг\УПД №4810_8174436088 от 03.05.23.pdf</t>
  </si>
  <si>
    <t>ООО "МОЙ ДОКТОР"</t>
  </si>
  <si>
    <t>C:\BG\BridgeGroup\result\23.05.2023 17-43\ООО МОЙ ДОКТОР\Акт 296.xls.pdf</t>
  </si>
  <si>
    <t>8 724,24</t>
  </si>
  <si>
    <t>C:\BG\BridgeGroup\result\23.05.2023 17-43\ООО ТД ЛФБ\УПД №27273 от 02.05.23.pdf</t>
  </si>
  <si>
    <t>10 983,29</t>
  </si>
  <si>
    <t>C:\BG\BridgeGroup\result\23.05.2023 17-43\ООО ТД ЛФБ\УПД №27261 от 02.05.23.pdf</t>
  </si>
  <si>
    <t>41 093,91</t>
  </si>
  <si>
    <t>C:\BG\BridgeGroup\result\23.05.2023 17-43\ООО ТД ЛФБ\УПД №27241 от 02.05.23.pdf</t>
  </si>
  <si>
    <t>28 089,28</t>
  </si>
  <si>
    <t>C:\BG\BridgeGroup\result\23.05.2023 17-43\ООО ТД ЛФБ\УПД №25943 от 02.05.23.pdf</t>
  </si>
  <si>
    <t>6 352,43</t>
  </si>
  <si>
    <t>C:\BG\BridgeGroup\result\23.05.2023 17-43\ООО ТД ЛФБ\УПД №25939 от 02.05.23.pdf</t>
  </si>
  <si>
    <t>C:\BG\BridgeGroup\result\23.05.2023 17-43\ООО ТД ЛФБ\УПД №25935 от 02.05.23.pdf</t>
  </si>
  <si>
    <t>22 486,27</t>
  </si>
  <si>
    <t>C:\BG\BridgeGroup\result\23.05.2023 17-43\ООО ТД ЛФБ\УПД №25933 от 02.05.23.pdf</t>
  </si>
  <si>
    <t>25 134,66</t>
  </si>
  <si>
    <t>C:\BG\BridgeGroup\result\23.05.2023 17-43\ООО КОМУС\УПД №28312131 от 03.05.23.pdf</t>
  </si>
  <si>
    <t>309 420,00</t>
  </si>
  <si>
    <t>C:\BG\BridgeGroup\result\23.05.2023 17-43\ООО ПС СОЛЮШН\УПД №174 от 30.04.23.pdf</t>
  </si>
  <si>
    <t>61 322,64</t>
  </si>
  <si>
    <t>C:\BG\BridgeGroup\result\23.05.2023 17-43\АО «ТК «МЕГАПОЛИС»\УПД №4020_480F от 04.05.23.pdf</t>
  </si>
  <si>
    <t>89 342,16</t>
  </si>
  <si>
    <t>C:\BG\BridgeGroup\result\23.05.2023 17-43\АО «ТК «МЕГАПОЛИС»\УПД №16858_480E от 04.05.23.pdf</t>
  </si>
  <si>
    <t>7 754,17</t>
  </si>
  <si>
    <t>C:\BG\BridgeGroup\result\23.05.2023 17-43\АО «ТК «МЕГАПОЛИС»\УПД №16859_480E от 04.05.23.pdf</t>
  </si>
  <si>
    <t>3 677,72</t>
  </si>
  <si>
    <t>C:\BG\BridgeGroup\result\23.05.2023 17-43\АО «ТК «МЕГАПОЛИС»\УПД №16860_480E от 04.05.23.pdf</t>
  </si>
  <si>
    <t>126 878,16</t>
  </si>
  <si>
    <t>C:\BG\BridgeGroup\result\23.05.2023 17-43\АО «ТК «МЕГАПОЛИС»\УПД №16861_480E от 04.05.23.pdf</t>
  </si>
  <si>
    <t>C:\BG\BridgeGroup\result\23.05.2023 17-43\АО «ТК «МЕГАПОЛИС»\УПД №49798_710E от 04.05.23.pdf</t>
  </si>
  <si>
    <t>52 326,84</t>
  </si>
  <si>
    <t>C:\BG\BridgeGroup\result\23.05.2023 17-43\АО «ТК «МЕГАПОЛИС»\УПД №49800_710E от 04.05.23.pdf</t>
  </si>
  <si>
    <t>11 350,31</t>
  </si>
  <si>
    <t>C:\BG\BridgeGroup\result\23.05.2023 17-43\ООО ЭНЕРГИЯ\УПД №UT-108221 от 04.05.23.pdf</t>
  </si>
  <si>
    <t>29 479,17</t>
  </si>
  <si>
    <t>C:\BG\BridgeGroup\result\23.05.2023 17-43\ООО ЭНЕРГИЯ\УПД №UT-108223 от 04.05.23.pdf</t>
  </si>
  <si>
    <t>24 217,00</t>
  </si>
  <si>
    <t>C:\BG\BridgeGroup\result\23.05.2023 17-43\ООО ЭНЕРГИЯ\УПД №UT-108225 от 04.05.23.pdf</t>
  </si>
  <si>
    <t>C:\BG\BridgeGroup\result\23.05.2023 17-43\ООО ЭНЕРГИЯ\УПД №UT-108219 от 04.05.23.pdf</t>
  </si>
  <si>
    <t>C:\BG\BridgeGroup\result\23.05.2023 17-43\ООО ЭНЕРГИЯ\УПД №UT-108220 от 04.05.23.pdf</t>
  </si>
  <si>
    <t>1 594,08</t>
  </si>
  <si>
    <t>C:\BG\BridgeGroup\result\23.05.2023 17-43\ООО ЭНЕРГИЯ\УПД №UT-108222 от 04.05.23.pdf</t>
  </si>
  <si>
    <t>4 922,94</t>
  </si>
  <si>
    <t>C:\BG\BridgeGroup\result\23.05.2023 17-43\ООО ЭНЕРГИЯ\УПД №UT-108224 от 04.05.23.pdf</t>
  </si>
  <si>
    <t>45 973,91</t>
  </si>
  <si>
    <t>C:\BG\BridgeGroup\result\23.05.2023 17-43\ООО ЭНЕРГИЯ\УПД №UT-108368 от 04.05.23.pdf</t>
  </si>
  <si>
    <t>3 426,78</t>
  </si>
  <si>
    <t>C:\BG\BridgeGroup\result\23.05.2023 17-43\ООО ЭНЕРГИЯ\УПД №UT-108437 от 04.05.23.pdf</t>
  </si>
  <si>
    <t>27 014,50</t>
  </si>
  <si>
    <t>C:\BG\BridgeGroup\result\23.05.2023 17-43\ООО КОМУС\УПД №28309611 от 02.05.23.pdf</t>
  </si>
  <si>
    <t>C:\BG\BridgeGroup\result\23.05.2023 17-43\ООО СНС-Холдинг\Акт сверки №1800000986 от 04.05.23.pdf</t>
  </si>
  <si>
    <t>8 565,18</t>
  </si>
  <si>
    <t>C:\BG\BridgeGroup\result\23.05.2023 17-43\ООО СНС-Холдинг\УПД №7110_8174454570 от 04.05.23.pdf</t>
  </si>
  <si>
    <t>16 327,59</t>
  </si>
  <si>
    <t>C:\BG\BridgeGroup\result\23.05.2023 17-43\ООО КОМУС\УПД №28335430 от 03.05.23.pdf</t>
  </si>
  <si>
    <t>16 101,06</t>
  </si>
  <si>
    <t>C:\BG\BridgeGroup\result\23.05.2023 17-43\ООО КОМУС\УПД №28337034 от 03.05.23.pdf</t>
  </si>
  <si>
    <t>6 863,10</t>
  </si>
  <si>
    <t>C:\BG\BridgeGroup\result\23.05.2023 17-43\АО «ТК «МЕГАПОЛИС»\УПД №4061_480F от 05.05.23.pdf</t>
  </si>
  <si>
    <t>112 869,12</t>
  </si>
  <si>
    <t>C:\BG\BridgeGroup\result\23.05.2023 17-43\АО «ТК «МЕГАПОЛИС»\УПД №4062_480F от 05.05.23.pdf</t>
  </si>
  <si>
    <t>14 130,62</t>
  </si>
  <si>
    <t>C:\BG\BridgeGroup\result\23.05.2023 17-43\АО «ТК «МЕГАПОЛИС»\УПД №4063_480F от 05.05.23.pdf</t>
  </si>
  <si>
    <t>97 164,48</t>
  </si>
  <si>
    <t>C:\BG\BridgeGroup\result\23.05.2023 17-43\АО «ТК «МЕГАПОЛИС»\УПД №17061_480E от 05.05.23.pdf</t>
  </si>
  <si>
    <t>6 168,83</t>
  </si>
  <si>
    <t>C:\BG\BridgeGroup\result\23.05.2023 17-43\АО «ТК «МЕГАПОЛИС»\УПД №17062_480E от 05.05.23.pdf</t>
  </si>
  <si>
    <t>23 080,13</t>
  </si>
  <si>
    <t>C:\BG\BridgeGroup\result\23.05.2023 17-43\ООО ЭНЕРГИЯ\УПД №UT-109666 от 05.05.23.pdf</t>
  </si>
  <si>
    <t>C:\BG\BridgeGroup\result\23.05.2023 17-43\ООО ЭНЕРГИЯ\УПД №UT-109665 от 05.05.23.pdf</t>
  </si>
  <si>
    <t>C:\BG\BridgeGroup\result\23.05.2023 17-43\ООО ЭНЕРГИЯ\УПД №UT-109667 от 05.05.23.pdf</t>
  </si>
  <si>
    <t>2 982,03</t>
  </si>
  <si>
    <t>C:\BG\BridgeGroup\result\23.05.2023 17-43\ООО ПепсиКо Холдингс\УПД №88_00018537-23 от 05.05.23.pdf</t>
  </si>
  <si>
    <t>27 952,50</t>
  </si>
  <si>
    <t>C:\BG\BridgeGroup\result\23.05.2023 17-43\ООО СНС-Холдинг\УПД №4810_8174505865 от 05.05.23.pdf</t>
  </si>
  <si>
    <t>6 732,50</t>
  </si>
  <si>
    <t>C:\BG\BridgeGroup\result\23.05.2023 17-43\ООО СНС-Холдинг\УПД №4810_8174505878 от 05.05.23.pdf</t>
  </si>
  <si>
    <t>ФБУ "ЛИПЕЦКИЙ ЦСМ"</t>
  </si>
  <si>
    <t>2 637,60</t>
  </si>
  <si>
    <t>C:\BG\BridgeGroup\result\23.05.2023 17-43\ФБУ ЛИПЕЦКИЙ ЦСМ\Акт №М4761 от 04.05.23.pdf</t>
  </si>
  <si>
    <t>28 591,00</t>
  </si>
  <si>
    <t>C:\BG\BridgeGroup\result\23.05.2023 17-43\ООО СНС-Холдинг\УПД №4810_8174500523 от 05.05.23.pdf</t>
  </si>
  <si>
    <t>4 318,50</t>
  </si>
  <si>
    <t>C:\BG\BridgeGroup\result\23.05.2023 17-43\ООО СНС-Холдинг\УПД №4810_8174500608 от 05.05.23.pdf</t>
  </si>
  <si>
    <t>17 555,90</t>
  </si>
  <si>
    <t>C:\BG\BridgeGroup\result\23.05.2023 17-43\ООО СНС-Холдинг\УПД №4810_8174500587 от 05.05.23.pdf</t>
  </si>
  <si>
    <t>2 485,68</t>
  </si>
  <si>
    <t>C:\BG\BridgeGroup\result\23.05.2023 17-43\ООО СНС-Холдинг\УПД №4810_8174505677 от 05.05.23.pdf</t>
  </si>
  <si>
    <t>20 153,40</t>
  </si>
  <si>
    <t>C:\BG\BridgeGroup\result\23.05.2023 17-43\ООО СНС-Холдинг\УПД №4810_8174505739 от 05.05.23.pdf</t>
  </si>
  <si>
    <t>19 093,20</t>
  </si>
  <si>
    <t>C:\BG\BridgeGroup\result\23.05.2023 17-43\ООО СНС-Холдинг\УПД №4810_8174505661 от 05.05.23.pdf</t>
  </si>
  <si>
    <t>3 996,40</t>
  </si>
  <si>
    <t>C:\BG\BridgeGroup\result\23.05.2023 17-43\ООО СНС-Холдинг\УПД №4810_8174505767 от 05.05.23.pdf</t>
  </si>
  <si>
    <t>18 639,00</t>
  </si>
  <si>
    <t>C:\BG\BridgeGroup\result\23.05.2023 17-43\ООО КОМУС\УПД №28365694 от 04.05.23.pdf</t>
  </si>
  <si>
    <t>10 162,42</t>
  </si>
  <si>
    <t>C:\BG\BridgeGroup\result\23.05.2023 17-43\ООО КОМУС\УПД №28367837 от 04.05.23.pdf</t>
  </si>
  <si>
    <t>Универсальный</t>
  </si>
  <si>
    <t>ООО "ЛИКС"</t>
  </si>
  <si>
    <t>C:\BG\BridgeGroup\result\23.05.2023 17-43\ООО ЛИКС\Универсальный передаточный документ (УПД) № УП-213 от 25.04.2023.xlsx.pdf</t>
  </si>
  <si>
    <t>C:\BG\BridgeGroup\result\23.05.2023 17-43\ООО ЛИКС\Универсальный передаточный документ (УПД) № УП-182 от 13.04.2023.xlsx.pdf</t>
  </si>
  <si>
    <t>C:\BG\BridgeGroup\result\23.05.2023 17-43\ООО ЛИКС\Универсальный передаточный документ (УПД) № УП-175 от 04.04.2023.xlsx.pdf</t>
  </si>
  <si>
    <t>C:\BG\BridgeGroup\result\23.05.2023 17-43\ООО ЛИКС\Универсальный передаточный документ (УПД) № УП-176 от 05.04.2023.xlsx.pdf</t>
  </si>
  <si>
    <t>C:\BG\BridgeGroup\result\23.05.2023 17-43\ООО ЛИКС\Универсальный передаточный документ (УПД) № УП-177 от 06.04.2023.xlsx.pdf</t>
  </si>
  <si>
    <t>C:\BG\BridgeGroup\result\23.05.2023 17-43\ООО ЛИКС\Универсальный передаточный документ (УПД) № УП-210 от 21.04.2023.xlsx.pdf</t>
  </si>
  <si>
    <t>C:\BG\BridgeGroup\result\23.05.2023 17-43\ООО ЛИКС\Универсальный передаточный документ (УПД) № УП-208 от 17.04.2023.xlsx.pdf</t>
  </si>
  <si>
    <t>C:\BG\BridgeGroup\result\23.05.2023 17-43\ООО ЛИКС\Универсальный передаточный документ (УПД) № УП-214 от 27.04.2023.xlsx.pdf</t>
  </si>
  <si>
    <t>C:\BG\BridgeGroup\result\23.05.2023 17-43\ООО ЛИКС\Универсальный передаточный документ (УПД) № УП-180 от 10.04.2023.xlsx.pdf</t>
  </si>
  <si>
    <t>C:\BG\BridgeGroup\result\23.05.2023 17-43\ООО ЛИКС\Универсальный передаточный документ (УПД) № УП-179 от 09.04.2023.xlsx.pdf</t>
  </si>
  <si>
    <t>C:\BG\BridgeGroup\result\23.05.2023 17-43\ООО ЛИКС\Универсальный передаточный документ (УПД) № УП-206 от 14.04.2023.xlsx.pdf</t>
  </si>
  <si>
    <t>C:\BG\BridgeGroup\result\23.05.2023 17-43\ООО ЛИКС\Универсальный передаточный документ (УПД) № УП-178 от 07.04.2023.xlsx.pdf</t>
  </si>
  <si>
    <t>C:\BG\BridgeGroup\result\23.05.2023 17-43\ООО ЛИКС\Универсальный передаточный документ (УПД) № УП-211 от 22.04.2023.xlsx.pdf</t>
  </si>
  <si>
    <t>C:\BG\BridgeGroup\result\23.05.2023 17-43\ООО ЛИКС\Универсальный передаточный документ (УПД) № УП-174 от 02.04.2023.xlsx.pdf</t>
  </si>
  <si>
    <t>C:\BG\BridgeGroup\result\23.05.2023 17-43\ООО ЛИКС\Универсальный передаточный документ (УПД) № УП-181 от 11.04.2023.xlsx.pdf</t>
  </si>
  <si>
    <t>C:\BG\BridgeGroup\result\23.05.2023 17-43\ООО ЛИКС\Универсальный передаточный документ (УПД) № УП-209 от 19.04.2023.xlsx.pdf</t>
  </si>
  <si>
    <t>C:\BG\BridgeGroup\result\23.05.2023 17-43\ООО ЛИКС\Универсальный передаточный документ (УПД) № УП-212 от 24.04.2023.xlsx.pdf</t>
  </si>
  <si>
    <t>C:\BG\BridgeGroup\result\23.05.2023 17-43\ООО ЛИКС\Универсальный передаточный документ (УПД) № УП-207 от 15.04.2023.xlsx.pdf</t>
  </si>
  <si>
    <t>17 296,40</t>
  </si>
  <si>
    <t>C:\BG\BridgeGroup\result\23.05.2023 17-43\ООО СНС-Холдинг\УПД №7110_8174498994 от 05.05.23.pdf</t>
  </si>
  <si>
    <t>14 352,60</t>
  </si>
  <si>
    <t>C:\BG\BridgeGroup\result\23.05.2023 17-43\ООО КОМУС\УПД №28371385 от 04.05.23.pdf</t>
  </si>
  <si>
    <t>100 091,00</t>
  </si>
  <si>
    <t>C:\BG\BridgeGroup\result\23.05.2023 17-43\ООО КЕХ еКоммерц\УПД №04-422962 от 30.04.23.pdf</t>
  </si>
  <si>
    <t>5 305,44</t>
  </si>
  <si>
    <t>C:\BG\BridgeGroup\result\23.05.2023 17-43\ООО ВКУС ОН ТРЕЙД\УПД №SR110023803 от 06.05.23.pdf</t>
  </si>
  <si>
    <t>17 258,09</t>
  </si>
  <si>
    <t>C:\BG\BridgeGroup\result\23.05.2023 17-43\ООО ВКУС ОН ТРЕЙД\УПД №SR110023805 от 06.05.23.pdf</t>
  </si>
  <si>
    <t>13 044,76</t>
  </si>
  <si>
    <t>C:\BG\BridgeGroup\result\23.05.2023 17-43\ООО ВКУС ОН ТРЕЙД\УПД №SR110023886 от 06.05.23.pdf</t>
  </si>
  <si>
    <t xml:space="preserve">ООО "Шельф"
</t>
  </si>
  <si>
    <t>42 657,60</t>
  </si>
  <si>
    <t>C:\BG\BridgeGroup\result\23.05.2023 17-43\ООО ВКУС ОН ТРЕЙД\УПД №SR110022794 от 02.05.23.pdf</t>
  </si>
  <si>
    <t>25 819,77</t>
  </si>
  <si>
    <t>C:\BG\BridgeGroup\result\23.05.2023 17-43\ООО ВКУС ОН ТРЕЙД\УПД №SR110022792 от 02.05.23.pdf</t>
  </si>
  <si>
    <t>C:\BG\BridgeGroup\result\23.05.2023 17-43\ООО НИЛА СПРИНГС\УПД №2023_40_03_0033310_06 от 30.04.23.pdf</t>
  </si>
  <si>
    <t>ООО "Родник"</t>
  </si>
  <si>
    <t>1 680,00</t>
  </si>
  <si>
    <t>C:\BG\BridgeGroup\result\23.05.2023 17-43\ООО Родник\УПД №1099 от 02.05.23.pdf</t>
  </si>
  <si>
    <t>18 108,95</t>
  </si>
  <si>
    <t>C:\BG\BridgeGroup\result\23.05.2023 17-43\ООО ЭНЕРГИЯ\УПД №UT-106678 от 03.05.23.pdf</t>
  </si>
  <si>
    <t>139 517,75</t>
  </si>
  <si>
    <t>C:\BG\BridgeGroup\result\23.05.2023 17-43\ООО ЭНЕРГИЯ\УПД №UT-106757 от 03.05.23.pdf</t>
  </si>
  <si>
    <t>108 185,71</t>
  </si>
  <si>
    <t>C:\BG\BridgeGroup\result\23.05.2023 17-43\ООО ЭНЕРГИЯ\УПД №UT-107032 от 03.05.23.pdf</t>
  </si>
  <si>
    <t>1 455,30</t>
  </si>
  <si>
    <t>C:\BG\BridgeGroup\result\23.05.2023 17-43\ООО МОРОЗОФФ\УПД №МФ00-072429 от 03.05.23.pdf</t>
  </si>
  <si>
    <t>1 582,20</t>
  </si>
  <si>
    <t>C:\BG\BridgeGroup\result\23.05.2023 17-43\ООО МОРОЗОФФ\УПД №МФ00-072431 от 03.05.23.pdf</t>
  </si>
  <si>
    <t>4 684,56</t>
  </si>
  <si>
    <t>C:\BG\BridgeGroup\result\23.05.2023 17-43\ООО МОРОЗОФФ\УПД №МФ00-072437 от 03.05.23.pdf</t>
  </si>
  <si>
    <t>C:\BG\BridgeGroup\result\23.05.2023 17-43\ООО БРИДЖ ГРУПП\УПД №869 от 30.04.23.pdf</t>
  </si>
  <si>
    <t>C:\BG\BridgeGroup\result\23.05.2023 17-43\ООО БРИДЖ ГРУПП\УПД №901 от 30.04.23.pdf</t>
  </si>
  <si>
    <t>C:\BG\BridgeGroup\result\23.05.2023 17-43\ООО БРИДЖ ГРУПП\УПД №928 от 30.04.23.pdf</t>
  </si>
  <si>
    <t>C:\BG\BridgeGroup\result\23.05.2023 17-43\ООО БРИДЖ ГРУПП\УПД №972 от 30.04.23.pdf</t>
  </si>
  <si>
    <t>22 408,84</t>
  </si>
  <si>
    <t>C:\BG\BridgeGroup\result\23.05.2023 17-43\ООО ТД ЛФБ\УПД №25818 от 01.05.23.pdf</t>
  </si>
  <si>
    <t>12 900,23</t>
  </si>
  <si>
    <t>C:\BG\BridgeGroup\result\23.05.2023 17-43\ООО ТД ЛФБ\УПД №25817 от 01.05.23.pdf</t>
  </si>
  <si>
    <t>68 976,00</t>
  </si>
  <si>
    <t>C:\BG\BridgeGroup\result\23.05.2023 17-43\ООО ПС СОЛЮШН\УПД №175 от 30.04.23.pdf</t>
  </si>
  <si>
    <t>36 459,69</t>
  </si>
  <si>
    <t>C:\BG\BridgeGroup\result\23.05.2023 17-43\ООО ТД ЛФБ\УПД №28504 от 04.05.23.pdf</t>
  </si>
  <si>
    <t>64 786,08</t>
  </si>
  <si>
    <t>C:\BG\BridgeGroup\result\23.05.2023 17-43\АО «ТК «МЕГАПОЛИС»\УПД №11282_600F от 04.05.23.pdf</t>
  </si>
  <si>
    <t>C:\BG\BridgeGroup\result\23.05.2023 17-43\АО «ТК «МЕГАПОЛИС»\УПД №11283_600F от 04.05.23.pdf</t>
  </si>
  <si>
    <t>16 660,53</t>
  </si>
  <si>
    <t>C:\BG\BridgeGroup\result\23.05.2023 17-43\АО «ТК «МЕГАПОЛИС»\УПД №9267_780O от 04.05.23.pdf</t>
  </si>
  <si>
    <t>84 849,59</t>
  </si>
  <si>
    <t>C:\BG\BridgeGroup\result\23.05.2023 17-43\ООО ЭНЕРГИЯ\УПД №UT-108409 от 04.05.23.pdf</t>
  </si>
  <si>
    <t>47 848,15</t>
  </si>
  <si>
    <t>C:\BG\BridgeGroup\result\23.05.2023 17-43\ООО ЭНЕРГИЯ\УПД №UT-108266 от 04.05.23.pdf</t>
  </si>
  <si>
    <t>4 778,55</t>
  </si>
  <si>
    <t>C:\BG\BridgeGroup\result\23.05.2023 17-43\ООО ЭНЕРГИЯ\УПД №UT-108337 от 04.05.23.pdf</t>
  </si>
  <si>
    <t>81 670,81</t>
  </si>
  <si>
    <t>C:\BG\BridgeGroup\result\23.05.2023 17-43\ООО ВКУС ОН ТРЕЙД\УПД №SR110023338 от 04.05.23.pdf</t>
  </si>
  <si>
    <t>57 982,86</t>
  </si>
  <si>
    <t>C:\BG\BridgeGroup\result\23.05.2023 17-43\ООО ВКУС ОН ТРЕЙД\УПД №SR110023337 от 04.05.23.pdf</t>
  </si>
  <si>
    <t>C:\BG\BridgeGroup\result\23.05.2023 17-43\АО «ТК «МЕГАПОЛИС»\УПД №13900_690E от 05.05.23.pdf</t>
  </si>
  <si>
    <t>74 580,84</t>
  </si>
  <si>
    <t>C:\BG\BridgeGroup\result\23.05.2023 17-43\АО «ТК «МЕГАПОЛИС»\УПД №13899_690E от 05.05.23.pdf</t>
  </si>
  <si>
    <t>C:\BG\BridgeGroup\result\23.05.2023 17-43\ООО ЭНЕРГИЯ\УПД №UT-109420 от 05.05.23.pdf</t>
  </si>
  <si>
    <t>1 774,36</t>
  </si>
  <si>
    <t>C:\BG\BridgeGroup\result\23.05.2023 17-43\ООО ЭНЕРГИЯ\УПД №UT-109421 от 05.05.23.pdf</t>
  </si>
  <si>
    <t>5 886,17</t>
  </si>
  <si>
    <t>C:\BG\BridgeGroup\result\23.05.2023 17-43\ООО ЭНЕРГИЯ\УПД №UT-109537 от 05.05.23.pdf</t>
  </si>
  <si>
    <t>47 227,92</t>
  </si>
  <si>
    <t>C:\BG\BridgeGroup\result\23.05.2023 17-43\ООО ВКУС ОН ТРЕЙД\УПД №SR110023591 от 05.05.23.pdf</t>
  </si>
  <si>
    <t>26 037,21</t>
  </si>
  <si>
    <t>C:\BG\BridgeGroup\result\23.05.2023 17-43\ООО ВКУС ОН ТРЕЙД\УПД №SR110023579 от 05.05.23.pdf</t>
  </si>
  <si>
    <t>ООО "БАЛТИЙСКАЯ ЛОГИСТИКА НОВГОРОД"</t>
  </si>
  <si>
    <t>3 507,22</t>
  </si>
  <si>
    <t>C:\BG\BridgeGroup\result\23.05.2023 17-43\ООО БАЛТИЙСКАЯ ЛОГИСТИКА НОВГОРОД\УПД №21069 от 04.05.23.pdf</t>
  </si>
  <si>
    <t xml:space="preserve">ООО "ЭТАЛОН"
</t>
  </si>
  <si>
    <t>ООО "ЭТЕЛЬ-ТОРГ"</t>
  </si>
  <si>
    <t>1 752,00</t>
  </si>
  <si>
    <t>C:\BG\BridgeGroup\result\23.05.2023 17-43\ООО ЭТЕЛЬ-ТОРГ\УПД №8633 от 01.05.23.pdf</t>
  </si>
  <si>
    <t>15 565,10</t>
  </si>
  <si>
    <t>C:\BG\BridgeGroup\result\23.05.2023 17-43\ООО ЭНЕРГИЯ\УПД №UT-104338 от 02.05.23.pdf</t>
  </si>
  <si>
    <t>5 314,90</t>
  </si>
  <si>
    <t>C:\BG\BridgeGroup\result\23.05.2023 17-43\ООО ЭНЕРГИЯ\УПД №UT-104340 от 02.05.23.pdf</t>
  </si>
  <si>
    <t>24 051,63</t>
  </si>
  <si>
    <t>C:\BG\BridgeGroup\result\23.05.2023 17-43\ООО ЭНЕРГИЯ\УПД №UT-104341 от 02.05.23.pdf</t>
  </si>
  <si>
    <t>2 079,51</t>
  </si>
  <si>
    <t>C:\BG\BridgeGroup\result\23.05.2023 17-43\ООО ЭНЕРГИЯ\УПД №UT-104342 от 02.05.23.pdf</t>
  </si>
  <si>
    <t>C:\BG\BridgeGroup\result\23.05.2023 17-43\ООО ЭНЕРГИЯ\УПД №UT-104502 от 02.05.23.pdf</t>
  </si>
  <si>
    <t>10 514,80</t>
  </si>
  <si>
    <t>C:\BG\BridgeGroup\result\23.05.2023 17-43\ООО ЭНЕРГИЯ\УПД №UT-104504 от 02.05.23.pdf</t>
  </si>
  <si>
    <t>28 417,90</t>
  </si>
  <si>
    <t>C:\BG\BridgeGroup\result\23.05.2023 17-43\ООО ЭНЕРГИЯ\УПД №UT-104508 от 02.05.23.pdf</t>
  </si>
  <si>
    <t>5 241,04</t>
  </si>
  <si>
    <t>C:\BG\BridgeGroup\result\23.05.2023 17-43\ООО ЭНЕРГИЯ\УПД №UT-104509 от 02.05.23.pdf</t>
  </si>
  <si>
    <t>26 164,04</t>
  </si>
  <si>
    <t>C:\BG\BridgeGroup\result\23.05.2023 17-43\ООО ЭНЕРГИЯ\УПД №UT-104892 от 02.05.23.pdf</t>
  </si>
  <si>
    <t>23 990,30</t>
  </si>
  <si>
    <t>C:\BG\BridgeGroup\result\23.05.2023 17-43\ООО ЭНЕРГИЯ\УПД №UT-105179 от 02.05.23.pdf</t>
  </si>
  <si>
    <t>3 364,56</t>
  </si>
  <si>
    <t>C:\BG\BridgeGroup\result\23.05.2023 17-43\ООО ЭНЕРГИЯ\УПД №UT-105180 от 02.05.23.pdf</t>
  </si>
  <si>
    <t>8 288,88</t>
  </si>
  <si>
    <t>C:\BG\BridgeGroup\result\23.05.2023 17-43\ООО ЭНЕРГИЯ\УПД №UT-105845 от 02.05.23.pdf</t>
  </si>
  <si>
    <t>C:\BG\BridgeGroup\result\23.05.2023 17-43\ООО ЭНЕРГИЯ\УПД №UT-105846 от 02.05.23.pdf</t>
  </si>
  <si>
    <t>69 537,13</t>
  </si>
  <si>
    <t>C:\BG\BridgeGroup\result\23.05.2023 17-43\ООО ЭНЕРГИЯ\УПД №UT-105847 от 02.05.23.pdf</t>
  </si>
  <si>
    <t>14 087,94</t>
  </si>
  <si>
    <t>C:\BG\BridgeGroup\result\23.05.2023 17-43\ООО СНС-Холдинг\УПД №6320_8174412985 от 02.05.23.pdf</t>
  </si>
  <si>
    <t>62 095,18</t>
  </si>
  <si>
    <t>C:\BG\BridgeGroup\result\23.05.2023 17-43\ООО СНС-Холдинг\УПД №6310_8174354315 от 02.05.23.pdf</t>
  </si>
  <si>
    <t>ООО "Ундоровская "Волжанка"-Тольятти"</t>
  </si>
  <si>
    <t>370,00</t>
  </si>
  <si>
    <t>C:\BG\BridgeGroup\result\23.05.2023 17-43\ООО Ундоровская Волжанка-Тольятти\УПД №4-10093 от 02.05.23.pdf</t>
  </si>
  <si>
    <t>833,20</t>
  </si>
  <si>
    <t>C:\BG\BridgeGroup\result\23.05.2023 17-43\ООО Ундоровская Волжанка-Тольятти\УПД №4-10059 от 02.05.23.pdf</t>
  </si>
  <si>
    <t>1 798,00</t>
  </si>
  <si>
    <t>C:\BG\BridgeGroup\result\23.05.2023 17-43\ООО Ундоровская Волжанка-Тольятти\УПД №4-10289 от 03.05.23.pdf</t>
  </si>
  <si>
    <t>3 979,60</t>
  </si>
  <si>
    <t>C:\BG\BridgeGroup\result\23.05.2023 17-43\ООО Ундоровская Волжанка-Тольятти\УПД №4-10285 от 03.05.23.pdf</t>
  </si>
  <si>
    <t>19 220,64</t>
  </si>
  <si>
    <t>C:\BG\BridgeGroup\result\23.05.2023 17-43\АО «ТК «МЕГАПОЛИС»\УПД №22932_930E от 03.05.23.pdf</t>
  </si>
  <si>
    <t>78 067,32</t>
  </si>
  <si>
    <t>C:\BG\BridgeGroup\result\23.05.2023 17-43\АО «ТК «МЕГАПОЛИС»\УПД №22931_930E от 03.05.23.pdf</t>
  </si>
  <si>
    <t>7 138,12</t>
  </si>
  <si>
    <t>C:\BG\BridgeGroup\result\23.05.2023 17-43\АО «ТК «МЕГАПОЛИС»\УПД №22934_930E от 03.05.23.pdf</t>
  </si>
  <si>
    <t>718,16</t>
  </si>
  <si>
    <t>C:\BG\BridgeGroup\result\23.05.2023 17-43\АО «ТК «МЕГАПОЛИС»\УПД №22933_930E от 03.05.23.pdf</t>
  </si>
  <si>
    <t>C:\BG\BridgeGroup\result\23.05.2023 17-43\ООО БРИДЖ ГРУПП\УПД №848 от 30.04.23.pdf</t>
  </si>
  <si>
    <t>C:\BG\BridgeGroup\result\23.05.2023 17-43\ООО БРИДЖ ГРУПП\УПД №887 от 30.04.23.pdf</t>
  </si>
  <si>
    <t>C:\BG\BridgeGroup\result\23.05.2023 17-43\ООО БРИДЖ ГРУПП\УПД №913 от 30.04.23.pdf</t>
  </si>
  <si>
    <t>C:\BG\BridgeGroup\result\23.05.2023 17-43\ООО БРИДЖ ГРУПП\УПД №956 от 30.04.23.pdf</t>
  </si>
  <si>
    <t>6 078,34</t>
  </si>
  <si>
    <t>C:\BG\BridgeGroup\result\23.05.2023 17-43\ООО СНС-Холдинг\УПД №6310_8174424259 от 03.05.23.pdf</t>
  </si>
  <si>
    <t>555,00</t>
  </si>
  <si>
    <t>C:\BG\BridgeGroup\result\23.05.2023 17-43\ООО Ундоровская Волжанка-Тольятти\УПД №4-10448 от 04.05.23.pdf</t>
  </si>
  <si>
    <t>175 512,00</t>
  </si>
  <si>
    <t>C:\BG\BridgeGroup\result\23.05.2023 17-43\ООО ПС СОЛЮШН\УПД №176 от 30.04.23.pdf</t>
  </si>
  <si>
    <t>41 728,56</t>
  </si>
  <si>
    <t>C:\BG\BridgeGroup\result\23.05.2023 17-43\АО «ТК «МЕГАПОЛИС»\УПД №31698_630E от 04.05.23.pdf</t>
  </si>
  <si>
    <t>C:\BG\BridgeGroup\result\23.05.2023 17-43\АО «ТК «МЕГАПОЛИС»\УПД №31699_630E от 04.05.23.pdf</t>
  </si>
  <si>
    <t>6 604,71</t>
  </si>
  <si>
    <t>C:\BG\BridgeGroup\result\23.05.2023 17-43\АО «ТК «МЕГАПОЛИС»\УПД №31786_630E от 04.05.23.pdf</t>
  </si>
  <si>
    <t>12 296,28</t>
  </si>
  <si>
    <t>C:\BG\BridgeGroup\result\23.05.2023 17-43\АО «ТК «МЕГАПОЛИС»\УПД №31787_630E от 04.05.23.pdf</t>
  </si>
  <si>
    <t>C:\BG\BridgeGroup\result\23.05.2023 17-43\ООО СНС-Холдинг\Акт сверки №1800000742 от 04.05.23.pdf</t>
  </si>
  <si>
    <t>26 134,00</t>
  </si>
  <si>
    <t>C:\BG\BridgeGroup\result\23.05.2023 17-43\ООО ЭТЕЛЬ-ТОРГ\УПД №9105 от 04.05.23.pdf</t>
  </si>
  <si>
    <t>2 296,60</t>
  </si>
  <si>
    <t>C:\BG\BridgeGroup\result\23.05.2023 17-43\ООО Ундоровская Волжанка-Тольятти\УПД №4-10645 от 05.05.23.pdf</t>
  </si>
  <si>
    <t>2 106,70</t>
  </si>
  <si>
    <t>C:\BG\BridgeGroup\result\23.05.2023 17-43\ООО Ундоровская Волжанка-Тольятти\УПД №4-10624 от 05.05.23.pdf</t>
  </si>
  <si>
    <t>2 336,90</t>
  </si>
  <si>
    <t>C:\BG\BridgeGroup\result\23.05.2023 17-43\ООО Ундоровская Волжанка-Тольятти\УПД №4-10614 от 05.05.23.pdf</t>
  </si>
  <si>
    <t>800,00</t>
  </si>
  <si>
    <t>C:\BG\BridgeGroup\result\23.05.2023 17-43\ООО АЛЕФ ТРЕЙД МСК\УПД №1130 от 04.05.23.pdf</t>
  </si>
  <si>
    <t>1 030,20</t>
  </si>
  <si>
    <t>C:\BG\BridgeGroup\result\23.05.2023 17-43\ООО Ундоровская Волжанка-Тольятти\УПД №4-10844 от 08.05.23.pdf</t>
  </si>
  <si>
    <t>C:\BG\BridgeGroup\result\23.05.2023 17-43\ООО Ундоровская Волжанка-Тольятти\УПД №4-10827 от 08.05.23.pdf</t>
  </si>
  <si>
    <t xml:space="preserve">ООО "ЮГ"
</t>
  </si>
  <si>
    <t>3 073,80</t>
  </si>
  <si>
    <t>C:\BG\BridgeGroup\result\23.05.2023 17-43\ООО Полезные продукты\УПД №ГОДМ0501_13 от 01.05.23.pdf</t>
  </si>
  <si>
    <t>32 718,18</t>
  </si>
  <si>
    <t>C:\BG\BridgeGroup\result\23.05.2023 17-43\ООО СНС-Холдинг\УПД №3410_8174346396 от 02.05.23.pdf</t>
  </si>
  <si>
    <t>69 207,12</t>
  </si>
  <si>
    <t>C:\BG\BridgeGroup\result\23.05.2023 17-43\АО «ТК «МЕГАПОЛИС»\УПД №9429_340P от 03.05.23.pdf</t>
  </si>
  <si>
    <t>2 120,37</t>
  </si>
  <si>
    <t>C:\BG\BridgeGroup\result\23.05.2023 17-43\АО «ТК «МЕГАПОЛИС»\УПД №9430_340P от 03.05.23.pdf</t>
  </si>
  <si>
    <t>16 334,76</t>
  </si>
  <si>
    <t>C:\BG\BridgeGroup\result\23.05.2023 17-43\АО «ТК «МЕГАПОЛИС»\УПД №32628_340E от 03.05.23.pdf</t>
  </si>
  <si>
    <t>792,86</t>
  </si>
  <si>
    <t>C:\BG\BridgeGroup\result\23.05.2023 17-43\АО «ТК «МЕГАПОЛИС»\УПД №32629_340E от 03.05.23.pdf</t>
  </si>
  <si>
    <t>36 715,20</t>
  </si>
  <si>
    <t>C:\BG\BridgeGroup\result\23.05.2023 17-43\АО «ТК «МЕГАПОЛИС»\УПД №32631_340E от 03.05.23.pdf</t>
  </si>
  <si>
    <t>1 613,95</t>
  </si>
  <si>
    <t>C:\BG\BridgeGroup\result\23.05.2023 17-43\АО «ТК «МЕГАПОЛИС»\УПД №32630_340E от 03.05.23.pdf</t>
  </si>
  <si>
    <t>53 897,92</t>
  </si>
  <si>
    <t>C:\BG\BridgeGroup\result\23.05.2023 17-43\ООО СНС-Холдинг\УПД №3410_8174412533 от 03.05.23.pdf</t>
  </si>
  <si>
    <t>C:\BG\BridgeGroup\result\23.05.2023 17-43\ООО БРИДЖ ГРУПП\УПД №876 от 30.04.23.pdf</t>
  </si>
  <si>
    <t>C:\BG\BridgeGroup\result\23.05.2023 17-43\ООО БРИДЖ ГРУПП\УПД №906 от 30.04.23.pdf</t>
  </si>
  <si>
    <t>C:\BG\BridgeGroup\result\23.05.2023 17-43\ООО БРИДЖ ГРУПП\УПД №934 от 30.04.23.pdf</t>
  </si>
  <si>
    <t>C:\BG\BridgeGroup\result\23.05.2023 17-43\ООО БРИДЖ ГРУПП\УПД №978 от 30.04.23.pdf</t>
  </si>
  <si>
    <t>C:\BG\BridgeGroup\result\23.05.2023 17-43\ООО Полезные продукты\УПД №ГОДМ0503_01 от 03.05.23.pdf</t>
  </si>
  <si>
    <t>3 973,72</t>
  </si>
  <si>
    <t>C:\BG\BridgeGroup\result\23.05.2023 17-43\ООО КОМУС\УПД №28304946 от 02.05.23.pdf</t>
  </si>
  <si>
    <t>5 448,00</t>
  </si>
  <si>
    <t>C:\BG\BridgeGroup\result\23.05.2023 17-43\ООО КОМУС\УПД №28304974 от 02.05.23.pdf</t>
  </si>
  <si>
    <t>4 267,36</t>
  </si>
  <si>
    <t>C:\BG\BridgeGroup\result\23.05.2023 17-43\ООО КОМУС\УПД №28305260 от 02.05.23.pdf</t>
  </si>
  <si>
    <t>4 560,64</t>
  </si>
  <si>
    <t>C:\BG\BridgeGroup\result\23.05.2023 17-43\ООО КОМУС\УПД №28308108 от 02.05.23.pdf</t>
  </si>
  <si>
    <t>4 680,52</t>
  </si>
  <si>
    <t>C:\BG\BridgeGroup\result\23.05.2023 17-43\ООО КОМУС\УПД №28309175 от 02.05.23.pdf</t>
  </si>
  <si>
    <t>C:\BG\BridgeGroup\result\23.05.2023 17-43\ООО Полезные продукты\УПД №ГОДМ0503_16 от 03.05.23.pdf</t>
  </si>
  <si>
    <t>14 824,40</t>
  </si>
  <si>
    <t>C:\BG\BridgeGroup\result\23.05.2023 17-43\ООО Полезные продукты\УПД №ГОДМ0503_18 от 03.05.23.pdf</t>
  </si>
  <si>
    <t>147 840,00</t>
  </si>
  <si>
    <t>C:\BG\BridgeGroup\result\23.05.2023 17-43\ООО ПС СОЛЮШН\УПД №177 от 30.04.23.pdf</t>
  </si>
  <si>
    <t>448,32</t>
  </si>
  <si>
    <t>C:\BG\BridgeGroup\result\23.05.2023 17-43\АО «ТК «МЕГАПОЛИС»\УПД №33121_340E от 04.05.23.pdf</t>
  </si>
  <si>
    <t>125 345,16</t>
  </si>
  <si>
    <t>C:\BG\BridgeGroup\result\23.05.2023 17-43\АО «ТК «МЕГАПОЛИС»\УПД №33122_340E от 04.05.23.pdf</t>
  </si>
  <si>
    <t>104 714,76</t>
  </si>
  <si>
    <t>C:\BG\BridgeGroup\result\23.05.2023 17-43\АО «ТК «МЕГАПОЛИС»\УПД №33123_340E от 04.05.23.pdf</t>
  </si>
  <si>
    <t>1 076,77</t>
  </si>
  <si>
    <t>C:\BG\BridgeGroup\result\23.05.2023 17-43\АО «ТК «МЕГАПОЛИС»\УПД №33124_340E от 04.05.23.pdf</t>
  </si>
  <si>
    <t>5 406,19</t>
  </si>
  <si>
    <t>C:\BG\BridgeGroup\result\23.05.2023 17-43\ООО ЭНЕРГИЯ\УПД №UT-101639 от 03.05.23.pdf</t>
  </si>
  <si>
    <t>C:\BG\BridgeGroup\result\23.05.2023 17-43\ООО ЭНЕРГИЯ\УПД №UT-101644 от 03.05.23.pdf</t>
  </si>
  <si>
    <t>19 600,01</t>
  </si>
  <si>
    <t>C:\BG\BridgeGroup\result\23.05.2023 17-43\ООО ЭНЕРГИЯ\УПД №UT-101727 от 03.05.23.pdf</t>
  </si>
  <si>
    <t>7 504,13</t>
  </si>
  <si>
    <t>C:\BG\BridgeGroup\result\23.05.2023 17-43\ООО ЭНЕРГИЯ\УПД №UT-101831 от 03.05.23.pdf</t>
  </si>
  <si>
    <t>C:\BG\BridgeGroup\result\23.05.2023 17-43\ООО ЭНЕРГИЯ\УПД №UT-108271 от 04.05.23.pdf</t>
  </si>
  <si>
    <t>1 012,08</t>
  </si>
  <si>
    <t>C:\BG\BridgeGroup\result\23.05.2023 17-43\ООО КОМУС\УПД №28318115 от 03.05.23.pdf</t>
  </si>
  <si>
    <t>1 300,08</t>
  </si>
  <si>
    <t>C:\BG\BridgeGroup\result\23.05.2023 17-43\ООО КОМУС\УПД №28318228 от 03.05.23.pdf</t>
  </si>
  <si>
    <t>C:\BG\BridgeGroup\result\23.05.2023 17-43\ООО ЭНЕРГИЯ\УПД №UT-108267 от 04.05.23.pdf</t>
  </si>
  <si>
    <t>17 578,41</t>
  </si>
  <si>
    <t>C:\BG\BridgeGroup\result\23.05.2023 17-43\ООО ЭНЕРГИЯ\УПД №UT-108268 от 04.05.23.pdf</t>
  </si>
  <si>
    <t>C:\BG\BridgeGroup\result\23.05.2023 17-43\ООО ЭНЕРГИЯ\УПД №UT-108269 от 04.05.23.pdf</t>
  </si>
  <si>
    <t>14 216,35</t>
  </si>
  <si>
    <t>C:\BG\BridgeGroup\result\23.05.2023 17-43\ООО ЭНЕРГИЯ\УПД №UT-108272 от 04.05.23.pdf</t>
  </si>
  <si>
    <t>2 279,22</t>
  </si>
  <si>
    <t>C:\BG\BridgeGroup\result\23.05.2023 17-43\ООО ЭНЕРГИЯ\УПД №UT-108273 от 04.05.23.pdf</t>
  </si>
  <si>
    <t>1 024,99</t>
  </si>
  <si>
    <t>C:\BG\BridgeGroup\result\23.05.2023 17-43\ООО ЭНЕРГИЯ\УПД №UT-108274 от 04.05.23.pdf</t>
  </si>
  <si>
    <t>13 708,09</t>
  </si>
  <si>
    <t>C:\BG\BridgeGroup\result\23.05.2023 17-43\ООО ЭНЕРГИЯ\УПД №UT-108276 от 04.05.23.pdf</t>
  </si>
  <si>
    <t>ООО "ТД "Морозко"</t>
  </si>
  <si>
    <t>2 806,80</t>
  </si>
  <si>
    <t>C:\BG\BridgeGroup\result\23.05.2023 17-43\ООО ТД Морозко\УПД №46939 от 04.05.23.pdf</t>
  </si>
  <si>
    <t>1 634,16</t>
  </si>
  <si>
    <t>C:\BG\BridgeGroup\result\23.05.2023 17-43\ООО ТД Морозко\УПД №46945 от 04.05.23.pdf</t>
  </si>
  <si>
    <t>C:\BG\BridgeGroup\result\23.05.2023 17-43\ООО СНС-Холдинг\Акт сверки №1800000914 от 04.05.23.pdf</t>
  </si>
  <si>
    <t>2 164,08</t>
  </si>
  <si>
    <t>C:\BG\BridgeGroup\result\23.05.2023 17-43\ООО КОМУС\УПД №28329062 от 03.05.23.pdf</t>
  </si>
  <si>
    <t>29 995,92</t>
  </si>
  <si>
    <t>C:\BG\BridgeGroup\result\23.05.2023 17-43\ООО ЭНЕРГИЯ\УПД №UT-108270 от 04.05.23.pdf</t>
  </si>
  <si>
    <t>34 356,39</t>
  </si>
  <si>
    <t>C:\BG\BridgeGroup\result\23.05.2023 17-43\ООО ЭНЕРГИЯ\УПД №UT-108275 от 04.05.23.pdf</t>
  </si>
  <si>
    <t>1 679,04</t>
  </si>
  <si>
    <t>C:\BG\BridgeGroup\result\23.05.2023 17-43\ООО КОМУС\УПД №28331039 от 03.05.23.pdf</t>
  </si>
  <si>
    <t>C:\BG\BridgeGroup\result\23.05.2023 17-43\ООО Полезные продукты\УПД №ГОДМ0504_03 от 04.05.23.pdf</t>
  </si>
  <si>
    <t>C:\BG\BridgeGroup\result\23.05.2023 17-43\ООО Полезные продукты\УПД №ГОДМ0504_04 от 04.05.23.pdf</t>
  </si>
  <si>
    <t>C:\BG\BridgeGroup\result\23.05.2023 17-43\ООО Полезные продукты\УПД №ГОДМ0504_05 от 04.05.23.pdf</t>
  </si>
  <si>
    <t>C:\BG\BridgeGroup\result\23.05.2023 17-43\ООО Полезные продукты\УПД №ГОДМ0504_07 от 04.05.23.pdf</t>
  </si>
  <si>
    <t>210,00</t>
  </si>
  <si>
    <t>C:\BG\BridgeGroup\result\23.05.2023 17-43\ООО КЕХ еКоммерц\УПД №04-507229 от 30.04.23.pdf</t>
  </si>
  <si>
    <t>17 145,20</t>
  </si>
  <si>
    <t>C:\BG\BridgeGroup\result\23.05.2023 17-43\ООО СНС-Холдинг\УПД №3410_8174489311 от 05.05.23.pdf</t>
  </si>
  <si>
    <t>C:\BG\BridgeGroup\result\23.05.2023 17-43\ООО Смартен\УПД №УТ-505-000025 от 05.05.23.pdf</t>
  </si>
  <si>
    <t>C:\BG\BridgeGroup\result\23.05.2023 17-43\ООО Смартен\УПД №УТ-505-000021 от 05.05.23.pdf</t>
  </si>
  <si>
    <t>21 738,08</t>
  </si>
  <si>
    <t>C:\BG\BridgeGroup\result\23.05.2023 17-43\ООО ЭНЕРГИЯ\УПД №UT-109754 от 05.05.23.pdf</t>
  </si>
  <si>
    <t>31 127,68</t>
  </si>
  <si>
    <t>C:\BG\BridgeGroup\result\23.05.2023 17-43\ООО ЭНЕРГИЯ\УПД №UT-109755 от 05.05.23.pdf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</si>
</sst>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322"/>
  <sheetViews>
    <sheetView tabSelected="1" topLeftCell="A273" workbookViewId="0">
      <selection activeCell="N633" sqref="N633"/>
    </sheetView>
  </sheetViews>
  <sheetFormatPr defaultRowHeight="15" x14ac:dyDescent="0.25"/>
  <cols>
    <col min="2" max="2" width="14.7109375" customWidth="1"/>
    <col min="3" max="3" width="13.42578125" customWidth="1"/>
    <col min="4" max="4" width="24.7109375" customWidth="1"/>
    <col min="5" max="5" width="16.5703125" customWidth="1"/>
    <col min="6" max="6" width="29.42578125" customWidth="1"/>
    <col min="9" max="9" width="16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5">
      <c r="A2" t="s">
        <v>11</v>
      </c>
      <c r="B2" t="str">
        <f>"191524/777E"</f>
        <v>191524/777E</v>
      </c>
      <c r="C2" t="s">
        <v>12</v>
      </c>
      <c r="D2" t="s">
        <v>13</v>
      </c>
      <c r="E2" t="str">
        <f>"5003052454"</f>
        <v>5003052454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1" hidden="1" x14ac:dyDescent="0.25">
      <c r="A3" t="s">
        <v>11</v>
      </c>
      <c r="B3" t="str">
        <f>"191525/777E"</f>
        <v>191525/777E</v>
      </c>
      <c r="C3" t="s">
        <v>12</v>
      </c>
      <c r="D3" t="s">
        <v>13</v>
      </c>
      <c r="E3" t="str">
        <f>"5003052454"</f>
        <v>5003052454</v>
      </c>
      <c r="F3" t="s">
        <v>14</v>
      </c>
      <c r="G3" t="s">
        <v>19</v>
      </c>
      <c r="H3" t="s">
        <v>20</v>
      </c>
      <c r="I3" t="s">
        <v>17</v>
      </c>
      <c r="J3" t="s">
        <v>21</v>
      </c>
    </row>
    <row r="4" spans="1:11" hidden="1" x14ac:dyDescent="0.25">
      <c r="A4" t="s">
        <v>11</v>
      </c>
      <c r="B4" t="str">
        <f>"191527/777E"</f>
        <v>191527/777E</v>
      </c>
      <c r="C4" t="s">
        <v>12</v>
      </c>
      <c r="D4" t="s">
        <v>13</v>
      </c>
      <c r="E4" t="str">
        <f>"5003052454"</f>
        <v>5003052454</v>
      </c>
      <c r="F4" t="s">
        <v>14</v>
      </c>
      <c r="G4" t="s">
        <v>22</v>
      </c>
      <c r="H4" t="s">
        <v>23</v>
      </c>
      <c r="I4" t="s">
        <v>17</v>
      </c>
      <c r="J4" t="s">
        <v>18</v>
      </c>
    </row>
    <row r="5" spans="1:11" hidden="1" x14ac:dyDescent="0.25">
      <c r="A5" t="s">
        <v>11</v>
      </c>
      <c r="B5" t="str">
        <f>"191526/777E"</f>
        <v>191526/777E</v>
      </c>
      <c r="C5" t="s">
        <v>12</v>
      </c>
      <c r="D5" t="s">
        <v>13</v>
      </c>
      <c r="E5" t="str">
        <f>"5003052454"</f>
        <v>5003052454</v>
      </c>
      <c r="F5" t="s">
        <v>14</v>
      </c>
      <c r="G5" t="s">
        <v>24</v>
      </c>
      <c r="H5" t="s">
        <v>25</v>
      </c>
      <c r="I5" t="s">
        <v>17</v>
      </c>
      <c r="J5" t="s">
        <v>21</v>
      </c>
    </row>
    <row r="6" spans="1:11" hidden="1" x14ac:dyDescent="0.25">
      <c r="A6" t="s">
        <v>11</v>
      </c>
      <c r="B6" t="str">
        <f>"UT-104991"</f>
        <v>UT-104991</v>
      </c>
      <c r="C6" t="s">
        <v>12</v>
      </c>
      <c r="D6" t="s">
        <v>13</v>
      </c>
      <c r="E6" t="str">
        <f t="shared" ref="E6:E16" si="0">"7806385951"</f>
        <v>7806385951</v>
      </c>
      <c r="F6" t="s">
        <v>26</v>
      </c>
      <c r="G6" t="s">
        <v>27</v>
      </c>
      <c r="H6" t="s">
        <v>28</v>
      </c>
      <c r="I6" t="s">
        <v>17</v>
      </c>
      <c r="J6" t="s">
        <v>18</v>
      </c>
    </row>
    <row r="7" spans="1:11" hidden="1" x14ac:dyDescent="0.25">
      <c r="A7" t="s">
        <v>11</v>
      </c>
      <c r="B7" t="str">
        <f>"UT-104992"</f>
        <v>UT-104992</v>
      </c>
      <c r="C7" t="s">
        <v>12</v>
      </c>
      <c r="D7" t="s">
        <v>13</v>
      </c>
      <c r="E7" t="str">
        <f t="shared" si="0"/>
        <v>7806385951</v>
      </c>
      <c r="F7" t="s">
        <v>26</v>
      </c>
      <c r="G7" t="s">
        <v>29</v>
      </c>
      <c r="H7" t="s">
        <v>30</v>
      </c>
      <c r="I7" t="s">
        <v>17</v>
      </c>
      <c r="J7" t="s">
        <v>18</v>
      </c>
    </row>
    <row r="8" spans="1:11" hidden="1" x14ac:dyDescent="0.25">
      <c r="A8" t="s">
        <v>11</v>
      </c>
      <c r="B8" t="str">
        <f>"UT-104994"</f>
        <v>UT-104994</v>
      </c>
      <c r="C8" t="s">
        <v>12</v>
      </c>
      <c r="D8" t="s">
        <v>13</v>
      </c>
      <c r="E8" t="str">
        <f t="shared" si="0"/>
        <v>7806385951</v>
      </c>
      <c r="F8" t="s">
        <v>26</v>
      </c>
      <c r="G8" t="s">
        <v>31</v>
      </c>
      <c r="H8" t="s">
        <v>32</v>
      </c>
      <c r="I8" t="s">
        <v>17</v>
      </c>
      <c r="J8" t="s">
        <v>18</v>
      </c>
    </row>
    <row r="9" spans="1:11" hidden="1" x14ac:dyDescent="0.25">
      <c r="A9" t="s">
        <v>11</v>
      </c>
      <c r="B9" t="str">
        <f>"UT-104996"</f>
        <v>UT-104996</v>
      </c>
      <c r="C9" t="s">
        <v>12</v>
      </c>
      <c r="D9" t="s">
        <v>13</v>
      </c>
      <c r="E9" t="str">
        <f t="shared" si="0"/>
        <v>7806385951</v>
      </c>
      <c r="F9" t="s">
        <v>26</v>
      </c>
      <c r="G9" t="s">
        <v>33</v>
      </c>
      <c r="H9" t="s">
        <v>34</v>
      </c>
      <c r="I9" t="s">
        <v>17</v>
      </c>
      <c r="J9" t="s">
        <v>18</v>
      </c>
    </row>
    <row r="10" spans="1:11" hidden="1" x14ac:dyDescent="0.25">
      <c r="A10" t="s">
        <v>11</v>
      </c>
      <c r="B10" t="str">
        <f>"UT-104999"</f>
        <v>UT-104999</v>
      </c>
      <c r="C10" t="s">
        <v>12</v>
      </c>
      <c r="D10" t="s">
        <v>13</v>
      </c>
      <c r="E10" t="str">
        <f t="shared" si="0"/>
        <v>7806385951</v>
      </c>
      <c r="F10" t="s">
        <v>26</v>
      </c>
      <c r="G10" t="s">
        <v>35</v>
      </c>
      <c r="H10" t="s">
        <v>36</v>
      </c>
      <c r="I10" t="s">
        <v>17</v>
      </c>
      <c r="J10" t="s">
        <v>18</v>
      </c>
    </row>
    <row r="11" spans="1:11" hidden="1" x14ac:dyDescent="0.25">
      <c r="A11" t="s">
        <v>11</v>
      </c>
      <c r="B11" t="str">
        <f>"UT-105000"</f>
        <v>UT-105000</v>
      </c>
      <c r="C11" t="s">
        <v>12</v>
      </c>
      <c r="D11" t="s">
        <v>13</v>
      </c>
      <c r="E11" t="str">
        <f t="shared" si="0"/>
        <v>7806385951</v>
      </c>
      <c r="F11" t="s">
        <v>26</v>
      </c>
      <c r="G11" t="s">
        <v>37</v>
      </c>
      <c r="H11" t="s">
        <v>38</v>
      </c>
      <c r="I11" t="s">
        <v>17</v>
      </c>
      <c r="J11" t="s">
        <v>18</v>
      </c>
    </row>
    <row r="12" spans="1:11" hidden="1" x14ac:dyDescent="0.25">
      <c r="A12" t="s">
        <v>11</v>
      </c>
      <c r="B12" t="str">
        <f>"UT-105004"</f>
        <v>UT-105004</v>
      </c>
      <c r="C12" t="s">
        <v>12</v>
      </c>
      <c r="D12" t="s">
        <v>13</v>
      </c>
      <c r="E12" t="str">
        <f t="shared" si="0"/>
        <v>7806385951</v>
      </c>
      <c r="F12" t="s">
        <v>26</v>
      </c>
      <c r="G12" t="s">
        <v>39</v>
      </c>
      <c r="H12" t="s">
        <v>40</v>
      </c>
      <c r="I12" t="s">
        <v>17</v>
      </c>
      <c r="J12" t="s">
        <v>18</v>
      </c>
    </row>
    <row r="13" spans="1:11" hidden="1" x14ac:dyDescent="0.25">
      <c r="A13" t="s">
        <v>11</v>
      </c>
      <c r="B13" t="str">
        <f>"UT-105403"</f>
        <v>UT-105403</v>
      </c>
      <c r="C13" t="s">
        <v>12</v>
      </c>
      <c r="D13" t="s">
        <v>13</v>
      </c>
      <c r="E13" t="str">
        <f t="shared" si="0"/>
        <v>7806385951</v>
      </c>
      <c r="F13" t="s">
        <v>26</v>
      </c>
      <c r="G13" t="s">
        <v>41</v>
      </c>
      <c r="H13" t="s">
        <v>42</v>
      </c>
      <c r="I13" t="s">
        <v>17</v>
      </c>
      <c r="J13" t="s">
        <v>18</v>
      </c>
    </row>
    <row r="14" spans="1:11" hidden="1" x14ac:dyDescent="0.25">
      <c r="A14" t="s">
        <v>11</v>
      </c>
      <c r="B14" t="str">
        <f>"UT-105411"</f>
        <v>UT-105411</v>
      </c>
      <c r="C14" t="s">
        <v>12</v>
      </c>
      <c r="D14" t="s">
        <v>13</v>
      </c>
      <c r="E14" t="str">
        <f t="shared" si="0"/>
        <v>7806385951</v>
      </c>
      <c r="F14" t="s">
        <v>26</v>
      </c>
      <c r="G14" t="s">
        <v>43</v>
      </c>
      <c r="H14" t="s">
        <v>44</v>
      </c>
      <c r="I14" t="s">
        <v>17</v>
      </c>
      <c r="J14" t="s">
        <v>18</v>
      </c>
    </row>
    <row r="15" spans="1:11" hidden="1" x14ac:dyDescent="0.25">
      <c r="A15" t="s">
        <v>11</v>
      </c>
      <c r="B15" t="str">
        <f>"UT-105418"</f>
        <v>UT-105418</v>
      </c>
      <c r="C15" t="s">
        <v>12</v>
      </c>
      <c r="D15" t="s">
        <v>13</v>
      </c>
      <c r="E15" t="str">
        <f t="shared" si="0"/>
        <v>7806385951</v>
      </c>
      <c r="F15" t="s">
        <v>26</v>
      </c>
      <c r="G15" t="s">
        <v>45</v>
      </c>
      <c r="H15" t="s">
        <v>46</v>
      </c>
      <c r="I15" t="s">
        <v>17</v>
      </c>
      <c r="J15" t="s">
        <v>18</v>
      </c>
    </row>
    <row r="16" spans="1:11" hidden="1" x14ac:dyDescent="0.25">
      <c r="A16" t="s">
        <v>11</v>
      </c>
      <c r="B16" t="str">
        <f>"UT-105420"</f>
        <v>UT-105420</v>
      </c>
      <c r="C16" t="s">
        <v>12</v>
      </c>
      <c r="D16" t="s">
        <v>13</v>
      </c>
      <c r="E16" t="str">
        <f t="shared" si="0"/>
        <v>7806385951</v>
      </c>
      <c r="F16" t="s">
        <v>26</v>
      </c>
      <c r="G16" t="s">
        <v>47</v>
      </c>
      <c r="H16" t="s">
        <v>48</v>
      </c>
      <c r="I16" t="s">
        <v>17</v>
      </c>
      <c r="J16" t="s">
        <v>18</v>
      </c>
    </row>
    <row r="17" spans="1:10" hidden="1" x14ac:dyDescent="0.25">
      <c r="A17" t="s">
        <v>11</v>
      </c>
      <c r="B17" t="str">
        <f>"3109"</f>
        <v>3109</v>
      </c>
      <c r="C17" t="s">
        <v>49</v>
      </c>
      <c r="D17" t="s">
        <v>13</v>
      </c>
      <c r="E17" t="str">
        <f>"7730529583"</f>
        <v>7730529583</v>
      </c>
      <c r="F17" t="s">
        <v>50</v>
      </c>
      <c r="G17" t="s">
        <v>51</v>
      </c>
      <c r="H17" t="s">
        <v>52</v>
      </c>
      <c r="I17" t="s">
        <v>17</v>
      </c>
      <c r="J17" t="s">
        <v>18</v>
      </c>
    </row>
    <row r="18" spans="1:10" hidden="1" x14ac:dyDescent="0.25">
      <c r="A18" t="s">
        <v>11</v>
      </c>
      <c r="B18" t="str">
        <f>"2023/30/03/0128238/05"</f>
        <v>2023/30/03/0128238/05</v>
      </c>
      <c r="C18" t="s">
        <v>53</v>
      </c>
      <c r="D18" t="s">
        <v>13</v>
      </c>
      <c r="E18" t="str">
        <f>"7718151150"</f>
        <v>7718151150</v>
      </c>
      <c r="F18" t="s">
        <v>54</v>
      </c>
      <c r="G18" t="s">
        <v>55</v>
      </c>
      <c r="H18" t="s">
        <v>56</v>
      </c>
      <c r="I18" t="s">
        <v>17</v>
      </c>
      <c r="J18" t="s">
        <v>18</v>
      </c>
    </row>
    <row r="19" spans="1:10" hidden="1" x14ac:dyDescent="0.25">
      <c r="A19" t="s">
        <v>11</v>
      </c>
      <c r="B19" t="str">
        <f>"ОТ-3004-000036"</f>
        <v>ОТ-3004-000036</v>
      </c>
      <c r="C19" t="s">
        <v>49</v>
      </c>
      <c r="D19" t="s">
        <v>13</v>
      </c>
      <c r="E19" t="str">
        <f>"7839454551"</f>
        <v>7839454551</v>
      </c>
      <c r="F19" t="s">
        <v>57</v>
      </c>
      <c r="G19" t="s">
        <v>58</v>
      </c>
      <c r="H19" t="s">
        <v>59</v>
      </c>
      <c r="I19" t="s">
        <v>17</v>
      </c>
      <c r="J19" t="s">
        <v>21</v>
      </c>
    </row>
    <row r="20" spans="1:10" hidden="1" x14ac:dyDescent="0.25">
      <c r="A20" t="s">
        <v>11</v>
      </c>
      <c r="B20" t="str">
        <f>"ОТ-3004-000035"</f>
        <v>ОТ-3004-000035</v>
      </c>
      <c r="C20" t="s">
        <v>49</v>
      </c>
      <c r="D20" t="s">
        <v>13</v>
      </c>
      <c r="E20" t="str">
        <f>"7839454551"</f>
        <v>7839454551</v>
      </c>
      <c r="F20" t="s">
        <v>57</v>
      </c>
      <c r="G20" t="s">
        <v>58</v>
      </c>
      <c r="H20" t="s">
        <v>60</v>
      </c>
      <c r="I20" t="s">
        <v>17</v>
      </c>
      <c r="J20" t="s">
        <v>21</v>
      </c>
    </row>
    <row r="21" spans="1:10" hidden="1" x14ac:dyDescent="0.25">
      <c r="A21" t="s">
        <v>11</v>
      </c>
      <c r="B21" t="str">
        <f>"2023/30/03/0134647/05"</f>
        <v>2023/30/03/0134647/05</v>
      </c>
      <c r="C21" t="s">
        <v>12</v>
      </c>
      <c r="D21" t="s">
        <v>13</v>
      </c>
      <c r="E21" t="str">
        <f>"7718151150"</f>
        <v>7718151150</v>
      </c>
      <c r="F21" t="s">
        <v>54</v>
      </c>
      <c r="G21" t="s">
        <v>61</v>
      </c>
      <c r="H21" t="s">
        <v>62</v>
      </c>
      <c r="I21" t="s">
        <v>17</v>
      </c>
      <c r="J21" t="s">
        <v>18</v>
      </c>
    </row>
    <row r="22" spans="1:10" hidden="1" x14ac:dyDescent="0.25">
      <c r="A22" t="s">
        <v>11</v>
      </c>
      <c r="B22" t="str">
        <f>"2023/30/03/0134679/05"</f>
        <v>2023/30/03/0134679/05</v>
      </c>
      <c r="C22" t="s">
        <v>12</v>
      </c>
      <c r="D22" t="s">
        <v>13</v>
      </c>
      <c r="E22" t="str">
        <f>"7718151150"</f>
        <v>7718151150</v>
      </c>
      <c r="F22" t="s">
        <v>54</v>
      </c>
      <c r="G22" t="s">
        <v>63</v>
      </c>
      <c r="H22" t="s">
        <v>64</v>
      </c>
      <c r="I22" t="s">
        <v>17</v>
      </c>
      <c r="J22" t="s">
        <v>18</v>
      </c>
    </row>
    <row r="23" spans="1:10" hidden="1" x14ac:dyDescent="0.25">
      <c r="A23" t="s">
        <v>11</v>
      </c>
      <c r="B23" t="str">
        <f>"UT-107016"</f>
        <v>UT-107016</v>
      </c>
      <c r="C23" t="s">
        <v>65</v>
      </c>
      <c r="D23" t="s">
        <v>13</v>
      </c>
      <c r="E23" t="str">
        <f>"7806385951"</f>
        <v>7806385951</v>
      </c>
      <c r="F23" t="s">
        <v>26</v>
      </c>
      <c r="G23" t="s">
        <v>66</v>
      </c>
      <c r="H23" t="s">
        <v>67</v>
      </c>
      <c r="I23" t="s">
        <v>17</v>
      </c>
      <c r="J23" t="s">
        <v>18</v>
      </c>
    </row>
    <row r="24" spans="1:10" hidden="1" x14ac:dyDescent="0.25">
      <c r="A24" t="s">
        <v>11</v>
      </c>
      <c r="B24" t="str">
        <f>"UT-106703"</f>
        <v>UT-106703</v>
      </c>
      <c r="C24" t="s">
        <v>65</v>
      </c>
      <c r="D24" t="s">
        <v>13</v>
      </c>
      <c r="E24" t="str">
        <f>"7806385951"</f>
        <v>7806385951</v>
      </c>
      <c r="F24" t="s">
        <v>26</v>
      </c>
      <c r="G24" t="s">
        <v>68</v>
      </c>
      <c r="H24" t="s">
        <v>69</v>
      </c>
      <c r="I24" t="s">
        <v>17</v>
      </c>
      <c r="J24" t="s">
        <v>18</v>
      </c>
    </row>
    <row r="25" spans="1:10" hidden="1" x14ac:dyDescent="0.25">
      <c r="A25" t="s">
        <v>11</v>
      </c>
      <c r="B25" t="str">
        <f>"UT-106571"</f>
        <v>UT-106571</v>
      </c>
      <c r="C25" t="s">
        <v>65</v>
      </c>
      <c r="D25" t="s">
        <v>13</v>
      </c>
      <c r="E25" t="str">
        <f>"7806385951"</f>
        <v>7806385951</v>
      </c>
      <c r="F25" t="s">
        <v>26</v>
      </c>
      <c r="G25" t="s">
        <v>70</v>
      </c>
      <c r="H25" t="s">
        <v>71</v>
      </c>
      <c r="I25" t="s">
        <v>17</v>
      </c>
      <c r="J25" t="s">
        <v>18</v>
      </c>
    </row>
    <row r="26" spans="1:10" hidden="1" x14ac:dyDescent="0.25">
      <c r="A26" t="s">
        <v>11</v>
      </c>
      <c r="B26" t="str">
        <f>"UT-106628"</f>
        <v>UT-106628</v>
      </c>
      <c r="C26" t="s">
        <v>65</v>
      </c>
      <c r="D26" t="s">
        <v>13</v>
      </c>
      <c r="E26" t="str">
        <f>"7806385951"</f>
        <v>7806385951</v>
      </c>
      <c r="F26" t="s">
        <v>26</v>
      </c>
      <c r="G26" t="s">
        <v>72</v>
      </c>
      <c r="H26" t="s">
        <v>73</v>
      </c>
      <c r="I26" t="s">
        <v>17</v>
      </c>
      <c r="J26" t="s">
        <v>18</v>
      </c>
    </row>
    <row r="27" spans="1:10" hidden="1" x14ac:dyDescent="0.25">
      <c r="A27" t="s">
        <v>11</v>
      </c>
      <c r="B27" t="str">
        <f>"UT-106704"</f>
        <v>UT-106704</v>
      </c>
      <c r="C27" t="s">
        <v>65</v>
      </c>
      <c r="D27" t="s">
        <v>13</v>
      </c>
      <c r="E27" t="str">
        <f>"7806385951"</f>
        <v>7806385951</v>
      </c>
      <c r="F27" t="s">
        <v>26</v>
      </c>
      <c r="G27" t="s">
        <v>74</v>
      </c>
      <c r="H27" t="s">
        <v>75</v>
      </c>
      <c r="I27" t="s">
        <v>17</v>
      </c>
      <c r="J27" t="s">
        <v>21</v>
      </c>
    </row>
    <row r="28" spans="1:10" hidden="1" x14ac:dyDescent="0.25">
      <c r="A28" t="s">
        <v>11</v>
      </c>
      <c r="B28" t="str">
        <f>"877"</f>
        <v>877</v>
      </c>
      <c r="C28" t="s">
        <v>49</v>
      </c>
      <c r="D28" t="s">
        <v>13</v>
      </c>
      <c r="E28" t="str">
        <f>"7704340969"</f>
        <v>7704340969</v>
      </c>
      <c r="F28" t="s">
        <v>76</v>
      </c>
      <c r="G28" t="s">
        <v>77</v>
      </c>
      <c r="H28" t="s">
        <v>78</v>
      </c>
      <c r="I28" t="s">
        <v>17</v>
      </c>
      <c r="J28" t="s">
        <v>18</v>
      </c>
    </row>
    <row r="29" spans="1:10" hidden="1" x14ac:dyDescent="0.25">
      <c r="A29" t="s">
        <v>11</v>
      </c>
      <c r="B29" t="str">
        <f>"907"</f>
        <v>907</v>
      </c>
      <c r="C29" t="s">
        <v>49</v>
      </c>
      <c r="D29" t="s">
        <v>13</v>
      </c>
      <c r="E29" t="str">
        <f>"7704340969"</f>
        <v>7704340969</v>
      </c>
      <c r="F29" t="s">
        <v>76</v>
      </c>
      <c r="G29" t="s">
        <v>79</v>
      </c>
      <c r="H29" t="s">
        <v>80</v>
      </c>
      <c r="I29" t="s">
        <v>17</v>
      </c>
      <c r="J29" t="s">
        <v>18</v>
      </c>
    </row>
    <row r="30" spans="1:10" hidden="1" x14ac:dyDescent="0.25">
      <c r="A30" t="s">
        <v>11</v>
      </c>
      <c r="B30" t="str">
        <f>"935"</f>
        <v>935</v>
      </c>
      <c r="C30" t="s">
        <v>49</v>
      </c>
      <c r="D30" t="s">
        <v>13</v>
      </c>
      <c r="E30" t="str">
        <f>"7704340969"</f>
        <v>7704340969</v>
      </c>
      <c r="F30" t="s">
        <v>76</v>
      </c>
      <c r="G30" t="s">
        <v>81</v>
      </c>
      <c r="H30" t="s">
        <v>82</v>
      </c>
      <c r="I30" t="s">
        <v>17</v>
      </c>
      <c r="J30" t="s">
        <v>18</v>
      </c>
    </row>
    <row r="31" spans="1:10" hidden="1" x14ac:dyDescent="0.25">
      <c r="A31" t="s">
        <v>11</v>
      </c>
      <c r="B31" t="str">
        <f>"979"</f>
        <v>979</v>
      </c>
      <c r="C31" t="s">
        <v>49</v>
      </c>
      <c r="D31" t="s">
        <v>13</v>
      </c>
      <c r="E31" t="str">
        <f>"7704340969"</f>
        <v>7704340969</v>
      </c>
      <c r="F31" t="s">
        <v>76</v>
      </c>
      <c r="G31" t="s">
        <v>83</v>
      </c>
      <c r="H31" t="s">
        <v>84</v>
      </c>
      <c r="I31" t="s">
        <v>17</v>
      </c>
      <c r="J31" t="s">
        <v>18</v>
      </c>
    </row>
    <row r="32" spans="1:10" hidden="1" x14ac:dyDescent="0.25">
      <c r="A32" t="s">
        <v>11</v>
      </c>
      <c r="B32" t="str">
        <f>"27216"</f>
        <v>27216</v>
      </c>
      <c r="C32" t="s">
        <v>12</v>
      </c>
      <c r="D32" t="s">
        <v>13</v>
      </c>
      <c r="E32" t="str">
        <f t="shared" ref="E32:E38" si="1">"7729488999"</f>
        <v>7729488999</v>
      </c>
      <c r="F32" t="s">
        <v>85</v>
      </c>
      <c r="G32" t="s">
        <v>86</v>
      </c>
      <c r="H32" t="s">
        <v>87</v>
      </c>
      <c r="I32" t="s">
        <v>17</v>
      </c>
      <c r="J32" t="s">
        <v>18</v>
      </c>
    </row>
    <row r="33" spans="1:10" hidden="1" x14ac:dyDescent="0.25">
      <c r="A33" t="s">
        <v>11</v>
      </c>
      <c r="B33" t="str">
        <f>"27204"</f>
        <v>27204</v>
      </c>
      <c r="C33" t="s">
        <v>12</v>
      </c>
      <c r="D33" t="s">
        <v>13</v>
      </c>
      <c r="E33" t="str">
        <f t="shared" si="1"/>
        <v>7729488999</v>
      </c>
      <c r="F33" t="s">
        <v>85</v>
      </c>
      <c r="G33" t="s">
        <v>88</v>
      </c>
      <c r="H33" t="s">
        <v>89</v>
      </c>
      <c r="I33" t="s">
        <v>17</v>
      </c>
      <c r="J33" t="s">
        <v>18</v>
      </c>
    </row>
    <row r="34" spans="1:10" hidden="1" x14ac:dyDescent="0.25">
      <c r="A34" t="s">
        <v>11</v>
      </c>
      <c r="B34" t="str">
        <f>"26729"</f>
        <v>26729</v>
      </c>
      <c r="C34" t="s">
        <v>12</v>
      </c>
      <c r="D34" t="s">
        <v>13</v>
      </c>
      <c r="E34" t="str">
        <f t="shared" si="1"/>
        <v>7729488999</v>
      </c>
      <c r="F34" t="s">
        <v>85</v>
      </c>
      <c r="G34" t="s">
        <v>90</v>
      </c>
      <c r="H34" t="s">
        <v>91</v>
      </c>
      <c r="I34" t="s">
        <v>17</v>
      </c>
      <c r="J34" t="s">
        <v>18</v>
      </c>
    </row>
    <row r="35" spans="1:10" hidden="1" x14ac:dyDescent="0.25">
      <c r="A35" t="s">
        <v>11</v>
      </c>
      <c r="B35" t="str">
        <f>"26722"</f>
        <v>26722</v>
      </c>
      <c r="C35" t="s">
        <v>12</v>
      </c>
      <c r="D35" t="s">
        <v>13</v>
      </c>
      <c r="E35" t="str">
        <f t="shared" si="1"/>
        <v>7729488999</v>
      </c>
      <c r="F35" t="s">
        <v>85</v>
      </c>
      <c r="G35" t="s">
        <v>92</v>
      </c>
      <c r="H35" t="s">
        <v>93</v>
      </c>
      <c r="I35" t="s">
        <v>17</v>
      </c>
      <c r="J35" t="s">
        <v>18</v>
      </c>
    </row>
    <row r="36" spans="1:10" hidden="1" x14ac:dyDescent="0.25">
      <c r="A36" t="s">
        <v>11</v>
      </c>
      <c r="B36" t="str">
        <f>"26706"</f>
        <v>26706</v>
      </c>
      <c r="C36" t="s">
        <v>12</v>
      </c>
      <c r="D36" t="s">
        <v>13</v>
      </c>
      <c r="E36" t="str">
        <f t="shared" si="1"/>
        <v>7729488999</v>
      </c>
      <c r="F36" t="s">
        <v>85</v>
      </c>
      <c r="G36" t="s">
        <v>92</v>
      </c>
      <c r="H36" t="s">
        <v>94</v>
      </c>
      <c r="I36" t="s">
        <v>17</v>
      </c>
      <c r="J36" t="s">
        <v>18</v>
      </c>
    </row>
    <row r="37" spans="1:10" hidden="1" x14ac:dyDescent="0.25">
      <c r="A37" t="s">
        <v>11</v>
      </c>
      <c r="B37" t="str">
        <f>"26685"</f>
        <v>26685</v>
      </c>
      <c r="C37" t="s">
        <v>12</v>
      </c>
      <c r="D37" t="s">
        <v>13</v>
      </c>
      <c r="E37" t="str">
        <f t="shared" si="1"/>
        <v>7729488999</v>
      </c>
      <c r="F37" t="s">
        <v>85</v>
      </c>
      <c r="G37" t="s">
        <v>92</v>
      </c>
      <c r="H37" t="s">
        <v>95</v>
      </c>
      <c r="I37" t="s">
        <v>17</v>
      </c>
      <c r="J37" t="s">
        <v>18</v>
      </c>
    </row>
    <row r="38" spans="1:10" hidden="1" x14ac:dyDescent="0.25">
      <c r="A38" t="s">
        <v>11</v>
      </c>
      <c r="B38" t="str">
        <f>"26636"</f>
        <v>26636</v>
      </c>
      <c r="C38" t="s">
        <v>12</v>
      </c>
      <c r="D38" t="s">
        <v>13</v>
      </c>
      <c r="E38" t="str">
        <f t="shared" si="1"/>
        <v>7729488999</v>
      </c>
      <c r="F38" t="s">
        <v>85</v>
      </c>
      <c r="G38" t="s">
        <v>90</v>
      </c>
      <c r="H38" t="s">
        <v>96</v>
      </c>
      <c r="I38" t="s">
        <v>17</v>
      </c>
      <c r="J38" t="s">
        <v>18</v>
      </c>
    </row>
    <row r="39" spans="1:10" hidden="1" x14ac:dyDescent="0.25">
      <c r="A39" t="s">
        <v>11</v>
      </c>
      <c r="B39" t="str">
        <f>"150"</f>
        <v>150</v>
      </c>
      <c r="C39" t="s">
        <v>49</v>
      </c>
      <c r="D39" t="s">
        <v>13</v>
      </c>
      <c r="E39" t="str">
        <f>"7702392168"</f>
        <v>7702392168</v>
      </c>
      <c r="F39" t="s">
        <v>97</v>
      </c>
      <c r="G39" t="s">
        <v>98</v>
      </c>
      <c r="H39" t="s">
        <v>99</v>
      </c>
      <c r="I39" t="s">
        <v>17</v>
      </c>
      <c r="J39" t="s">
        <v>18</v>
      </c>
    </row>
    <row r="40" spans="1:10" hidden="1" x14ac:dyDescent="0.25">
      <c r="A40" t="s">
        <v>11</v>
      </c>
      <c r="B40" t="str">
        <f>"SR110023284"</f>
        <v>SR110023284</v>
      </c>
      <c r="C40" t="s">
        <v>100</v>
      </c>
      <c r="D40" t="s">
        <v>13</v>
      </c>
      <c r="E40" t="str">
        <f>"4725006920"</f>
        <v>4725006920</v>
      </c>
      <c r="F40" t="s">
        <v>101</v>
      </c>
      <c r="G40" t="s">
        <v>102</v>
      </c>
      <c r="H40" t="s">
        <v>103</v>
      </c>
      <c r="I40" t="s">
        <v>17</v>
      </c>
      <c r="J40" t="s">
        <v>18</v>
      </c>
    </row>
    <row r="41" spans="1:10" hidden="1" x14ac:dyDescent="0.25">
      <c r="A41" t="s">
        <v>11</v>
      </c>
      <c r="B41" t="str">
        <f>"UT-108209"</f>
        <v>UT-108209</v>
      </c>
      <c r="C41" t="s">
        <v>100</v>
      </c>
      <c r="D41" t="s">
        <v>13</v>
      </c>
      <c r="E41" t="str">
        <f>"7806385951"</f>
        <v>7806385951</v>
      </c>
      <c r="F41" t="s">
        <v>26</v>
      </c>
      <c r="G41" t="s">
        <v>104</v>
      </c>
      <c r="H41" t="s">
        <v>105</v>
      </c>
      <c r="I41" t="s">
        <v>17</v>
      </c>
      <c r="J41" t="s">
        <v>18</v>
      </c>
    </row>
    <row r="42" spans="1:10" hidden="1" x14ac:dyDescent="0.25">
      <c r="A42" t="s">
        <v>11</v>
      </c>
      <c r="B42" t="str">
        <f>"SR110023118"</f>
        <v>SR110023118</v>
      </c>
      <c r="C42" t="s">
        <v>106</v>
      </c>
      <c r="D42" t="s">
        <v>13</v>
      </c>
      <c r="E42" t="str">
        <f>"4725006920"</f>
        <v>4725006920</v>
      </c>
      <c r="F42" t="s">
        <v>101</v>
      </c>
      <c r="G42" t="s">
        <v>107</v>
      </c>
      <c r="H42" t="s">
        <v>108</v>
      </c>
      <c r="I42" t="s">
        <v>17</v>
      </c>
      <c r="J42" t="s">
        <v>18</v>
      </c>
    </row>
    <row r="43" spans="1:10" hidden="1" x14ac:dyDescent="0.25">
      <c r="A43" t="s">
        <v>11</v>
      </c>
      <c r="B43" t="str">
        <f>"28334664"</f>
        <v>28334664</v>
      </c>
      <c r="C43" t="s">
        <v>65</v>
      </c>
      <c r="D43" t="s">
        <v>13</v>
      </c>
      <c r="E43" t="str">
        <f>"7721793895"</f>
        <v>7721793895</v>
      </c>
      <c r="F43" t="s">
        <v>109</v>
      </c>
      <c r="G43" t="s">
        <v>110</v>
      </c>
      <c r="H43" t="s">
        <v>111</v>
      </c>
      <c r="I43" t="s">
        <v>17</v>
      </c>
      <c r="J43" t="s">
        <v>18</v>
      </c>
    </row>
    <row r="44" spans="1:10" hidden="1" x14ac:dyDescent="0.25">
      <c r="A44" t="s">
        <v>11</v>
      </c>
      <c r="B44" t="str">
        <f>"SR110023454"</f>
        <v>SR110023454</v>
      </c>
      <c r="C44" t="s">
        <v>100</v>
      </c>
      <c r="D44" t="s">
        <v>13</v>
      </c>
      <c r="E44" t="str">
        <f>"4725006920"</f>
        <v>4725006920</v>
      </c>
      <c r="F44" t="s">
        <v>101</v>
      </c>
      <c r="G44" t="s">
        <v>112</v>
      </c>
      <c r="H44" t="s">
        <v>113</v>
      </c>
      <c r="I44" t="s">
        <v>17</v>
      </c>
      <c r="J44" t="s">
        <v>18</v>
      </c>
    </row>
    <row r="45" spans="1:10" hidden="1" x14ac:dyDescent="0.25">
      <c r="A45" t="s">
        <v>11</v>
      </c>
      <c r="B45" t="str">
        <f>"SR110023480"</f>
        <v>SR110023480</v>
      </c>
      <c r="C45" t="s">
        <v>100</v>
      </c>
      <c r="D45" t="s">
        <v>13</v>
      </c>
      <c r="E45" t="str">
        <f>"4725006920"</f>
        <v>4725006920</v>
      </c>
      <c r="F45" t="s">
        <v>101</v>
      </c>
      <c r="G45" t="s">
        <v>114</v>
      </c>
      <c r="H45" t="s">
        <v>115</v>
      </c>
      <c r="I45" t="s">
        <v>17</v>
      </c>
      <c r="J45" t="s">
        <v>18</v>
      </c>
    </row>
    <row r="46" spans="1:10" hidden="1" x14ac:dyDescent="0.25">
      <c r="A46" t="s">
        <v>11</v>
      </c>
      <c r="B46" t="str">
        <f>"2023/30/03/0138052/05"</f>
        <v>2023/30/03/0138052/05</v>
      </c>
      <c r="C46" t="s">
        <v>100</v>
      </c>
      <c r="D46" t="s">
        <v>13</v>
      </c>
      <c r="E46" t="str">
        <f>"7718151150"</f>
        <v>7718151150</v>
      </c>
      <c r="F46" t="s">
        <v>54</v>
      </c>
      <c r="G46" t="s">
        <v>61</v>
      </c>
      <c r="H46" t="s">
        <v>116</v>
      </c>
      <c r="I46" t="s">
        <v>17</v>
      </c>
      <c r="J46" t="s">
        <v>18</v>
      </c>
    </row>
    <row r="47" spans="1:10" hidden="1" x14ac:dyDescent="0.25">
      <c r="A47" t="s">
        <v>11</v>
      </c>
      <c r="B47" t="str">
        <f>"2023/30/03/0138053/05"</f>
        <v>2023/30/03/0138053/05</v>
      </c>
      <c r="C47" t="s">
        <v>100</v>
      </c>
      <c r="D47" t="s">
        <v>13</v>
      </c>
      <c r="E47" t="str">
        <f>"7718151150"</f>
        <v>7718151150</v>
      </c>
      <c r="F47" t="s">
        <v>54</v>
      </c>
      <c r="G47" t="s">
        <v>117</v>
      </c>
      <c r="H47" t="s">
        <v>118</v>
      </c>
      <c r="I47" t="s">
        <v>17</v>
      </c>
      <c r="J47" t="s">
        <v>18</v>
      </c>
    </row>
    <row r="48" spans="1:10" hidden="1" x14ac:dyDescent="0.25">
      <c r="A48" t="s">
        <v>11</v>
      </c>
      <c r="B48" t="str">
        <f>"SR110024037"</f>
        <v>SR110024037</v>
      </c>
      <c r="C48" t="s">
        <v>119</v>
      </c>
      <c r="D48" t="s">
        <v>13</v>
      </c>
      <c r="E48" t="str">
        <f>"4725006920"</f>
        <v>4725006920</v>
      </c>
      <c r="F48" t="s">
        <v>101</v>
      </c>
      <c r="G48" t="s">
        <v>120</v>
      </c>
      <c r="H48" t="s">
        <v>121</v>
      </c>
      <c r="I48" t="s">
        <v>17</v>
      </c>
      <c r="J48" t="s">
        <v>18</v>
      </c>
    </row>
    <row r="49" spans="1:10" hidden="1" x14ac:dyDescent="0.25">
      <c r="A49" t="s">
        <v>11</v>
      </c>
      <c r="B49" t="str">
        <f>"UT-105639"</f>
        <v>UT-105639</v>
      </c>
      <c r="C49" t="s">
        <v>53</v>
      </c>
      <c r="D49" t="s">
        <v>122</v>
      </c>
      <c r="E49" t="str">
        <f>"7806385951"</f>
        <v>7806385951</v>
      </c>
      <c r="F49" t="s">
        <v>26</v>
      </c>
      <c r="G49" t="s">
        <v>123</v>
      </c>
      <c r="H49" t="s">
        <v>124</v>
      </c>
      <c r="I49" t="s">
        <v>17</v>
      </c>
      <c r="J49" t="s">
        <v>18</v>
      </c>
    </row>
    <row r="50" spans="1:10" hidden="1" x14ac:dyDescent="0.25">
      <c r="A50" t="s">
        <v>11</v>
      </c>
      <c r="B50" t="str">
        <f>"UT-105641"</f>
        <v>UT-105641</v>
      </c>
      <c r="C50" t="s">
        <v>53</v>
      </c>
      <c r="D50" t="s">
        <v>122</v>
      </c>
      <c r="E50" t="str">
        <f>"7806385951"</f>
        <v>7806385951</v>
      </c>
      <c r="F50" t="s">
        <v>26</v>
      </c>
      <c r="G50" t="s">
        <v>125</v>
      </c>
      <c r="H50" t="s">
        <v>126</v>
      </c>
      <c r="I50" t="s">
        <v>17</v>
      </c>
      <c r="J50" t="s">
        <v>18</v>
      </c>
    </row>
    <row r="51" spans="1:10" hidden="1" x14ac:dyDescent="0.25">
      <c r="A51" t="s">
        <v>11</v>
      </c>
      <c r="B51" t="str">
        <f>"UT-105367"</f>
        <v>UT-105367</v>
      </c>
      <c r="C51" t="s">
        <v>53</v>
      </c>
      <c r="D51" t="s">
        <v>122</v>
      </c>
      <c r="E51" t="str">
        <f>"7806385951"</f>
        <v>7806385951</v>
      </c>
      <c r="F51" t="s">
        <v>26</v>
      </c>
      <c r="G51" t="s">
        <v>127</v>
      </c>
      <c r="H51" t="s">
        <v>128</v>
      </c>
      <c r="I51" t="s">
        <v>17</v>
      </c>
      <c r="J51" t="s">
        <v>18</v>
      </c>
    </row>
    <row r="52" spans="1:10" hidden="1" x14ac:dyDescent="0.25">
      <c r="A52" t="s">
        <v>11</v>
      </c>
      <c r="B52" t="str">
        <f>"UT-105370"</f>
        <v>UT-105370</v>
      </c>
      <c r="C52" t="s">
        <v>53</v>
      </c>
      <c r="D52" t="s">
        <v>122</v>
      </c>
      <c r="E52" t="str">
        <f>"7806385951"</f>
        <v>7806385951</v>
      </c>
      <c r="F52" t="s">
        <v>26</v>
      </c>
      <c r="G52" t="s">
        <v>129</v>
      </c>
      <c r="H52" t="s">
        <v>130</v>
      </c>
      <c r="I52" t="s">
        <v>17</v>
      </c>
      <c r="J52" t="s">
        <v>18</v>
      </c>
    </row>
    <row r="53" spans="1:10" hidden="1" x14ac:dyDescent="0.25">
      <c r="A53" t="s">
        <v>11</v>
      </c>
      <c r="B53" t="str">
        <f>"АРРО0501/03"</f>
        <v>АРРО0501/03</v>
      </c>
      <c r="C53" t="s">
        <v>53</v>
      </c>
      <c r="D53" t="s">
        <v>122</v>
      </c>
      <c r="E53" t="str">
        <f>"7735126034"</f>
        <v>7735126034</v>
      </c>
      <c r="F53" t="s">
        <v>131</v>
      </c>
      <c r="G53" t="s">
        <v>132</v>
      </c>
      <c r="H53" t="s">
        <v>133</v>
      </c>
      <c r="I53" t="s">
        <v>17</v>
      </c>
      <c r="J53" t="s">
        <v>18</v>
      </c>
    </row>
    <row r="54" spans="1:10" hidden="1" x14ac:dyDescent="0.25">
      <c r="A54" t="s">
        <v>11</v>
      </c>
      <c r="B54" t="str">
        <f>"АРРО0501/11"</f>
        <v>АРРО0501/11</v>
      </c>
      <c r="C54" t="s">
        <v>53</v>
      </c>
      <c r="D54" t="s">
        <v>122</v>
      </c>
      <c r="E54" t="str">
        <f>"7735126034"</f>
        <v>7735126034</v>
      </c>
      <c r="F54" t="s">
        <v>131</v>
      </c>
      <c r="G54" t="s">
        <v>134</v>
      </c>
      <c r="H54" t="s">
        <v>135</v>
      </c>
      <c r="I54" t="s">
        <v>17</v>
      </c>
      <c r="J54" t="s">
        <v>18</v>
      </c>
    </row>
    <row r="55" spans="1:10" hidden="1" x14ac:dyDescent="0.25">
      <c r="A55" t="s">
        <v>11</v>
      </c>
      <c r="B55" t="str">
        <f>"148603/780E"</f>
        <v>148603/780E</v>
      </c>
      <c r="C55" t="s">
        <v>12</v>
      </c>
      <c r="D55" t="s">
        <v>122</v>
      </c>
      <c r="E55" t="str">
        <f t="shared" ref="E55:E61" si="2">"5003052454"</f>
        <v>5003052454</v>
      </c>
      <c r="F55" t="s">
        <v>14</v>
      </c>
      <c r="G55" t="s">
        <v>136</v>
      </c>
      <c r="H55" t="s">
        <v>137</v>
      </c>
      <c r="I55" t="s">
        <v>17</v>
      </c>
      <c r="J55" t="s">
        <v>18</v>
      </c>
    </row>
    <row r="56" spans="1:10" hidden="1" x14ac:dyDescent="0.25">
      <c r="A56" t="s">
        <v>11</v>
      </c>
      <c r="B56" t="str">
        <f>"148605/780E"</f>
        <v>148605/780E</v>
      </c>
      <c r="C56" t="s">
        <v>12</v>
      </c>
      <c r="D56" t="s">
        <v>122</v>
      </c>
      <c r="E56" t="str">
        <f t="shared" si="2"/>
        <v>5003052454</v>
      </c>
      <c r="F56" t="s">
        <v>14</v>
      </c>
      <c r="G56" t="s">
        <v>138</v>
      </c>
      <c r="H56" t="s">
        <v>139</v>
      </c>
      <c r="I56" t="s">
        <v>17</v>
      </c>
      <c r="J56" t="s">
        <v>18</v>
      </c>
    </row>
    <row r="57" spans="1:10" hidden="1" x14ac:dyDescent="0.25">
      <c r="A57" t="s">
        <v>11</v>
      </c>
      <c r="B57" t="str">
        <f>"148606/780E"</f>
        <v>148606/780E</v>
      </c>
      <c r="C57" t="s">
        <v>12</v>
      </c>
      <c r="D57" t="s">
        <v>122</v>
      </c>
      <c r="E57" t="str">
        <f t="shared" si="2"/>
        <v>5003052454</v>
      </c>
      <c r="F57" t="s">
        <v>14</v>
      </c>
      <c r="G57" t="s">
        <v>140</v>
      </c>
      <c r="H57" t="s">
        <v>141</v>
      </c>
      <c r="I57" t="s">
        <v>17</v>
      </c>
      <c r="J57" t="s">
        <v>18</v>
      </c>
    </row>
    <row r="58" spans="1:10" hidden="1" x14ac:dyDescent="0.25">
      <c r="A58" t="s">
        <v>11</v>
      </c>
      <c r="B58" t="str">
        <f>"148607/780E"</f>
        <v>148607/780E</v>
      </c>
      <c r="C58" t="s">
        <v>12</v>
      </c>
      <c r="D58" t="s">
        <v>122</v>
      </c>
      <c r="E58" t="str">
        <f t="shared" si="2"/>
        <v>5003052454</v>
      </c>
      <c r="F58" t="s">
        <v>14</v>
      </c>
      <c r="G58" t="s">
        <v>142</v>
      </c>
      <c r="H58" t="s">
        <v>143</v>
      </c>
      <c r="I58" t="s">
        <v>17</v>
      </c>
      <c r="J58" t="s">
        <v>18</v>
      </c>
    </row>
    <row r="59" spans="1:10" hidden="1" x14ac:dyDescent="0.25">
      <c r="A59" t="s">
        <v>11</v>
      </c>
      <c r="B59" t="str">
        <f>"148638/780E"</f>
        <v>148638/780E</v>
      </c>
      <c r="C59" t="s">
        <v>12</v>
      </c>
      <c r="D59" t="s">
        <v>122</v>
      </c>
      <c r="E59" t="str">
        <f t="shared" si="2"/>
        <v>5003052454</v>
      </c>
      <c r="F59" t="s">
        <v>14</v>
      </c>
      <c r="G59" t="s">
        <v>144</v>
      </c>
      <c r="H59" t="s">
        <v>145</v>
      </c>
      <c r="I59" t="s">
        <v>17</v>
      </c>
      <c r="J59" t="s">
        <v>18</v>
      </c>
    </row>
    <row r="60" spans="1:10" hidden="1" x14ac:dyDescent="0.25">
      <c r="A60" t="s">
        <v>11</v>
      </c>
      <c r="B60" t="str">
        <f>"148637/780E"</f>
        <v>148637/780E</v>
      </c>
      <c r="C60" t="s">
        <v>12</v>
      </c>
      <c r="D60" t="s">
        <v>122</v>
      </c>
      <c r="E60" t="str">
        <f t="shared" si="2"/>
        <v>5003052454</v>
      </c>
      <c r="F60" t="s">
        <v>14</v>
      </c>
      <c r="G60" t="s">
        <v>146</v>
      </c>
      <c r="H60" t="s">
        <v>147</v>
      </c>
      <c r="I60" t="s">
        <v>17</v>
      </c>
      <c r="J60" t="s">
        <v>18</v>
      </c>
    </row>
    <row r="61" spans="1:10" hidden="1" x14ac:dyDescent="0.25">
      <c r="A61" t="s">
        <v>11</v>
      </c>
      <c r="B61" t="str">
        <f>"148639/780E"</f>
        <v>148639/780E</v>
      </c>
      <c r="C61" t="s">
        <v>12</v>
      </c>
      <c r="D61" t="s">
        <v>122</v>
      </c>
      <c r="E61" t="str">
        <f t="shared" si="2"/>
        <v>5003052454</v>
      </c>
      <c r="F61" t="s">
        <v>14</v>
      </c>
      <c r="G61" t="s">
        <v>148</v>
      </c>
      <c r="H61" t="s">
        <v>149</v>
      </c>
      <c r="I61" t="s">
        <v>17</v>
      </c>
      <c r="J61" t="s">
        <v>18</v>
      </c>
    </row>
    <row r="62" spans="1:10" hidden="1" x14ac:dyDescent="0.25">
      <c r="A62" t="s">
        <v>11</v>
      </c>
      <c r="B62" t="str">
        <f>"SR110022789"</f>
        <v>SR110022789</v>
      </c>
      <c r="C62" t="s">
        <v>12</v>
      </c>
      <c r="D62" t="s">
        <v>122</v>
      </c>
      <c r="E62" t="str">
        <f>"4725006920"</f>
        <v>4725006920</v>
      </c>
      <c r="F62" t="s">
        <v>101</v>
      </c>
      <c r="G62" t="s">
        <v>150</v>
      </c>
      <c r="H62" t="s">
        <v>151</v>
      </c>
      <c r="I62" t="s">
        <v>17</v>
      </c>
      <c r="J62" t="s">
        <v>18</v>
      </c>
    </row>
    <row r="63" spans="1:10" hidden="1" x14ac:dyDescent="0.25">
      <c r="A63" t="s">
        <v>11</v>
      </c>
      <c r="B63" t="str">
        <f>"33190"</f>
        <v>33190</v>
      </c>
      <c r="C63" t="s">
        <v>12</v>
      </c>
      <c r="D63" t="s">
        <v>122</v>
      </c>
      <c r="E63" t="str">
        <f>"7806429510"</f>
        <v>7806429510</v>
      </c>
      <c r="F63" t="s">
        <v>152</v>
      </c>
      <c r="G63" t="s">
        <v>153</v>
      </c>
      <c r="H63" t="s">
        <v>154</v>
      </c>
      <c r="I63" t="s">
        <v>17</v>
      </c>
      <c r="J63" t="s">
        <v>21</v>
      </c>
    </row>
    <row r="64" spans="1:10" hidden="1" x14ac:dyDescent="0.25">
      <c r="A64" t="s">
        <v>11</v>
      </c>
      <c r="B64" t="str">
        <f>"УТР0166583"</f>
        <v>УТР0166583</v>
      </c>
      <c r="C64" t="s">
        <v>12</v>
      </c>
      <c r="D64" t="s">
        <v>122</v>
      </c>
      <c r="E64" t="str">
        <f>"7804044258"</f>
        <v>7804044258</v>
      </c>
      <c r="F64" t="s">
        <v>155</v>
      </c>
      <c r="G64" t="s">
        <v>156</v>
      </c>
      <c r="H64" t="s">
        <v>157</v>
      </c>
      <c r="I64" t="s">
        <v>17</v>
      </c>
      <c r="J64" t="s">
        <v>18</v>
      </c>
    </row>
    <row r="65" spans="1:10" hidden="1" x14ac:dyDescent="0.25">
      <c r="A65" t="s">
        <v>11</v>
      </c>
      <c r="B65" t="str">
        <f>"УТР0166582"</f>
        <v>УТР0166582</v>
      </c>
      <c r="C65" t="s">
        <v>12</v>
      </c>
      <c r="D65" t="s">
        <v>122</v>
      </c>
      <c r="E65" t="str">
        <f>"7804044258"</f>
        <v>7804044258</v>
      </c>
      <c r="F65" t="s">
        <v>155</v>
      </c>
      <c r="G65" t="s">
        <v>158</v>
      </c>
      <c r="H65" t="s">
        <v>159</v>
      </c>
      <c r="I65" t="s">
        <v>17</v>
      </c>
      <c r="J65" t="s">
        <v>18</v>
      </c>
    </row>
    <row r="66" spans="1:10" hidden="1" x14ac:dyDescent="0.25">
      <c r="A66" t="s">
        <v>11</v>
      </c>
      <c r="B66" t="str">
        <f>"АРРО0502/03"</f>
        <v>АРРО0502/03</v>
      </c>
      <c r="C66" t="s">
        <v>12</v>
      </c>
      <c r="D66" t="s">
        <v>122</v>
      </c>
      <c r="E66" t="str">
        <f>"7735126034"</f>
        <v>7735126034</v>
      </c>
      <c r="F66" t="s">
        <v>131</v>
      </c>
      <c r="G66" t="s">
        <v>160</v>
      </c>
      <c r="H66" t="s">
        <v>161</v>
      </c>
      <c r="I66" t="s">
        <v>17</v>
      </c>
      <c r="J66" t="s">
        <v>18</v>
      </c>
    </row>
    <row r="67" spans="1:10" hidden="1" x14ac:dyDescent="0.25">
      <c r="A67" t="s">
        <v>11</v>
      </c>
      <c r="B67" t="str">
        <f>"БАШМ0502/01"</f>
        <v>БАШМ0502/01</v>
      </c>
      <c r="C67" t="s">
        <v>12</v>
      </c>
      <c r="D67" t="s">
        <v>122</v>
      </c>
      <c r="E67" t="str">
        <f>"7735126034"</f>
        <v>7735126034</v>
      </c>
      <c r="F67" t="s">
        <v>131</v>
      </c>
      <c r="G67" t="s">
        <v>162</v>
      </c>
      <c r="H67" t="s">
        <v>163</v>
      </c>
      <c r="I67" t="s">
        <v>17</v>
      </c>
      <c r="J67" t="s">
        <v>18</v>
      </c>
    </row>
    <row r="68" spans="1:10" x14ac:dyDescent="0.25">
      <c r="A68" t="s">
        <v>11</v>
      </c>
      <c r="B68" t="str">
        <f>"2023/40/03/0034024/06"</f>
        <v>2023/40/03/0034024/06</v>
      </c>
      <c r="C68" t="s">
        <v>49</v>
      </c>
      <c r="D68" t="s">
        <v>122</v>
      </c>
      <c r="E68" t="str">
        <f t="shared" ref="E68:E75" si="3">"7718151150"</f>
        <v>7718151150</v>
      </c>
      <c r="F68" t="s">
        <v>54</v>
      </c>
      <c r="G68" t="s">
        <v>164</v>
      </c>
      <c r="H68" t="s">
        <v>165</v>
      </c>
      <c r="I68" t="s">
        <v>17</v>
      </c>
      <c r="J68" t="s">
        <v>166</v>
      </c>
    </row>
    <row r="69" spans="1:10" x14ac:dyDescent="0.25">
      <c r="A69" t="s">
        <v>11</v>
      </c>
      <c r="B69" t="str">
        <f>"2023/40/03/0033183/06"</f>
        <v>2023/40/03/0033183/06</v>
      </c>
      <c r="C69" t="s">
        <v>49</v>
      </c>
      <c r="D69" t="s">
        <v>122</v>
      </c>
      <c r="E69" t="str">
        <f t="shared" si="3"/>
        <v>7718151150</v>
      </c>
      <c r="F69" t="s">
        <v>54</v>
      </c>
      <c r="G69" t="s">
        <v>164</v>
      </c>
      <c r="H69" t="s">
        <v>167</v>
      </c>
      <c r="I69" t="s">
        <v>17</v>
      </c>
      <c r="J69" t="s">
        <v>166</v>
      </c>
    </row>
    <row r="70" spans="1:10" x14ac:dyDescent="0.25">
      <c r="A70" t="s">
        <v>11</v>
      </c>
      <c r="B70" t="str">
        <f>"2023/40/03/0033187/06"</f>
        <v>2023/40/03/0033187/06</v>
      </c>
      <c r="C70" t="s">
        <v>49</v>
      </c>
      <c r="D70" t="s">
        <v>122</v>
      </c>
      <c r="E70" t="str">
        <f t="shared" si="3"/>
        <v>7718151150</v>
      </c>
      <c r="F70" t="s">
        <v>54</v>
      </c>
      <c r="G70" t="s">
        <v>164</v>
      </c>
      <c r="H70" t="s">
        <v>168</v>
      </c>
      <c r="I70" t="s">
        <v>17</v>
      </c>
      <c r="J70" t="s">
        <v>166</v>
      </c>
    </row>
    <row r="71" spans="1:10" x14ac:dyDescent="0.25">
      <c r="A71" t="s">
        <v>11</v>
      </c>
      <c r="B71" t="str">
        <f>"2023/40/03/0033184/06"</f>
        <v>2023/40/03/0033184/06</v>
      </c>
      <c r="C71" t="s">
        <v>49</v>
      </c>
      <c r="D71" t="s">
        <v>122</v>
      </c>
      <c r="E71" t="str">
        <f t="shared" si="3"/>
        <v>7718151150</v>
      </c>
      <c r="F71" t="s">
        <v>54</v>
      </c>
      <c r="G71" t="s">
        <v>164</v>
      </c>
      <c r="H71" t="s">
        <v>169</v>
      </c>
      <c r="I71" t="s">
        <v>17</v>
      </c>
      <c r="J71" t="s">
        <v>166</v>
      </c>
    </row>
    <row r="72" spans="1:10" x14ac:dyDescent="0.25">
      <c r="A72" t="s">
        <v>11</v>
      </c>
      <c r="B72" t="str">
        <f>"2023/40/03/0033185/06"</f>
        <v>2023/40/03/0033185/06</v>
      </c>
      <c r="C72" t="s">
        <v>49</v>
      </c>
      <c r="D72" t="s">
        <v>122</v>
      </c>
      <c r="E72" t="str">
        <f t="shared" si="3"/>
        <v>7718151150</v>
      </c>
      <c r="F72" t="s">
        <v>54</v>
      </c>
      <c r="G72" t="s">
        <v>164</v>
      </c>
      <c r="H72" t="s">
        <v>170</v>
      </c>
      <c r="I72" t="s">
        <v>17</v>
      </c>
      <c r="J72" t="s">
        <v>166</v>
      </c>
    </row>
    <row r="73" spans="1:10" x14ac:dyDescent="0.25">
      <c r="A73" t="s">
        <v>11</v>
      </c>
      <c r="B73" t="str">
        <f>"2023/40/03/0033189/06"</f>
        <v>2023/40/03/0033189/06</v>
      </c>
      <c r="C73" t="s">
        <v>49</v>
      </c>
      <c r="D73" t="s">
        <v>122</v>
      </c>
      <c r="E73" t="str">
        <f t="shared" si="3"/>
        <v>7718151150</v>
      </c>
      <c r="F73" t="s">
        <v>54</v>
      </c>
      <c r="G73" t="s">
        <v>164</v>
      </c>
      <c r="H73" t="s">
        <v>171</v>
      </c>
      <c r="I73" t="s">
        <v>17</v>
      </c>
      <c r="J73" t="s">
        <v>166</v>
      </c>
    </row>
    <row r="74" spans="1:10" x14ac:dyDescent="0.25">
      <c r="A74" t="s">
        <v>11</v>
      </c>
      <c r="B74" t="str">
        <f>"2023/40/03/0033186/06"</f>
        <v>2023/40/03/0033186/06</v>
      </c>
      <c r="C74" t="s">
        <v>49</v>
      </c>
      <c r="D74" t="s">
        <v>122</v>
      </c>
      <c r="E74" t="str">
        <f t="shared" si="3"/>
        <v>7718151150</v>
      </c>
      <c r="F74" t="s">
        <v>54</v>
      </c>
      <c r="G74" t="s">
        <v>164</v>
      </c>
      <c r="H74" t="s">
        <v>172</v>
      </c>
      <c r="I74" t="s">
        <v>17</v>
      </c>
      <c r="J74" t="s">
        <v>166</v>
      </c>
    </row>
    <row r="75" spans="1:10" x14ac:dyDescent="0.25">
      <c r="A75" t="s">
        <v>11</v>
      </c>
      <c r="B75" t="str">
        <f>"2023/40/03/0033188/06"</f>
        <v>2023/40/03/0033188/06</v>
      </c>
      <c r="C75" t="s">
        <v>49</v>
      </c>
      <c r="D75" t="s">
        <v>122</v>
      </c>
      <c r="E75" t="str">
        <f t="shared" si="3"/>
        <v>7718151150</v>
      </c>
      <c r="F75" t="s">
        <v>54</v>
      </c>
      <c r="G75" t="s">
        <v>164</v>
      </c>
      <c r="H75" t="s">
        <v>173</v>
      </c>
      <c r="I75" t="s">
        <v>17</v>
      </c>
      <c r="J75" t="s">
        <v>166</v>
      </c>
    </row>
    <row r="76" spans="1:10" hidden="1" x14ac:dyDescent="0.25">
      <c r="A76" t="s">
        <v>11</v>
      </c>
      <c r="B76" t="str">
        <f>"150353/780E"</f>
        <v>150353/780E</v>
      </c>
      <c r="C76" t="s">
        <v>65</v>
      </c>
      <c r="D76" t="s">
        <v>122</v>
      </c>
      <c r="E76" t="str">
        <f t="shared" ref="E76:E96" si="4">"5003052454"</f>
        <v>5003052454</v>
      </c>
      <c r="F76" t="s">
        <v>14</v>
      </c>
      <c r="G76" t="s">
        <v>174</v>
      </c>
      <c r="H76" t="s">
        <v>175</v>
      </c>
      <c r="I76" t="s">
        <v>17</v>
      </c>
      <c r="J76" t="s">
        <v>18</v>
      </c>
    </row>
    <row r="77" spans="1:10" hidden="1" x14ac:dyDescent="0.25">
      <c r="A77" t="s">
        <v>11</v>
      </c>
      <c r="B77" t="str">
        <f>"150352/780E"</f>
        <v>150352/780E</v>
      </c>
      <c r="C77" t="s">
        <v>65</v>
      </c>
      <c r="D77" t="s">
        <v>122</v>
      </c>
      <c r="E77" t="str">
        <f t="shared" si="4"/>
        <v>5003052454</v>
      </c>
      <c r="F77" t="s">
        <v>14</v>
      </c>
      <c r="G77" t="s">
        <v>176</v>
      </c>
      <c r="H77" t="s">
        <v>177</v>
      </c>
      <c r="I77" t="s">
        <v>17</v>
      </c>
      <c r="J77" t="s">
        <v>18</v>
      </c>
    </row>
    <row r="78" spans="1:10" hidden="1" x14ac:dyDescent="0.25">
      <c r="A78" t="s">
        <v>11</v>
      </c>
      <c r="B78" t="str">
        <f>"150355/780E"</f>
        <v>150355/780E</v>
      </c>
      <c r="C78" t="s">
        <v>65</v>
      </c>
      <c r="D78" t="s">
        <v>122</v>
      </c>
      <c r="E78" t="str">
        <f t="shared" si="4"/>
        <v>5003052454</v>
      </c>
      <c r="F78" t="s">
        <v>14</v>
      </c>
      <c r="G78" t="s">
        <v>178</v>
      </c>
      <c r="H78" t="s">
        <v>179</v>
      </c>
      <c r="I78" t="s">
        <v>17</v>
      </c>
      <c r="J78" t="s">
        <v>18</v>
      </c>
    </row>
    <row r="79" spans="1:10" hidden="1" x14ac:dyDescent="0.25">
      <c r="A79" t="s">
        <v>11</v>
      </c>
      <c r="B79" t="str">
        <f>"150354/780E"</f>
        <v>150354/780E</v>
      </c>
      <c r="C79" t="s">
        <v>65</v>
      </c>
      <c r="D79" t="s">
        <v>122</v>
      </c>
      <c r="E79" t="str">
        <f t="shared" si="4"/>
        <v>5003052454</v>
      </c>
      <c r="F79" t="s">
        <v>14</v>
      </c>
      <c r="G79" t="s">
        <v>180</v>
      </c>
      <c r="H79" t="s">
        <v>181</v>
      </c>
      <c r="I79" t="s">
        <v>17</v>
      </c>
      <c r="J79" t="s">
        <v>18</v>
      </c>
    </row>
    <row r="80" spans="1:10" hidden="1" x14ac:dyDescent="0.25">
      <c r="A80" t="s">
        <v>11</v>
      </c>
      <c r="B80" t="str">
        <f>"150356/780E"</f>
        <v>150356/780E</v>
      </c>
      <c r="C80" t="s">
        <v>65</v>
      </c>
      <c r="D80" t="s">
        <v>122</v>
      </c>
      <c r="E80" t="str">
        <f t="shared" si="4"/>
        <v>5003052454</v>
      </c>
      <c r="F80" t="s">
        <v>14</v>
      </c>
      <c r="G80" t="s">
        <v>182</v>
      </c>
      <c r="H80" t="s">
        <v>183</v>
      </c>
      <c r="I80" t="s">
        <v>17</v>
      </c>
      <c r="J80" t="s">
        <v>18</v>
      </c>
    </row>
    <row r="81" spans="1:10" hidden="1" x14ac:dyDescent="0.25">
      <c r="A81" t="s">
        <v>11</v>
      </c>
      <c r="B81" t="str">
        <f>"150357/780E"</f>
        <v>150357/780E</v>
      </c>
      <c r="C81" t="s">
        <v>65</v>
      </c>
      <c r="D81" t="s">
        <v>122</v>
      </c>
      <c r="E81" t="str">
        <f t="shared" si="4"/>
        <v>5003052454</v>
      </c>
      <c r="F81" t="s">
        <v>14</v>
      </c>
      <c r="G81" t="s">
        <v>184</v>
      </c>
      <c r="H81" t="s">
        <v>185</v>
      </c>
      <c r="I81" t="s">
        <v>17</v>
      </c>
      <c r="J81" t="s">
        <v>18</v>
      </c>
    </row>
    <row r="82" spans="1:10" hidden="1" x14ac:dyDescent="0.25">
      <c r="A82" t="s">
        <v>11</v>
      </c>
      <c r="B82" t="str">
        <f>"150358/780E"</f>
        <v>150358/780E</v>
      </c>
      <c r="C82" t="s">
        <v>65</v>
      </c>
      <c r="D82" t="s">
        <v>122</v>
      </c>
      <c r="E82" t="str">
        <f t="shared" si="4"/>
        <v>5003052454</v>
      </c>
      <c r="F82" t="s">
        <v>14</v>
      </c>
      <c r="G82" t="s">
        <v>186</v>
      </c>
      <c r="H82" t="s">
        <v>187</v>
      </c>
      <c r="I82" t="s">
        <v>17</v>
      </c>
      <c r="J82" t="s">
        <v>18</v>
      </c>
    </row>
    <row r="83" spans="1:10" hidden="1" x14ac:dyDescent="0.25">
      <c r="A83" t="s">
        <v>11</v>
      </c>
      <c r="B83" t="str">
        <f>"150360/780E"</f>
        <v>150360/780E</v>
      </c>
      <c r="C83" t="s">
        <v>65</v>
      </c>
      <c r="D83" t="s">
        <v>122</v>
      </c>
      <c r="E83" t="str">
        <f t="shared" si="4"/>
        <v>5003052454</v>
      </c>
      <c r="F83" t="s">
        <v>14</v>
      </c>
      <c r="G83" t="s">
        <v>188</v>
      </c>
      <c r="H83" t="s">
        <v>189</v>
      </c>
      <c r="I83" t="s">
        <v>17</v>
      </c>
      <c r="J83" t="s">
        <v>18</v>
      </c>
    </row>
    <row r="84" spans="1:10" hidden="1" x14ac:dyDescent="0.25">
      <c r="A84" t="s">
        <v>11</v>
      </c>
      <c r="B84" t="str">
        <f>"150361/780E"</f>
        <v>150361/780E</v>
      </c>
      <c r="C84" t="s">
        <v>65</v>
      </c>
      <c r="D84" t="s">
        <v>122</v>
      </c>
      <c r="E84" t="str">
        <f t="shared" si="4"/>
        <v>5003052454</v>
      </c>
      <c r="F84" t="s">
        <v>14</v>
      </c>
      <c r="G84" t="s">
        <v>190</v>
      </c>
      <c r="H84" t="s">
        <v>191</v>
      </c>
      <c r="I84" t="s">
        <v>17</v>
      </c>
      <c r="J84" t="s">
        <v>18</v>
      </c>
    </row>
    <row r="85" spans="1:10" hidden="1" x14ac:dyDescent="0.25">
      <c r="A85" t="s">
        <v>11</v>
      </c>
      <c r="B85" t="str">
        <f>"150359/780E"</f>
        <v>150359/780E</v>
      </c>
      <c r="C85" t="s">
        <v>65</v>
      </c>
      <c r="D85" t="s">
        <v>122</v>
      </c>
      <c r="E85" t="str">
        <f t="shared" si="4"/>
        <v>5003052454</v>
      </c>
      <c r="F85" t="s">
        <v>14</v>
      </c>
      <c r="G85" t="s">
        <v>192</v>
      </c>
      <c r="H85" t="s">
        <v>193</v>
      </c>
      <c r="I85" t="s">
        <v>17</v>
      </c>
      <c r="J85" t="s">
        <v>18</v>
      </c>
    </row>
    <row r="86" spans="1:10" hidden="1" x14ac:dyDescent="0.25">
      <c r="A86" t="s">
        <v>11</v>
      </c>
      <c r="B86" t="str">
        <f>"150362/780E"</f>
        <v>150362/780E</v>
      </c>
      <c r="C86" t="s">
        <v>65</v>
      </c>
      <c r="D86" t="s">
        <v>122</v>
      </c>
      <c r="E86" t="str">
        <f t="shared" si="4"/>
        <v>5003052454</v>
      </c>
      <c r="F86" t="s">
        <v>14</v>
      </c>
      <c r="G86" t="s">
        <v>194</v>
      </c>
      <c r="H86" t="s">
        <v>195</v>
      </c>
      <c r="I86" t="s">
        <v>17</v>
      </c>
      <c r="J86" t="s">
        <v>18</v>
      </c>
    </row>
    <row r="87" spans="1:10" hidden="1" x14ac:dyDescent="0.25">
      <c r="A87" t="s">
        <v>11</v>
      </c>
      <c r="B87" t="str">
        <f>"150363/780E"</f>
        <v>150363/780E</v>
      </c>
      <c r="C87" t="s">
        <v>65</v>
      </c>
      <c r="D87" t="s">
        <v>122</v>
      </c>
      <c r="E87" t="str">
        <f t="shared" si="4"/>
        <v>5003052454</v>
      </c>
      <c r="F87" t="s">
        <v>14</v>
      </c>
      <c r="G87" t="s">
        <v>196</v>
      </c>
      <c r="H87" t="s">
        <v>197</v>
      </c>
      <c r="I87" t="s">
        <v>17</v>
      </c>
      <c r="J87" t="s">
        <v>18</v>
      </c>
    </row>
    <row r="88" spans="1:10" hidden="1" x14ac:dyDescent="0.25">
      <c r="A88" t="s">
        <v>11</v>
      </c>
      <c r="B88" t="str">
        <f>"150364/780E"</f>
        <v>150364/780E</v>
      </c>
      <c r="C88" t="s">
        <v>65</v>
      </c>
      <c r="D88" t="s">
        <v>122</v>
      </c>
      <c r="E88" t="str">
        <f t="shared" si="4"/>
        <v>5003052454</v>
      </c>
      <c r="F88" t="s">
        <v>14</v>
      </c>
      <c r="G88" t="s">
        <v>198</v>
      </c>
      <c r="H88" t="s">
        <v>199</v>
      </c>
      <c r="I88" t="s">
        <v>17</v>
      </c>
      <c r="J88" t="s">
        <v>18</v>
      </c>
    </row>
    <row r="89" spans="1:10" hidden="1" x14ac:dyDescent="0.25">
      <c r="A89" t="s">
        <v>11</v>
      </c>
      <c r="B89" t="str">
        <f>"150365/780E"</f>
        <v>150365/780E</v>
      </c>
      <c r="C89" t="s">
        <v>65</v>
      </c>
      <c r="D89" t="s">
        <v>122</v>
      </c>
      <c r="E89" t="str">
        <f t="shared" si="4"/>
        <v>5003052454</v>
      </c>
      <c r="F89" t="s">
        <v>14</v>
      </c>
      <c r="G89" t="s">
        <v>200</v>
      </c>
      <c r="H89" t="s">
        <v>201</v>
      </c>
      <c r="I89" t="s">
        <v>17</v>
      </c>
      <c r="J89" t="s">
        <v>18</v>
      </c>
    </row>
    <row r="90" spans="1:10" hidden="1" x14ac:dyDescent="0.25">
      <c r="A90" t="s">
        <v>11</v>
      </c>
      <c r="B90" t="str">
        <f>"150366/780E"</f>
        <v>150366/780E</v>
      </c>
      <c r="C90" t="s">
        <v>65</v>
      </c>
      <c r="D90" t="s">
        <v>122</v>
      </c>
      <c r="E90" t="str">
        <f t="shared" si="4"/>
        <v>5003052454</v>
      </c>
      <c r="F90" t="s">
        <v>14</v>
      </c>
      <c r="G90" t="s">
        <v>202</v>
      </c>
      <c r="H90" t="s">
        <v>203</v>
      </c>
      <c r="I90" t="s">
        <v>17</v>
      </c>
      <c r="J90" t="s">
        <v>18</v>
      </c>
    </row>
    <row r="91" spans="1:10" hidden="1" x14ac:dyDescent="0.25">
      <c r="A91" t="s">
        <v>11</v>
      </c>
      <c r="B91" t="str">
        <f>"150367/780E"</f>
        <v>150367/780E</v>
      </c>
      <c r="C91" t="s">
        <v>65</v>
      </c>
      <c r="D91" t="s">
        <v>122</v>
      </c>
      <c r="E91" t="str">
        <f t="shared" si="4"/>
        <v>5003052454</v>
      </c>
      <c r="F91" t="s">
        <v>14</v>
      </c>
      <c r="G91" t="s">
        <v>204</v>
      </c>
      <c r="H91" t="s">
        <v>205</v>
      </c>
      <c r="I91" t="s">
        <v>17</v>
      </c>
      <c r="J91" t="s">
        <v>18</v>
      </c>
    </row>
    <row r="92" spans="1:10" hidden="1" x14ac:dyDescent="0.25">
      <c r="A92" t="s">
        <v>11</v>
      </c>
      <c r="B92" t="str">
        <f>"150369/780E"</f>
        <v>150369/780E</v>
      </c>
      <c r="C92" t="s">
        <v>65</v>
      </c>
      <c r="D92" t="s">
        <v>122</v>
      </c>
      <c r="E92" t="str">
        <f t="shared" si="4"/>
        <v>5003052454</v>
      </c>
      <c r="F92" t="s">
        <v>14</v>
      </c>
      <c r="G92" t="s">
        <v>206</v>
      </c>
      <c r="H92" t="s">
        <v>207</v>
      </c>
      <c r="I92" t="s">
        <v>17</v>
      </c>
      <c r="J92" t="s">
        <v>18</v>
      </c>
    </row>
    <row r="93" spans="1:10" hidden="1" x14ac:dyDescent="0.25">
      <c r="A93" t="s">
        <v>11</v>
      </c>
      <c r="B93" t="str">
        <f>"150368/780E"</f>
        <v>150368/780E</v>
      </c>
      <c r="C93" t="s">
        <v>65</v>
      </c>
      <c r="D93" t="s">
        <v>122</v>
      </c>
      <c r="E93" t="str">
        <f t="shared" si="4"/>
        <v>5003052454</v>
      </c>
      <c r="F93" t="s">
        <v>14</v>
      </c>
      <c r="G93" t="s">
        <v>208</v>
      </c>
      <c r="H93" t="s">
        <v>209</v>
      </c>
      <c r="I93" t="s">
        <v>17</v>
      </c>
      <c r="J93" t="s">
        <v>18</v>
      </c>
    </row>
    <row r="94" spans="1:10" hidden="1" x14ac:dyDescent="0.25">
      <c r="A94" t="s">
        <v>11</v>
      </c>
      <c r="B94" t="str">
        <f>"150370/780E"</f>
        <v>150370/780E</v>
      </c>
      <c r="C94" t="s">
        <v>65</v>
      </c>
      <c r="D94" t="s">
        <v>122</v>
      </c>
      <c r="E94" t="str">
        <f t="shared" si="4"/>
        <v>5003052454</v>
      </c>
      <c r="F94" t="s">
        <v>14</v>
      </c>
      <c r="G94" t="s">
        <v>210</v>
      </c>
      <c r="H94" t="s">
        <v>211</v>
      </c>
      <c r="I94" t="s">
        <v>17</v>
      </c>
      <c r="J94" t="s">
        <v>18</v>
      </c>
    </row>
    <row r="95" spans="1:10" hidden="1" x14ac:dyDescent="0.25">
      <c r="A95" t="s">
        <v>11</v>
      </c>
      <c r="B95" t="str">
        <f>"150372/780E"</f>
        <v>150372/780E</v>
      </c>
      <c r="C95" t="s">
        <v>65</v>
      </c>
      <c r="D95" t="s">
        <v>122</v>
      </c>
      <c r="E95" t="str">
        <f t="shared" si="4"/>
        <v>5003052454</v>
      </c>
      <c r="F95" t="s">
        <v>14</v>
      </c>
      <c r="G95" t="s">
        <v>212</v>
      </c>
      <c r="H95" t="s">
        <v>213</v>
      </c>
      <c r="I95" t="s">
        <v>17</v>
      </c>
      <c r="J95" t="s">
        <v>18</v>
      </c>
    </row>
    <row r="96" spans="1:10" hidden="1" x14ac:dyDescent="0.25">
      <c r="A96" t="s">
        <v>11</v>
      </c>
      <c r="B96" t="str">
        <f>"150371/780E"</f>
        <v>150371/780E</v>
      </c>
      <c r="C96" t="s">
        <v>65</v>
      </c>
      <c r="D96" t="s">
        <v>122</v>
      </c>
      <c r="E96" t="str">
        <f t="shared" si="4"/>
        <v>5003052454</v>
      </c>
      <c r="F96" t="s">
        <v>14</v>
      </c>
      <c r="G96" t="s">
        <v>214</v>
      </c>
      <c r="H96" t="s">
        <v>215</v>
      </c>
      <c r="I96" t="s">
        <v>17</v>
      </c>
      <c r="J96" t="s">
        <v>18</v>
      </c>
    </row>
    <row r="97" spans="1:10" hidden="1" x14ac:dyDescent="0.25">
      <c r="A97" t="s">
        <v>11</v>
      </c>
      <c r="B97" t="str">
        <f>"UT-106705"</f>
        <v>UT-106705</v>
      </c>
      <c r="C97" t="s">
        <v>65</v>
      </c>
      <c r="D97" t="s">
        <v>122</v>
      </c>
      <c r="E97" t="str">
        <f t="shared" ref="E97:E103" si="5">"7806385951"</f>
        <v>7806385951</v>
      </c>
      <c r="F97" t="s">
        <v>26</v>
      </c>
      <c r="G97" t="s">
        <v>216</v>
      </c>
      <c r="H97" t="s">
        <v>217</v>
      </c>
      <c r="I97" t="s">
        <v>17</v>
      </c>
      <c r="J97" t="s">
        <v>18</v>
      </c>
    </row>
    <row r="98" spans="1:10" hidden="1" x14ac:dyDescent="0.25">
      <c r="A98" t="s">
        <v>11</v>
      </c>
      <c r="B98" t="str">
        <f>"UT-106732"</f>
        <v>UT-106732</v>
      </c>
      <c r="C98" t="s">
        <v>65</v>
      </c>
      <c r="D98" t="s">
        <v>122</v>
      </c>
      <c r="E98" t="str">
        <f t="shared" si="5"/>
        <v>7806385951</v>
      </c>
      <c r="F98" t="s">
        <v>26</v>
      </c>
      <c r="G98" t="s">
        <v>218</v>
      </c>
      <c r="H98" t="s">
        <v>219</v>
      </c>
      <c r="I98" t="s">
        <v>17</v>
      </c>
      <c r="J98" t="s">
        <v>18</v>
      </c>
    </row>
    <row r="99" spans="1:10" x14ac:dyDescent="0.25">
      <c r="A99" t="s">
        <v>11</v>
      </c>
      <c r="B99" t="str">
        <f>"UT-106731"</f>
        <v>UT-106731</v>
      </c>
      <c r="C99" t="s">
        <v>65</v>
      </c>
      <c r="D99" t="s">
        <v>122</v>
      </c>
      <c r="E99" t="str">
        <f t="shared" si="5"/>
        <v>7806385951</v>
      </c>
      <c r="F99" t="s">
        <v>26</v>
      </c>
      <c r="G99" t="s">
        <v>220</v>
      </c>
      <c r="H99" t="s">
        <v>221</v>
      </c>
      <c r="I99" t="s">
        <v>17</v>
      </c>
      <c r="J99" t="s">
        <v>166</v>
      </c>
    </row>
    <row r="100" spans="1:10" hidden="1" x14ac:dyDescent="0.25">
      <c r="A100" t="s">
        <v>11</v>
      </c>
      <c r="B100" t="str">
        <f>"UT-106733"</f>
        <v>UT-106733</v>
      </c>
      <c r="C100" t="s">
        <v>65</v>
      </c>
      <c r="D100" t="s">
        <v>122</v>
      </c>
      <c r="E100" t="str">
        <f t="shared" si="5"/>
        <v>7806385951</v>
      </c>
      <c r="F100" t="s">
        <v>26</v>
      </c>
      <c r="G100" t="s">
        <v>222</v>
      </c>
      <c r="H100" t="s">
        <v>223</v>
      </c>
      <c r="I100" t="s">
        <v>17</v>
      </c>
      <c r="J100" t="s">
        <v>18</v>
      </c>
    </row>
    <row r="101" spans="1:10" hidden="1" x14ac:dyDescent="0.25">
      <c r="A101" t="s">
        <v>11</v>
      </c>
      <c r="B101" t="str">
        <f>"UT-107043"</f>
        <v>UT-107043</v>
      </c>
      <c r="C101" t="s">
        <v>65</v>
      </c>
      <c r="D101" t="s">
        <v>122</v>
      </c>
      <c r="E101" t="str">
        <f t="shared" si="5"/>
        <v>7806385951</v>
      </c>
      <c r="F101" t="s">
        <v>26</v>
      </c>
      <c r="G101" t="s">
        <v>224</v>
      </c>
      <c r="H101" t="s">
        <v>225</v>
      </c>
      <c r="I101" t="s">
        <v>17</v>
      </c>
      <c r="J101" t="s">
        <v>18</v>
      </c>
    </row>
    <row r="102" spans="1:10" hidden="1" x14ac:dyDescent="0.25">
      <c r="A102" t="s">
        <v>11</v>
      </c>
      <c r="B102" t="str">
        <f>"UT-107020"</f>
        <v>UT-107020</v>
      </c>
      <c r="C102" t="s">
        <v>65</v>
      </c>
      <c r="D102" t="s">
        <v>122</v>
      </c>
      <c r="E102" t="str">
        <f t="shared" si="5"/>
        <v>7806385951</v>
      </c>
      <c r="F102" t="s">
        <v>26</v>
      </c>
      <c r="G102" t="s">
        <v>226</v>
      </c>
      <c r="H102" t="s">
        <v>227</v>
      </c>
      <c r="I102" t="s">
        <v>17</v>
      </c>
      <c r="J102" t="s">
        <v>18</v>
      </c>
    </row>
    <row r="103" spans="1:10" hidden="1" x14ac:dyDescent="0.25">
      <c r="A103" t="s">
        <v>11</v>
      </c>
      <c r="B103" t="str">
        <f>"UT-107021"</f>
        <v>UT-107021</v>
      </c>
      <c r="C103" t="s">
        <v>65</v>
      </c>
      <c r="D103" t="s">
        <v>122</v>
      </c>
      <c r="E103" t="str">
        <f t="shared" si="5"/>
        <v>7806385951</v>
      </c>
      <c r="F103" t="s">
        <v>26</v>
      </c>
      <c r="G103" t="s">
        <v>228</v>
      </c>
      <c r="H103" t="s">
        <v>229</v>
      </c>
      <c r="I103" t="s">
        <v>17</v>
      </c>
      <c r="J103" t="s">
        <v>18</v>
      </c>
    </row>
    <row r="104" spans="1:10" hidden="1" x14ac:dyDescent="0.25">
      <c r="A104" t="s">
        <v>11</v>
      </c>
      <c r="B104" t="str">
        <f>"28288646"</f>
        <v>28288646</v>
      </c>
      <c r="C104" t="s">
        <v>12</v>
      </c>
      <c r="D104" t="s">
        <v>122</v>
      </c>
      <c r="E104" t="str">
        <f>"7721793895"</f>
        <v>7721793895</v>
      </c>
      <c r="F104" t="s">
        <v>109</v>
      </c>
      <c r="G104" t="s">
        <v>230</v>
      </c>
      <c r="H104" t="s">
        <v>231</v>
      </c>
      <c r="I104" t="s">
        <v>17</v>
      </c>
      <c r="J104" t="s">
        <v>21</v>
      </c>
    </row>
    <row r="105" spans="1:10" hidden="1" x14ac:dyDescent="0.25">
      <c r="A105" t="s">
        <v>11</v>
      </c>
      <c r="B105" t="str">
        <f>"UT-107018"</f>
        <v>UT-107018</v>
      </c>
      <c r="C105" t="s">
        <v>65</v>
      </c>
      <c r="D105" t="s">
        <v>122</v>
      </c>
      <c r="E105" t="str">
        <f>"7806385951"</f>
        <v>7806385951</v>
      </c>
      <c r="F105" t="s">
        <v>26</v>
      </c>
      <c r="G105" t="s">
        <v>232</v>
      </c>
      <c r="H105" t="s">
        <v>233</v>
      </c>
      <c r="I105" t="s">
        <v>17</v>
      </c>
      <c r="J105" t="s">
        <v>18</v>
      </c>
    </row>
    <row r="106" spans="1:10" hidden="1" x14ac:dyDescent="0.25">
      <c r="A106" t="s">
        <v>11</v>
      </c>
      <c r="B106" t="str">
        <f>"UT-107019"</f>
        <v>UT-107019</v>
      </c>
      <c r="C106" t="s">
        <v>65</v>
      </c>
      <c r="D106" t="s">
        <v>122</v>
      </c>
      <c r="E106" t="str">
        <f>"7806385951"</f>
        <v>7806385951</v>
      </c>
      <c r="F106" t="s">
        <v>26</v>
      </c>
      <c r="G106" t="s">
        <v>234</v>
      </c>
      <c r="H106" t="s">
        <v>235</v>
      </c>
      <c r="I106" t="s">
        <v>17</v>
      </c>
      <c r="J106" t="s">
        <v>18</v>
      </c>
    </row>
    <row r="107" spans="1:10" hidden="1" x14ac:dyDescent="0.25">
      <c r="A107" t="s">
        <v>11</v>
      </c>
      <c r="B107" t="str">
        <f>"UT-107111"</f>
        <v>UT-107111</v>
      </c>
      <c r="C107" t="s">
        <v>65</v>
      </c>
      <c r="D107" t="s">
        <v>122</v>
      </c>
      <c r="E107" t="str">
        <f>"7806385951"</f>
        <v>7806385951</v>
      </c>
      <c r="F107" t="s">
        <v>26</v>
      </c>
      <c r="G107" t="s">
        <v>236</v>
      </c>
      <c r="H107" t="s">
        <v>237</v>
      </c>
      <c r="I107" t="s">
        <v>17</v>
      </c>
      <c r="J107" t="s">
        <v>18</v>
      </c>
    </row>
    <row r="108" spans="1:10" x14ac:dyDescent="0.25">
      <c r="A108" t="s">
        <v>11</v>
      </c>
      <c r="B108" t="str">
        <f>"УТР0166965"</f>
        <v>УТР0166965</v>
      </c>
      <c r="C108" t="s">
        <v>65</v>
      </c>
      <c r="D108" t="s">
        <v>122</v>
      </c>
      <c r="E108" t="str">
        <f>"7804044258"</f>
        <v>7804044258</v>
      </c>
      <c r="F108" t="s">
        <v>155</v>
      </c>
      <c r="G108" t="s">
        <v>238</v>
      </c>
      <c r="H108" t="s">
        <v>239</v>
      </c>
      <c r="I108" t="s">
        <v>17</v>
      </c>
      <c r="J108" t="s">
        <v>166</v>
      </c>
    </row>
    <row r="109" spans="1:10" hidden="1" x14ac:dyDescent="0.25">
      <c r="A109" t="s">
        <v>11</v>
      </c>
      <c r="B109" t="str">
        <f>"SR110022979"</f>
        <v>SR110022979</v>
      </c>
      <c r="C109" t="s">
        <v>65</v>
      </c>
      <c r="D109" t="s">
        <v>122</v>
      </c>
      <c r="E109" t="str">
        <f>"4725006920"</f>
        <v>4725006920</v>
      </c>
      <c r="F109" t="s">
        <v>101</v>
      </c>
      <c r="G109" t="s">
        <v>240</v>
      </c>
      <c r="H109" t="s">
        <v>241</v>
      </c>
      <c r="I109" t="s">
        <v>17</v>
      </c>
      <c r="J109" t="s">
        <v>18</v>
      </c>
    </row>
    <row r="110" spans="1:10" hidden="1" x14ac:dyDescent="0.25">
      <c r="A110" t="s">
        <v>11</v>
      </c>
      <c r="B110" t="str">
        <f>"878"</f>
        <v>878</v>
      </c>
      <c r="C110" t="s">
        <v>49</v>
      </c>
      <c r="D110" t="s">
        <v>122</v>
      </c>
      <c r="E110" t="str">
        <f>"7704340969"</f>
        <v>7704340969</v>
      </c>
      <c r="F110" t="s">
        <v>76</v>
      </c>
      <c r="G110" t="s">
        <v>242</v>
      </c>
      <c r="H110" t="s">
        <v>243</v>
      </c>
      <c r="I110" t="s">
        <v>17</v>
      </c>
      <c r="J110" t="s">
        <v>18</v>
      </c>
    </row>
    <row r="111" spans="1:10" hidden="1" x14ac:dyDescent="0.25">
      <c r="A111" t="s">
        <v>11</v>
      </c>
      <c r="B111" t="str">
        <f>"908"</f>
        <v>908</v>
      </c>
      <c r="C111" t="s">
        <v>49</v>
      </c>
      <c r="D111" t="s">
        <v>122</v>
      </c>
      <c r="E111" t="str">
        <f>"7704340969"</f>
        <v>7704340969</v>
      </c>
      <c r="F111" t="s">
        <v>76</v>
      </c>
      <c r="G111" t="s">
        <v>244</v>
      </c>
      <c r="H111" t="s">
        <v>245</v>
      </c>
      <c r="I111" t="s">
        <v>17</v>
      </c>
      <c r="J111" t="s">
        <v>18</v>
      </c>
    </row>
    <row r="112" spans="1:10" hidden="1" x14ac:dyDescent="0.25">
      <c r="A112" t="s">
        <v>11</v>
      </c>
      <c r="B112" t="str">
        <f>"936"</f>
        <v>936</v>
      </c>
      <c r="C112" t="s">
        <v>49</v>
      </c>
      <c r="D112" t="s">
        <v>122</v>
      </c>
      <c r="E112" t="str">
        <f>"7704340969"</f>
        <v>7704340969</v>
      </c>
      <c r="F112" t="s">
        <v>76</v>
      </c>
      <c r="G112" t="s">
        <v>246</v>
      </c>
      <c r="H112" t="s">
        <v>247</v>
      </c>
      <c r="I112" t="s">
        <v>17</v>
      </c>
      <c r="J112" t="s">
        <v>18</v>
      </c>
    </row>
    <row r="113" spans="1:10" hidden="1" x14ac:dyDescent="0.25">
      <c r="A113" t="s">
        <v>11</v>
      </c>
      <c r="B113" t="str">
        <f>"980"</f>
        <v>980</v>
      </c>
      <c r="C113" t="s">
        <v>49</v>
      </c>
      <c r="D113" t="s">
        <v>122</v>
      </c>
      <c r="E113" t="str">
        <f>"7704340969"</f>
        <v>7704340969</v>
      </c>
      <c r="F113" t="s">
        <v>76</v>
      </c>
      <c r="G113" t="s">
        <v>248</v>
      </c>
      <c r="H113" t="s">
        <v>249</v>
      </c>
      <c r="I113" t="s">
        <v>17</v>
      </c>
      <c r="J113" t="s">
        <v>18</v>
      </c>
    </row>
    <row r="114" spans="1:10" hidden="1" x14ac:dyDescent="0.25">
      <c r="A114" t="s">
        <v>11</v>
      </c>
      <c r="B114" t="str">
        <f>"2023/40/03/0034384/06"</f>
        <v>2023/40/03/0034384/06</v>
      </c>
      <c r="C114" t="s">
        <v>12</v>
      </c>
      <c r="D114" t="s">
        <v>122</v>
      </c>
      <c r="E114" t="str">
        <f t="shared" ref="E114:E119" si="6">"7718151150"</f>
        <v>7718151150</v>
      </c>
      <c r="F114" t="s">
        <v>54</v>
      </c>
      <c r="G114" t="s">
        <v>250</v>
      </c>
      <c r="H114" t="s">
        <v>251</v>
      </c>
      <c r="I114" t="s">
        <v>17</v>
      </c>
      <c r="J114" t="s">
        <v>18</v>
      </c>
    </row>
    <row r="115" spans="1:10" hidden="1" x14ac:dyDescent="0.25">
      <c r="A115" t="s">
        <v>11</v>
      </c>
      <c r="B115" t="str">
        <f>"2023/40/03/0034383/06"</f>
        <v>2023/40/03/0034383/06</v>
      </c>
      <c r="C115" t="s">
        <v>12</v>
      </c>
      <c r="D115" t="s">
        <v>122</v>
      </c>
      <c r="E115" t="str">
        <f t="shared" si="6"/>
        <v>7718151150</v>
      </c>
      <c r="F115" t="s">
        <v>54</v>
      </c>
      <c r="G115" t="s">
        <v>250</v>
      </c>
      <c r="H115" t="s">
        <v>252</v>
      </c>
      <c r="I115" t="s">
        <v>17</v>
      </c>
      <c r="J115" t="s">
        <v>18</v>
      </c>
    </row>
    <row r="116" spans="1:10" hidden="1" x14ac:dyDescent="0.25">
      <c r="A116" t="s">
        <v>11</v>
      </c>
      <c r="B116" t="str">
        <f>"2023/40/03/0034397/06"</f>
        <v>2023/40/03/0034397/06</v>
      </c>
      <c r="C116" t="s">
        <v>12</v>
      </c>
      <c r="D116" t="s">
        <v>122</v>
      </c>
      <c r="E116" t="str">
        <f t="shared" si="6"/>
        <v>7718151150</v>
      </c>
      <c r="F116" t="s">
        <v>54</v>
      </c>
      <c r="G116" t="s">
        <v>253</v>
      </c>
      <c r="H116" t="s">
        <v>254</v>
      </c>
      <c r="I116" t="s">
        <v>17</v>
      </c>
      <c r="J116" t="s">
        <v>18</v>
      </c>
    </row>
    <row r="117" spans="1:10" hidden="1" x14ac:dyDescent="0.25">
      <c r="A117" t="s">
        <v>11</v>
      </c>
      <c r="B117" t="str">
        <f>"2023/40/03/0034412/06"</f>
        <v>2023/40/03/0034412/06</v>
      </c>
      <c r="C117" t="s">
        <v>12</v>
      </c>
      <c r="D117" t="s">
        <v>122</v>
      </c>
      <c r="E117" t="str">
        <f t="shared" si="6"/>
        <v>7718151150</v>
      </c>
      <c r="F117" t="s">
        <v>54</v>
      </c>
      <c r="G117" t="s">
        <v>255</v>
      </c>
      <c r="H117" t="s">
        <v>256</v>
      </c>
      <c r="I117" t="s">
        <v>17</v>
      </c>
      <c r="J117" t="s">
        <v>18</v>
      </c>
    </row>
    <row r="118" spans="1:10" hidden="1" x14ac:dyDescent="0.25">
      <c r="A118" t="s">
        <v>11</v>
      </c>
      <c r="B118" t="str">
        <f>"2023/40/03/0034413/06"</f>
        <v>2023/40/03/0034413/06</v>
      </c>
      <c r="C118" t="s">
        <v>12</v>
      </c>
      <c r="D118" t="s">
        <v>122</v>
      </c>
      <c r="E118" t="str">
        <f t="shared" si="6"/>
        <v>7718151150</v>
      </c>
      <c r="F118" t="s">
        <v>54</v>
      </c>
      <c r="G118" t="s">
        <v>250</v>
      </c>
      <c r="H118" t="s">
        <v>257</v>
      </c>
      <c r="I118" t="s">
        <v>17</v>
      </c>
      <c r="J118" t="s">
        <v>18</v>
      </c>
    </row>
    <row r="119" spans="1:10" hidden="1" x14ac:dyDescent="0.25">
      <c r="A119" t="s">
        <v>11</v>
      </c>
      <c r="B119" t="str">
        <f>"2023/40/03/0034192/06"</f>
        <v>2023/40/03/0034192/06</v>
      </c>
      <c r="C119" t="s">
        <v>12</v>
      </c>
      <c r="D119" t="s">
        <v>122</v>
      </c>
      <c r="E119" t="str">
        <f t="shared" si="6"/>
        <v>7718151150</v>
      </c>
      <c r="F119" t="s">
        <v>54</v>
      </c>
      <c r="G119" t="s">
        <v>258</v>
      </c>
      <c r="H119" t="s">
        <v>259</v>
      </c>
      <c r="I119" t="s">
        <v>17</v>
      </c>
      <c r="J119" t="s">
        <v>18</v>
      </c>
    </row>
    <row r="120" spans="1:10" hidden="1" x14ac:dyDescent="0.25">
      <c r="A120" t="s">
        <v>11</v>
      </c>
      <c r="B120" t="str">
        <f>"28306057"</f>
        <v>28306057</v>
      </c>
      <c r="C120" t="s">
        <v>12</v>
      </c>
      <c r="D120" t="s">
        <v>122</v>
      </c>
      <c r="E120" t="str">
        <f>"7721793895"</f>
        <v>7721793895</v>
      </c>
      <c r="F120" t="s">
        <v>109</v>
      </c>
      <c r="G120" t="s">
        <v>260</v>
      </c>
      <c r="H120" t="s">
        <v>261</v>
      </c>
      <c r="I120" t="s">
        <v>17</v>
      </c>
      <c r="J120" t="s">
        <v>21</v>
      </c>
    </row>
    <row r="121" spans="1:10" hidden="1" x14ac:dyDescent="0.25">
      <c r="A121" t="s">
        <v>11</v>
      </c>
      <c r="B121" t="str">
        <f>"28122"</f>
        <v>28122</v>
      </c>
      <c r="C121" t="s">
        <v>65</v>
      </c>
      <c r="D121" t="s">
        <v>122</v>
      </c>
      <c r="E121" t="str">
        <f t="shared" ref="E121:E133" si="7">"7729488999"</f>
        <v>7729488999</v>
      </c>
      <c r="F121" t="s">
        <v>85</v>
      </c>
      <c r="G121" t="s">
        <v>262</v>
      </c>
      <c r="H121" t="s">
        <v>263</v>
      </c>
      <c r="I121" t="s">
        <v>17</v>
      </c>
      <c r="J121" t="s">
        <v>18</v>
      </c>
    </row>
    <row r="122" spans="1:10" hidden="1" x14ac:dyDescent="0.25">
      <c r="A122" t="s">
        <v>11</v>
      </c>
      <c r="B122" t="str">
        <f>"28102"</f>
        <v>28102</v>
      </c>
      <c r="C122" t="s">
        <v>65</v>
      </c>
      <c r="D122" t="s">
        <v>122</v>
      </c>
      <c r="E122" t="str">
        <f t="shared" si="7"/>
        <v>7729488999</v>
      </c>
      <c r="F122" t="s">
        <v>85</v>
      </c>
      <c r="G122" t="s">
        <v>264</v>
      </c>
      <c r="H122" t="s">
        <v>265</v>
      </c>
      <c r="I122" t="s">
        <v>17</v>
      </c>
      <c r="J122" t="s">
        <v>18</v>
      </c>
    </row>
    <row r="123" spans="1:10" hidden="1" x14ac:dyDescent="0.25">
      <c r="A123" t="s">
        <v>11</v>
      </c>
      <c r="B123" t="str">
        <f>"28069"</f>
        <v>28069</v>
      </c>
      <c r="C123" t="s">
        <v>65</v>
      </c>
      <c r="D123" t="s">
        <v>122</v>
      </c>
      <c r="E123" t="str">
        <f t="shared" si="7"/>
        <v>7729488999</v>
      </c>
      <c r="F123" t="s">
        <v>85</v>
      </c>
      <c r="G123" t="s">
        <v>266</v>
      </c>
      <c r="H123" t="s">
        <v>267</v>
      </c>
      <c r="I123" t="s">
        <v>17</v>
      </c>
      <c r="J123" t="s">
        <v>18</v>
      </c>
    </row>
    <row r="124" spans="1:10" hidden="1" x14ac:dyDescent="0.25">
      <c r="A124" t="s">
        <v>11</v>
      </c>
      <c r="B124" t="str">
        <f>"27884"</f>
        <v>27884</v>
      </c>
      <c r="C124" t="s">
        <v>12</v>
      </c>
      <c r="D124" t="s">
        <v>122</v>
      </c>
      <c r="E124" t="str">
        <f t="shared" si="7"/>
        <v>7729488999</v>
      </c>
      <c r="F124" t="s">
        <v>85</v>
      </c>
      <c r="G124" t="s">
        <v>268</v>
      </c>
      <c r="H124" t="s">
        <v>269</v>
      </c>
      <c r="I124" t="s">
        <v>17</v>
      </c>
      <c r="J124" t="s">
        <v>18</v>
      </c>
    </row>
    <row r="125" spans="1:10" hidden="1" x14ac:dyDescent="0.25">
      <c r="A125" t="s">
        <v>11</v>
      </c>
      <c r="B125" t="str">
        <f>"27843"</f>
        <v>27843</v>
      </c>
      <c r="C125" t="s">
        <v>12</v>
      </c>
      <c r="D125" t="s">
        <v>122</v>
      </c>
      <c r="E125" t="str">
        <f t="shared" si="7"/>
        <v>7729488999</v>
      </c>
      <c r="F125" t="s">
        <v>85</v>
      </c>
      <c r="G125" t="s">
        <v>270</v>
      </c>
      <c r="H125" t="s">
        <v>271</v>
      </c>
      <c r="I125" t="s">
        <v>17</v>
      </c>
      <c r="J125" t="s">
        <v>18</v>
      </c>
    </row>
    <row r="126" spans="1:10" hidden="1" x14ac:dyDescent="0.25">
      <c r="A126" t="s">
        <v>11</v>
      </c>
      <c r="B126" t="str">
        <f>"27836"</f>
        <v>27836</v>
      </c>
      <c r="C126" t="s">
        <v>12</v>
      </c>
      <c r="D126" t="s">
        <v>122</v>
      </c>
      <c r="E126" t="str">
        <f t="shared" si="7"/>
        <v>7729488999</v>
      </c>
      <c r="F126" t="s">
        <v>85</v>
      </c>
      <c r="G126" t="s">
        <v>272</v>
      </c>
      <c r="H126" t="s">
        <v>273</v>
      </c>
      <c r="I126" t="s">
        <v>17</v>
      </c>
      <c r="J126" t="s">
        <v>18</v>
      </c>
    </row>
    <row r="127" spans="1:10" hidden="1" x14ac:dyDescent="0.25">
      <c r="A127" t="s">
        <v>11</v>
      </c>
      <c r="B127" t="str">
        <f>"27834"</f>
        <v>27834</v>
      </c>
      <c r="C127" t="s">
        <v>12</v>
      </c>
      <c r="D127" t="s">
        <v>122</v>
      </c>
      <c r="E127" t="str">
        <f t="shared" si="7"/>
        <v>7729488999</v>
      </c>
      <c r="F127" t="s">
        <v>85</v>
      </c>
      <c r="G127" t="s">
        <v>274</v>
      </c>
      <c r="H127" t="s">
        <v>275</v>
      </c>
      <c r="I127" t="s">
        <v>17</v>
      </c>
      <c r="J127" t="s">
        <v>18</v>
      </c>
    </row>
    <row r="128" spans="1:10" hidden="1" x14ac:dyDescent="0.25">
      <c r="A128" t="s">
        <v>11</v>
      </c>
      <c r="B128" t="str">
        <f>"27832"</f>
        <v>27832</v>
      </c>
      <c r="C128" t="s">
        <v>12</v>
      </c>
      <c r="D128" t="s">
        <v>122</v>
      </c>
      <c r="E128" t="str">
        <f t="shared" si="7"/>
        <v>7729488999</v>
      </c>
      <c r="F128" t="s">
        <v>85</v>
      </c>
      <c r="G128" t="s">
        <v>276</v>
      </c>
      <c r="H128" t="s">
        <v>277</v>
      </c>
      <c r="I128" t="s">
        <v>17</v>
      </c>
      <c r="J128" t="s">
        <v>18</v>
      </c>
    </row>
    <row r="129" spans="1:10" hidden="1" x14ac:dyDescent="0.25">
      <c r="A129" t="s">
        <v>11</v>
      </c>
      <c r="B129" t="str">
        <f>"27824"</f>
        <v>27824</v>
      </c>
      <c r="C129" t="s">
        <v>12</v>
      </c>
      <c r="D129" t="s">
        <v>122</v>
      </c>
      <c r="E129" t="str">
        <f t="shared" si="7"/>
        <v>7729488999</v>
      </c>
      <c r="F129" t="s">
        <v>85</v>
      </c>
      <c r="G129" t="s">
        <v>278</v>
      </c>
      <c r="H129" t="s">
        <v>279</v>
      </c>
      <c r="I129" t="s">
        <v>17</v>
      </c>
      <c r="J129" t="s">
        <v>18</v>
      </c>
    </row>
    <row r="130" spans="1:10" hidden="1" x14ac:dyDescent="0.25">
      <c r="A130" t="s">
        <v>11</v>
      </c>
      <c r="B130" t="str">
        <f>"27823"</f>
        <v>27823</v>
      </c>
      <c r="C130" t="s">
        <v>12</v>
      </c>
      <c r="D130" t="s">
        <v>122</v>
      </c>
      <c r="E130" t="str">
        <f t="shared" si="7"/>
        <v>7729488999</v>
      </c>
      <c r="F130" t="s">
        <v>85</v>
      </c>
      <c r="G130" t="s">
        <v>280</v>
      </c>
      <c r="H130" t="s">
        <v>281</v>
      </c>
      <c r="I130" t="s">
        <v>17</v>
      </c>
      <c r="J130" t="s">
        <v>18</v>
      </c>
    </row>
    <row r="131" spans="1:10" hidden="1" x14ac:dyDescent="0.25">
      <c r="A131" t="s">
        <v>11</v>
      </c>
      <c r="B131" t="str">
        <f>"27746"</f>
        <v>27746</v>
      </c>
      <c r="C131" t="s">
        <v>12</v>
      </c>
      <c r="D131" t="s">
        <v>122</v>
      </c>
      <c r="E131" t="str">
        <f t="shared" si="7"/>
        <v>7729488999</v>
      </c>
      <c r="F131" t="s">
        <v>85</v>
      </c>
      <c r="G131" t="s">
        <v>282</v>
      </c>
      <c r="H131" t="s">
        <v>283</v>
      </c>
      <c r="I131" t="s">
        <v>17</v>
      </c>
      <c r="J131" t="s">
        <v>18</v>
      </c>
    </row>
    <row r="132" spans="1:10" hidden="1" x14ac:dyDescent="0.25">
      <c r="A132" t="s">
        <v>11</v>
      </c>
      <c r="B132" t="str">
        <f>"27735"</f>
        <v>27735</v>
      </c>
      <c r="C132" t="s">
        <v>12</v>
      </c>
      <c r="D132" t="s">
        <v>122</v>
      </c>
      <c r="E132" t="str">
        <f t="shared" si="7"/>
        <v>7729488999</v>
      </c>
      <c r="F132" t="s">
        <v>85</v>
      </c>
      <c r="G132" t="s">
        <v>284</v>
      </c>
      <c r="H132" t="s">
        <v>285</v>
      </c>
      <c r="I132" t="s">
        <v>17</v>
      </c>
      <c r="J132" t="s">
        <v>18</v>
      </c>
    </row>
    <row r="133" spans="1:10" hidden="1" x14ac:dyDescent="0.25">
      <c r="A133" t="s">
        <v>11</v>
      </c>
      <c r="B133" t="str">
        <f>"27724"</f>
        <v>27724</v>
      </c>
      <c r="C133" t="s">
        <v>12</v>
      </c>
      <c r="D133" t="s">
        <v>122</v>
      </c>
      <c r="E133" t="str">
        <f t="shared" si="7"/>
        <v>7729488999</v>
      </c>
      <c r="F133" t="s">
        <v>85</v>
      </c>
      <c r="G133" t="s">
        <v>286</v>
      </c>
      <c r="H133" t="s">
        <v>287</v>
      </c>
      <c r="I133" t="s">
        <v>17</v>
      </c>
      <c r="J133" t="s">
        <v>18</v>
      </c>
    </row>
    <row r="134" spans="1:10" hidden="1" x14ac:dyDescent="0.25">
      <c r="A134" t="s">
        <v>11</v>
      </c>
      <c r="B134" t="str">
        <f>"28309676"</f>
        <v>28309676</v>
      </c>
      <c r="C134" t="s">
        <v>12</v>
      </c>
      <c r="D134" t="s">
        <v>122</v>
      </c>
      <c r="E134" t="str">
        <f>"7721793895"</f>
        <v>7721793895</v>
      </c>
      <c r="F134" t="s">
        <v>109</v>
      </c>
      <c r="G134" t="s">
        <v>288</v>
      </c>
      <c r="H134" t="s">
        <v>289</v>
      </c>
      <c r="I134" t="s">
        <v>17</v>
      </c>
      <c r="J134" t="s">
        <v>21</v>
      </c>
    </row>
    <row r="135" spans="1:10" hidden="1" x14ac:dyDescent="0.25">
      <c r="A135" t="s">
        <v>290</v>
      </c>
      <c r="B135" t="str">
        <f>"30042023116"</f>
        <v>30042023116</v>
      </c>
      <c r="C135" t="s">
        <v>49</v>
      </c>
      <c r="D135" t="s">
        <v>122</v>
      </c>
      <c r="E135" t="str">
        <f>"7805545867"</f>
        <v>7805545867</v>
      </c>
      <c r="F135" t="s">
        <v>291</v>
      </c>
      <c r="G135" t="s">
        <v>292</v>
      </c>
      <c r="H135" t="s">
        <v>293</v>
      </c>
      <c r="I135" t="s">
        <v>17</v>
      </c>
      <c r="J135" t="s">
        <v>18</v>
      </c>
    </row>
    <row r="136" spans="1:10" hidden="1" x14ac:dyDescent="0.25">
      <c r="A136" t="s">
        <v>11</v>
      </c>
      <c r="B136" t="str">
        <f>"УТ-405-000075"</f>
        <v>УТ-405-000075</v>
      </c>
      <c r="C136" t="s">
        <v>100</v>
      </c>
      <c r="D136" t="s">
        <v>122</v>
      </c>
      <c r="E136" t="str">
        <f>"7839454551"</f>
        <v>7839454551</v>
      </c>
      <c r="F136" t="s">
        <v>57</v>
      </c>
      <c r="G136" t="s">
        <v>294</v>
      </c>
      <c r="H136" t="s">
        <v>295</v>
      </c>
      <c r="I136" t="s">
        <v>17</v>
      </c>
      <c r="J136" t="s">
        <v>18</v>
      </c>
    </row>
    <row r="137" spans="1:10" hidden="1" x14ac:dyDescent="0.25">
      <c r="A137" t="s">
        <v>11</v>
      </c>
      <c r="B137" t="str">
        <f>"УТ-405-000069"</f>
        <v>УТ-405-000069</v>
      </c>
      <c r="C137" t="s">
        <v>100</v>
      </c>
      <c r="D137" t="s">
        <v>122</v>
      </c>
      <c r="E137" t="str">
        <f>"7839454551"</f>
        <v>7839454551</v>
      </c>
      <c r="F137" t="s">
        <v>57</v>
      </c>
      <c r="G137" t="s">
        <v>296</v>
      </c>
      <c r="H137" t="s">
        <v>297</v>
      </c>
      <c r="I137" t="s">
        <v>17</v>
      </c>
      <c r="J137" t="s">
        <v>18</v>
      </c>
    </row>
    <row r="138" spans="1:10" hidden="1" x14ac:dyDescent="0.25">
      <c r="A138" t="s">
        <v>11</v>
      </c>
      <c r="B138" t="str">
        <f>"УТ-405-000068"</f>
        <v>УТ-405-000068</v>
      </c>
      <c r="C138" t="s">
        <v>100</v>
      </c>
      <c r="D138" t="s">
        <v>122</v>
      </c>
      <c r="E138" t="str">
        <f>"7839454551"</f>
        <v>7839454551</v>
      </c>
      <c r="F138" t="s">
        <v>57</v>
      </c>
      <c r="G138" t="s">
        <v>298</v>
      </c>
      <c r="H138" t="s">
        <v>299</v>
      </c>
      <c r="I138" t="s">
        <v>17</v>
      </c>
      <c r="J138" t="s">
        <v>18</v>
      </c>
    </row>
    <row r="139" spans="1:10" hidden="1" x14ac:dyDescent="0.25">
      <c r="A139" t="s">
        <v>11</v>
      </c>
      <c r="B139" t="str">
        <f>"УТ-1304-000027"</f>
        <v>УТ-1304-000027</v>
      </c>
      <c r="C139" t="s">
        <v>300</v>
      </c>
      <c r="D139" t="s">
        <v>122</v>
      </c>
      <c r="E139" t="str">
        <f>"7839454551"</f>
        <v>7839454551</v>
      </c>
      <c r="F139" t="s">
        <v>57</v>
      </c>
      <c r="G139" t="s">
        <v>301</v>
      </c>
      <c r="H139" t="s">
        <v>302</v>
      </c>
      <c r="I139" t="s">
        <v>17</v>
      </c>
      <c r="J139" t="s">
        <v>18</v>
      </c>
    </row>
    <row r="140" spans="1:10" hidden="1" x14ac:dyDescent="0.25">
      <c r="A140" t="s">
        <v>11</v>
      </c>
      <c r="B140" t="str">
        <f>"SR110023172"</f>
        <v>SR110023172</v>
      </c>
      <c r="C140" t="s">
        <v>65</v>
      </c>
      <c r="D140" t="s">
        <v>122</v>
      </c>
      <c r="E140" t="str">
        <f>"4725006920"</f>
        <v>4725006920</v>
      </c>
      <c r="F140" t="s">
        <v>101</v>
      </c>
      <c r="G140" t="s">
        <v>303</v>
      </c>
      <c r="H140" t="s">
        <v>304</v>
      </c>
      <c r="I140" t="s">
        <v>17</v>
      </c>
      <c r="J140" t="s">
        <v>18</v>
      </c>
    </row>
    <row r="141" spans="1:10" hidden="1" x14ac:dyDescent="0.25">
      <c r="A141" t="s">
        <v>11</v>
      </c>
      <c r="B141" t="str">
        <f>"151"</f>
        <v>151</v>
      </c>
      <c r="C141" t="s">
        <v>49</v>
      </c>
      <c r="D141" t="s">
        <v>122</v>
      </c>
      <c r="E141" t="str">
        <f>"7702392168"</f>
        <v>7702392168</v>
      </c>
      <c r="F141" t="s">
        <v>97</v>
      </c>
      <c r="G141" t="s">
        <v>305</v>
      </c>
      <c r="H141" t="s">
        <v>306</v>
      </c>
      <c r="I141" t="s">
        <v>17</v>
      </c>
      <c r="J141" t="s">
        <v>18</v>
      </c>
    </row>
    <row r="142" spans="1:10" hidden="1" x14ac:dyDescent="0.25">
      <c r="A142" t="s">
        <v>11</v>
      </c>
      <c r="B142" t="str">
        <f>"152604/780E"</f>
        <v>152604/780E</v>
      </c>
      <c r="C142" t="s">
        <v>100</v>
      </c>
      <c r="D142" t="s">
        <v>122</v>
      </c>
      <c r="E142" t="str">
        <f t="shared" ref="E142:E147" si="8">"5003052454"</f>
        <v>5003052454</v>
      </c>
      <c r="F142" t="s">
        <v>14</v>
      </c>
      <c r="G142" t="s">
        <v>307</v>
      </c>
      <c r="H142" t="s">
        <v>308</v>
      </c>
      <c r="I142" t="s">
        <v>17</v>
      </c>
      <c r="J142" t="s">
        <v>18</v>
      </c>
    </row>
    <row r="143" spans="1:10" hidden="1" x14ac:dyDescent="0.25">
      <c r="A143" t="s">
        <v>11</v>
      </c>
      <c r="B143" t="str">
        <f>"152605/780E"</f>
        <v>152605/780E</v>
      </c>
      <c r="C143" t="s">
        <v>100</v>
      </c>
      <c r="D143" t="s">
        <v>122</v>
      </c>
      <c r="E143" t="str">
        <f t="shared" si="8"/>
        <v>5003052454</v>
      </c>
      <c r="F143" t="s">
        <v>14</v>
      </c>
      <c r="G143" t="s">
        <v>309</v>
      </c>
      <c r="H143" t="s">
        <v>310</v>
      </c>
      <c r="I143" t="s">
        <v>17</v>
      </c>
      <c r="J143" t="s">
        <v>18</v>
      </c>
    </row>
    <row r="144" spans="1:10" hidden="1" x14ac:dyDescent="0.25">
      <c r="A144" t="s">
        <v>11</v>
      </c>
      <c r="B144" t="str">
        <f>"152606/780E"</f>
        <v>152606/780E</v>
      </c>
      <c r="C144" t="s">
        <v>100</v>
      </c>
      <c r="D144" t="s">
        <v>122</v>
      </c>
      <c r="E144" t="str">
        <f t="shared" si="8"/>
        <v>5003052454</v>
      </c>
      <c r="F144" t="s">
        <v>14</v>
      </c>
      <c r="G144" t="s">
        <v>311</v>
      </c>
      <c r="H144" t="s">
        <v>312</v>
      </c>
      <c r="I144" t="s">
        <v>17</v>
      </c>
      <c r="J144" t="s">
        <v>18</v>
      </c>
    </row>
    <row r="145" spans="1:10" hidden="1" x14ac:dyDescent="0.25">
      <c r="A145" t="s">
        <v>11</v>
      </c>
      <c r="B145" t="str">
        <f>"152607/780E"</f>
        <v>152607/780E</v>
      </c>
      <c r="C145" t="s">
        <v>100</v>
      </c>
      <c r="D145" t="s">
        <v>122</v>
      </c>
      <c r="E145" t="str">
        <f t="shared" si="8"/>
        <v>5003052454</v>
      </c>
      <c r="F145" t="s">
        <v>14</v>
      </c>
      <c r="G145" t="s">
        <v>313</v>
      </c>
      <c r="H145" t="s">
        <v>314</v>
      </c>
      <c r="I145" t="s">
        <v>17</v>
      </c>
      <c r="J145" t="s">
        <v>18</v>
      </c>
    </row>
    <row r="146" spans="1:10" hidden="1" x14ac:dyDescent="0.25">
      <c r="A146" t="s">
        <v>11</v>
      </c>
      <c r="B146" t="str">
        <f>"152609/780E"</f>
        <v>152609/780E</v>
      </c>
      <c r="C146" t="s">
        <v>100</v>
      </c>
      <c r="D146" t="s">
        <v>122</v>
      </c>
      <c r="E146" t="str">
        <f t="shared" si="8"/>
        <v>5003052454</v>
      </c>
      <c r="F146" t="s">
        <v>14</v>
      </c>
      <c r="G146" t="s">
        <v>315</v>
      </c>
      <c r="H146" t="s">
        <v>316</v>
      </c>
      <c r="I146" t="s">
        <v>17</v>
      </c>
      <c r="J146" t="s">
        <v>18</v>
      </c>
    </row>
    <row r="147" spans="1:10" hidden="1" x14ac:dyDescent="0.25">
      <c r="A147" t="s">
        <v>11</v>
      </c>
      <c r="B147" t="str">
        <f>"152608/780E"</f>
        <v>152608/780E</v>
      </c>
      <c r="C147" t="s">
        <v>100</v>
      </c>
      <c r="D147" t="s">
        <v>122</v>
      </c>
      <c r="E147" t="str">
        <f t="shared" si="8"/>
        <v>5003052454</v>
      </c>
      <c r="F147" t="s">
        <v>14</v>
      </c>
      <c r="G147" t="s">
        <v>317</v>
      </c>
      <c r="H147" t="s">
        <v>318</v>
      </c>
      <c r="I147" t="s">
        <v>17</v>
      </c>
      <c r="J147" t="s">
        <v>18</v>
      </c>
    </row>
    <row r="148" spans="1:10" hidden="1" x14ac:dyDescent="0.25">
      <c r="A148" t="s">
        <v>11</v>
      </c>
      <c r="B148" t="str">
        <f>"UT-108331"</f>
        <v>UT-108331</v>
      </c>
      <c r="C148" t="s">
        <v>100</v>
      </c>
      <c r="D148" t="s">
        <v>122</v>
      </c>
      <c r="E148" t="str">
        <f>"7806385951"</f>
        <v>7806385951</v>
      </c>
      <c r="F148" t="s">
        <v>26</v>
      </c>
      <c r="G148" t="s">
        <v>319</v>
      </c>
      <c r="H148" t="s">
        <v>320</v>
      </c>
      <c r="I148" t="s">
        <v>17</v>
      </c>
      <c r="J148" t="s">
        <v>18</v>
      </c>
    </row>
    <row r="149" spans="1:10" hidden="1" x14ac:dyDescent="0.25">
      <c r="A149" t="s">
        <v>11</v>
      </c>
      <c r="B149" t="str">
        <f>"28316444"</f>
        <v>28316444</v>
      </c>
      <c r="C149" t="s">
        <v>65</v>
      </c>
      <c r="D149" t="s">
        <v>122</v>
      </c>
      <c r="E149" t="str">
        <f>"7721793895"</f>
        <v>7721793895</v>
      </c>
      <c r="F149" t="s">
        <v>109</v>
      </c>
      <c r="G149" t="s">
        <v>321</v>
      </c>
      <c r="H149" t="s">
        <v>322</v>
      </c>
      <c r="I149" t="s">
        <v>17</v>
      </c>
      <c r="J149" t="s">
        <v>18</v>
      </c>
    </row>
    <row r="150" spans="1:10" hidden="1" x14ac:dyDescent="0.25">
      <c r="A150" t="s">
        <v>11</v>
      </c>
      <c r="B150" t="str">
        <f>"28317026"</f>
        <v>28317026</v>
      </c>
      <c r="C150" t="s">
        <v>65</v>
      </c>
      <c r="D150" t="s">
        <v>122</v>
      </c>
      <c r="E150" t="str">
        <f>"7721793895"</f>
        <v>7721793895</v>
      </c>
      <c r="F150" t="s">
        <v>109</v>
      </c>
      <c r="G150" t="s">
        <v>323</v>
      </c>
      <c r="H150" t="s">
        <v>324</v>
      </c>
      <c r="I150" t="s">
        <v>17</v>
      </c>
      <c r="J150" t="s">
        <v>21</v>
      </c>
    </row>
    <row r="151" spans="1:10" hidden="1" x14ac:dyDescent="0.25">
      <c r="A151" t="s">
        <v>11</v>
      </c>
      <c r="B151" t="str">
        <f>"UT-108210"</f>
        <v>UT-108210</v>
      </c>
      <c r="C151" t="s">
        <v>100</v>
      </c>
      <c r="D151" t="s">
        <v>122</v>
      </c>
      <c r="E151" t="str">
        <f>"7806385951"</f>
        <v>7806385951</v>
      </c>
      <c r="F151" t="s">
        <v>26</v>
      </c>
      <c r="G151" t="s">
        <v>325</v>
      </c>
      <c r="H151" t="s">
        <v>326</v>
      </c>
      <c r="I151" t="s">
        <v>17</v>
      </c>
      <c r="J151" t="s">
        <v>18</v>
      </c>
    </row>
    <row r="152" spans="1:10" hidden="1" x14ac:dyDescent="0.25">
      <c r="A152" t="s">
        <v>11</v>
      </c>
      <c r="B152" t="str">
        <f>"SR110023383"</f>
        <v>SR110023383</v>
      </c>
      <c r="C152" t="s">
        <v>100</v>
      </c>
      <c r="D152" t="s">
        <v>122</v>
      </c>
      <c r="E152" t="str">
        <f>"4725006920"</f>
        <v>4725006920</v>
      </c>
      <c r="F152" t="s">
        <v>101</v>
      </c>
      <c r="G152" t="s">
        <v>327</v>
      </c>
      <c r="H152" t="s">
        <v>328</v>
      </c>
      <c r="I152" t="s">
        <v>17</v>
      </c>
      <c r="J152" t="s">
        <v>18</v>
      </c>
    </row>
    <row r="153" spans="1:10" hidden="1" x14ac:dyDescent="0.25">
      <c r="A153" t="s">
        <v>11</v>
      </c>
      <c r="B153" t="str">
        <f>"UT-108211"</f>
        <v>UT-108211</v>
      </c>
      <c r="C153" t="s">
        <v>100</v>
      </c>
      <c r="D153" t="s">
        <v>122</v>
      </c>
      <c r="E153" t="str">
        <f>"7806385951"</f>
        <v>7806385951</v>
      </c>
      <c r="F153" t="s">
        <v>26</v>
      </c>
      <c r="G153" t="s">
        <v>329</v>
      </c>
      <c r="H153" t="s">
        <v>330</v>
      </c>
      <c r="I153" t="s">
        <v>17</v>
      </c>
      <c r="J153" t="s">
        <v>18</v>
      </c>
    </row>
    <row r="154" spans="1:10" hidden="1" x14ac:dyDescent="0.25">
      <c r="A154" t="s">
        <v>11</v>
      </c>
      <c r="B154" t="str">
        <f>"UT-108482"</f>
        <v>UT-108482</v>
      </c>
      <c r="C154" t="s">
        <v>100</v>
      </c>
      <c r="D154" t="s">
        <v>122</v>
      </c>
      <c r="E154" t="str">
        <f>"7806385951"</f>
        <v>7806385951</v>
      </c>
      <c r="F154" t="s">
        <v>26</v>
      </c>
      <c r="G154" t="s">
        <v>331</v>
      </c>
      <c r="H154" t="s">
        <v>332</v>
      </c>
      <c r="I154" t="s">
        <v>17</v>
      </c>
      <c r="J154" t="s">
        <v>18</v>
      </c>
    </row>
    <row r="155" spans="1:10" hidden="1" x14ac:dyDescent="0.25">
      <c r="A155" t="s">
        <v>11</v>
      </c>
      <c r="B155" t="str">
        <f>"UT-108483"</f>
        <v>UT-108483</v>
      </c>
      <c r="C155" t="s">
        <v>100</v>
      </c>
      <c r="D155" t="s">
        <v>122</v>
      </c>
      <c r="E155" t="str">
        <f>"7806385951"</f>
        <v>7806385951</v>
      </c>
      <c r="F155" t="s">
        <v>26</v>
      </c>
      <c r="G155" t="s">
        <v>333</v>
      </c>
      <c r="H155" t="s">
        <v>334</v>
      </c>
      <c r="I155" t="s">
        <v>17</v>
      </c>
      <c r="J155" t="s">
        <v>18</v>
      </c>
    </row>
    <row r="156" spans="1:10" x14ac:dyDescent="0.25">
      <c r="A156" t="s">
        <v>11</v>
      </c>
      <c r="B156" t="str">
        <f>"UT-108332"</f>
        <v>UT-108332</v>
      </c>
      <c r="C156" t="s">
        <v>100</v>
      </c>
      <c r="D156" t="s">
        <v>122</v>
      </c>
      <c r="E156" t="str">
        <f>"7806385951"</f>
        <v>7806385951</v>
      </c>
      <c r="F156" t="s">
        <v>26</v>
      </c>
      <c r="G156" t="s">
        <v>220</v>
      </c>
      <c r="H156" t="s">
        <v>335</v>
      </c>
      <c r="I156" t="s">
        <v>17</v>
      </c>
      <c r="J156" t="s">
        <v>166</v>
      </c>
    </row>
    <row r="157" spans="1:10" x14ac:dyDescent="0.25">
      <c r="A157" t="s">
        <v>11</v>
      </c>
      <c r="B157" t="str">
        <f>"UT-108481"</f>
        <v>UT-108481</v>
      </c>
      <c r="C157" t="s">
        <v>100</v>
      </c>
      <c r="D157" t="s">
        <v>122</v>
      </c>
      <c r="E157" t="str">
        <f>"7806385951"</f>
        <v>7806385951</v>
      </c>
      <c r="F157" t="s">
        <v>26</v>
      </c>
      <c r="G157" t="s">
        <v>220</v>
      </c>
      <c r="H157" t="s">
        <v>336</v>
      </c>
      <c r="I157" t="s">
        <v>17</v>
      </c>
      <c r="J157" t="s">
        <v>166</v>
      </c>
    </row>
    <row r="158" spans="1:10" hidden="1" x14ac:dyDescent="0.25">
      <c r="A158" t="s">
        <v>11</v>
      </c>
      <c r="B158" t="str">
        <f>"28330476"</f>
        <v>28330476</v>
      </c>
      <c r="C158" t="s">
        <v>65</v>
      </c>
      <c r="D158" t="s">
        <v>122</v>
      </c>
      <c r="E158" t="str">
        <f>"7721793895"</f>
        <v>7721793895</v>
      </c>
      <c r="F158" t="s">
        <v>109</v>
      </c>
      <c r="G158" t="s">
        <v>337</v>
      </c>
      <c r="H158" t="s">
        <v>338</v>
      </c>
      <c r="I158" t="s">
        <v>17</v>
      </c>
      <c r="J158" t="s">
        <v>21</v>
      </c>
    </row>
    <row r="159" spans="1:10" hidden="1" x14ac:dyDescent="0.25">
      <c r="A159" t="s">
        <v>11</v>
      </c>
      <c r="B159" t="str">
        <f>"28330856"</f>
        <v>28330856</v>
      </c>
      <c r="C159" t="s">
        <v>65</v>
      </c>
      <c r="D159" t="s">
        <v>122</v>
      </c>
      <c r="E159" t="str">
        <f>"7721793895"</f>
        <v>7721793895</v>
      </c>
      <c r="F159" t="s">
        <v>109</v>
      </c>
      <c r="G159" t="s">
        <v>339</v>
      </c>
      <c r="H159" t="s">
        <v>340</v>
      </c>
      <c r="I159" t="s">
        <v>17</v>
      </c>
      <c r="J159" t="s">
        <v>21</v>
      </c>
    </row>
    <row r="160" spans="1:10" hidden="1" x14ac:dyDescent="0.25">
      <c r="A160" t="s">
        <v>11</v>
      </c>
      <c r="B160" t="str">
        <f>"7810/8174463762"</f>
        <v>7810/8174463762</v>
      </c>
      <c r="C160" t="s">
        <v>100</v>
      </c>
      <c r="D160" t="s">
        <v>122</v>
      </c>
      <c r="E160" t="str">
        <f>"5032260402"</f>
        <v>5032260402</v>
      </c>
      <c r="F160" t="s">
        <v>341</v>
      </c>
      <c r="G160" t="s">
        <v>342</v>
      </c>
      <c r="H160" t="s">
        <v>343</v>
      </c>
      <c r="I160" t="s">
        <v>17</v>
      </c>
      <c r="J160" t="s">
        <v>18</v>
      </c>
    </row>
    <row r="161" spans="1:10" hidden="1" x14ac:dyDescent="0.25">
      <c r="A161" t="s">
        <v>11</v>
      </c>
      <c r="B161" t="str">
        <f>"2023/40/03/0034949/06"</f>
        <v>2023/40/03/0034949/06</v>
      </c>
      <c r="C161" t="s">
        <v>65</v>
      </c>
      <c r="D161" t="s">
        <v>122</v>
      </c>
      <c r="E161" t="str">
        <f>"7718151150"</f>
        <v>7718151150</v>
      </c>
      <c r="F161" t="s">
        <v>54</v>
      </c>
      <c r="G161" t="s">
        <v>255</v>
      </c>
      <c r="H161" t="s">
        <v>344</v>
      </c>
      <c r="I161" t="s">
        <v>17</v>
      </c>
      <c r="J161" t="s">
        <v>18</v>
      </c>
    </row>
    <row r="162" spans="1:10" hidden="1" x14ac:dyDescent="0.25">
      <c r="A162" t="s">
        <v>11</v>
      </c>
      <c r="B162" t="str">
        <f>"2023/40/03/0034831/06"</f>
        <v>2023/40/03/0034831/06</v>
      </c>
      <c r="C162" t="s">
        <v>65</v>
      </c>
      <c r="D162" t="s">
        <v>122</v>
      </c>
      <c r="E162" t="str">
        <f>"7718151150"</f>
        <v>7718151150</v>
      </c>
      <c r="F162" t="s">
        <v>54</v>
      </c>
      <c r="G162" t="s">
        <v>345</v>
      </c>
      <c r="H162" t="s">
        <v>346</v>
      </c>
      <c r="I162" t="s">
        <v>17</v>
      </c>
      <c r="J162" t="s">
        <v>18</v>
      </c>
    </row>
    <row r="163" spans="1:10" hidden="1" x14ac:dyDescent="0.25">
      <c r="A163" t="s">
        <v>11</v>
      </c>
      <c r="B163" t="str">
        <f>"28334408"</f>
        <v>28334408</v>
      </c>
      <c r="C163" t="s">
        <v>65</v>
      </c>
      <c r="D163" t="s">
        <v>122</v>
      </c>
      <c r="E163" t="str">
        <f>"7721793895"</f>
        <v>7721793895</v>
      </c>
      <c r="F163" t="s">
        <v>109</v>
      </c>
      <c r="G163" t="s">
        <v>347</v>
      </c>
      <c r="H163" t="s">
        <v>348</v>
      </c>
      <c r="I163" t="s">
        <v>17</v>
      </c>
      <c r="J163" t="s">
        <v>21</v>
      </c>
    </row>
    <row r="164" spans="1:10" hidden="1" x14ac:dyDescent="0.25">
      <c r="A164" t="s">
        <v>11</v>
      </c>
      <c r="B164" t="str">
        <f>"28334424"</f>
        <v>28334424</v>
      </c>
      <c r="C164" t="s">
        <v>65</v>
      </c>
      <c r="D164" t="s">
        <v>122</v>
      </c>
      <c r="E164" t="str">
        <f>"7721793895"</f>
        <v>7721793895</v>
      </c>
      <c r="F164" t="s">
        <v>109</v>
      </c>
      <c r="G164" t="s">
        <v>349</v>
      </c>
      <c r="H164" t="s">
        <v>350</v>
      </c>
      <c r="I164" t="s">
        <v>17</v>
      </c>
      <c r="J164" t="s">
        <v>18</v>
      </c>
    </row>
    <row r="165" spans="1:10" hidden="1" x14ac:dyDescent="0.25">
      <c r="A165" t="s">
        <v>11</v>
      </c>
      <c r="B165" t="str">
        <f>"105"</f>
        <v>105</v>
      </c>
      <c r="C165" t="s">
        <v>49</v>
      </c>
      <c r="D165" t="s">
        <v>122</v>
      </c>
      <c r="E165" t="str">
        <f>"7743128596"</f>
        <v>7743128596</v>
      </c>
      <c r="F165" t="s">
        <v>351</v>
      </c>
      <c r="G165" t="s">
        <v>352</v>
      </c>
      <c r="H165" t="s">
        <v>353</v>
      </c>
      <c r="I165" t="s">
        <v>17</v>
      </c>
      <c r="J165" t="s">
        <v>18</v>
      </c>
    </row>
    <row r="166" spans="1:10" hidden="1" x14ac:dyDescent="0.25">
      <c r="A166" t="s">
        <v>11</v>
      </c>
      <c r="B166" t="str">
        <f>"28337328"</f>
        <v>28337328</v>
      </c>
      <c r="C166" t="s">
        <v>65</v>
      </c>
      <c r="D166" t="s">
        <v>122</v>
      </c>
      <c r="E166" t="str">
        <f>"7721793895"</f>
        <v>7721793895</v>
      </c>
      <c r="F166" t="s">
        <v>109</v>
      </c>
      <c r="G166" t="s">
        <v>354</v>
      </c>
      <c r="H166" t="s">
        <v>355</v>
      </c>
      <c r="I166" t="s">
        <v>17</v>
      </c>
      <c r="J166" t="s">
        <v>18</v>
      </c>
    </row>
    <row r="167" spans="1:10" hidden="1" x14ac:dyDescent="0.25">
      <c r="A167" t="s">
        <v>11</v>
      </c>
      <c r="B167" t="str">
        <f>"28340219"</f>
        <v>28340219</v>
      </c>
      <c r="C167" t="s">
        <v>65</v>
      </c>
      <c r="D167" t="s">
        <v>122</v>
      </c>
      <c r="E167" t="str">
        <f>"7721793895"</f>
        <v>7721793895</v>
      </c>
      <c r="F167" t="s">
        <v>109</v>
      </c>
      <c r="G167" t="s">
        <v>356</v>
      </c>
      <c r="H167" t="s">
        <v>357</v>
      </c>
      <c r="I167" t="s">
        <v>17</v>
      </c>
      <c r="J167" t="s">
        <v>18</v>
      </c>
    </row>
    <row r="168" spans="1:10" hidden="1" x14ac:dyDescent="0.25">
      <c r="A168" t="s">
        <v>11</v>
      </c>
      <c r="B168" t="str">
        <f>"28340812"</f>
        <v>28340812</v>
      </c>
      <c r="C168" t="s">
        <v>65</v>
      </c>
      <c r="D168" t="s">
        <v>122</v>
      </c>
      <c r="E168" t="str">
        <f>"7721793895"</f>
        <v>7721793895</v>
      </c>
      <c r="F168" t="s">
        <v>109</v>
      </c>
      <c r="G168" t="s">
        <v>358</v>
      </c>
      <c r="H168" t="s">
        <v>359</v>
      </c>
      <c r="I168" t="s">
        <v>17</v>
      </c>
      <c r="J168" t="s">
        <v>18</v>
      </c>
    </row>
    <row r="169" spans="1:10" hidden="1" x14ac:dyDescent="0.25">
      <c r="A169" t="s">
        <v>11</v>
      </c>
      <c r="B169" t="str">
        <f>"28955"</f>
        <v>28955</v>
      </c>
      <c r="C169" t="s">
        <v>106</v>
      </c>
      <c r="D169" t="s">
        <v>122</v>
      </c>
      <c r="E169" t="str">
        <f>"7729488999"</f>
        <v>7729488999</v>
      </c>
      <c r="F169" t="s">
        <v>85</v>
      </c>
      <c r="G169" t="s">
        <v>360</v>
      </c>
      <c r="H169" t="s">
        <v>361</v>
      </c>
      <c r="I169" t="s">
        <v>17</v>
      </c>
      <c r="J169" t="s">
        <v>18</v>
      </c>
    </row>
    <row r="170" spans="1:10" hidden="1" x14ac:dyDescent="0.25">
      <c r="A170" t="s">
        <v>11</v>
      </c>
      <c r="B170" t="str">
        <f>"UT-109650"</f>
        <v>UT-109650</v>
      </c>
      <c r="C170" t="s">
        <v>106</v>
      </c>
      <c r="D170" t="s">
        <v>122</v>
      </c>
      <c r="E170" t="str">
        <f>"7806385951"</f>
        <v>7806385951</v>
      </c>
      <c r="F170" t="s">
        <v>26</v>
      </c>
      <c r="G170" t="s">
        <v>362</v>
      </c>
      <c r="H170" t="s">
        <v>363</v>
      </c>
      <c r="I170" t="s">
        <v>17</v>
      </c>
      <c r="J170" t="s">
        <v>18</v>
      </c>
    </row>
    <row r="171" spans="1:10" hidden="1" x14ac:dyDescent="0.25">
      <c r="A171" t="s">
        <v>11</v>
      </c>
      <c r="B171" t="str">
        <f>"UT-109795"</f>
        <v>UT-109795</v>
      </c>
      <c r="C171" t="s">
        <v>106</v>
      </c>
      <c r="D171" t="s">
        <v>122</v>
      </c>
      <c r="E171" t="str">
        <f>"7806385951"</f>
        <v>7806385951</v>
      </c>
      <c r="F171" t="s">
        <v>26</v>
      </c>
      <c r="G171" t="s">
        <v>364</v>
      </c>
      <c r="H171" t="s">
        <v>365</v>
      </c>
      <c r="I171" t="s">
        <v>17</v>
      </c>
      <c r="J171" t="s">
        <v>18</v>
      </c>
    </row>
    <row r="172" spans="1:10" hidden="1" x14ac:dyDescent="0.25">
      <c r="A172" t="s">
        <v>11</v>
      </c>
      <c r="B172" t="str">
        <f>"UT-109796"</f>
        <v>UT-109796</v>
      </c>
      <c r="C172" t="s">
        <v>106</v>
      </c>
      <c r="D172" t="s">
        <v>122</v>
      </c>
      <c r="E172" t="str">
        <f>"7806385951"</f>
        <v>7806385951</v>
      </c>
      <c r="F172" t="s">
        <v>26</v>
      </c>
      <c r="G172" t="s">
        <v>366</v>
      </c>
      <c r="H172" t="s">
        <v>367</v>
      </c>
      <c r="I172" t="s">
        <v>17</v>
      </c>
      <c r="J172" t="s">
        <v>18</v>
      </c>
    </row>
    <row r="173" spans="1:10" x14ac:dyDescent="0.25">
      <c r="A173" t="s">
        <v>11</v>
      </c>
      <c r="B173" t="str">
        <f>"UT-109648"</f>
        <v>UT-109648</v>
      </c>
      <c r="C173" t="s">
        <v>106</v>
      </c>
      <c r="D173" t="s">
        <v>122</v>
      </c>
      <c r="E173" t="str">
        <f>"7806385951"</f>
        <v>7806385951</v>
      </c>
      <c r="F173" t="s">
        <v>26</v>
      </c>
      <c r="G173" t="s">
        <v>368</v>
      </c>
      <c r="H173" t="s">
        <v>369</v>
      </c>
      <c r="I173" t="s">
        <v>17</v>
      </c>
      <c r="J173" t="s">
        <v>166</v>
      </c>
    </row>
    <row r="174" spans="1:10" hidden="1" x14ac:dyDescent="0.25">
      <c r="A174" t="s">
        <v>11</v>
      </c>
      <c r="B174" t="str">
        <f>"28348094"</f>
        <v>28348094</v>
      </c>
      <c r="C174" t="s">
        <v>100</v>
      </c>
      <c r="D174" t="s">
        <v>122</v>
      </c>
      <c r="E174" t="str">
        <f>"7721793895"</f>
        <v>7721793895</v>
      </c>
      <c r="F174" t="s">
        <v>109</v>
      </c>
      <c r="G174" t="s">
        <v>370</v>
      </c>
      <c r="H174" t="s">
        <v>371</v>
      </c>
      <c r="I174" t="s">
        <v>17</v>
      </c>
      <c r="J174" t="s">
        <v>21</v>
      </c>
    </row>
    <row r="175" spans="1:10" hidden="1" x14ac:dyDescent="0.25">
      <c r="A175" t="s">
        <v>11</v>
      </c>
      <c r="B175" t="str">
        <f>"28348354"</f>
        <v>28348354</v>
      </c>
      <c r="C175" t="s">
        <v>100</v>
      </c>
      <c r="D175" t="s">
        <v>122</v>
      </c>
      <c r="E175" t="str">
        <f>"7721793895"</f>
        <v>7721793895</v>
      </c>
      <c r="F175" t="s">
        <v>109</v>
      </c>
      <c r="G175" t="s">
        <v>372</v>
      </c>
      <c r="H175" t="s">
        <v>373</v>
      </c>
      <c r="I175" t="s">
        <v>17</v>
      </c>
      <c r="J175" t="s">
        <v>21</v>
      </c>
    </row>
    <row r="176" spans="1:10" hidden="1" x14ac:dyDescent="0.25">
      <c r="A176" t="s">
        <v>11</v>
      </c>
      <c r="B176" t="str">
        <f>"28348591"</f>
        <v>28348591</v>
      </c>
      <c r="C176" t="s">
        <v>100</v>
      </c>
      <c r="D176" t="s">
        <v>122</v>
      </c>
      <c r="E176" t="str">
        <f>"7721793895"</f>
        <v>7721793895</v>
      </c>
      <c r="F176" t="s">
        <v>109</v>
      </c>
      <c r="G176" t="s">
        <v>374</v>
      </c>
      <c r="H176" t="s">
        <v>375</v>
      </c>
      <c r="I176" t="s">
        <v>17</v>
      </c>
      <c r="J176" t="s">
        <v>21</v>
      </c>
    </row>
    <row r="177" spans="1:10" hidden="1" x14ac:dyDescent="0.25">
      <c r="A177" t="s">
        <v>11</v>
      </c>
      <c r="B177" t="str">
        <f>"28348688"</f>
        <v>28348688</v>
      </c>
      <c r="C177" t="s">
        <v>100</v>
      </c>
      <c r="D177" t="s">
        <v>122</v>
      </c>
      <c r="E177" t="str">
        <f>"7721793895"</f>
        <v>7721793895</v>
      </c>
      <c r="F177" t="s">
        <v>109</v>
      </c>
      <c r="G177" t="s">
        <v>376</v>
      </c>
      <c r="H177" t="s">
        <v>377</v>
      </c>
      <c r="I177" t="s">
        <v>17</v>
      </c>
      <c r="J177" t="s">
        <v>21</v>
      </c>
    </row>
    <row r="178" spans="1:10" hidden="1" x14ac:dyDescent="0.25">
      <c r="A178" t="s">
        <v>11</v>
      </c>
      <c r="B178" t="str">
        <f>"UT-109647"</f>
        <v>UT-109647</v>
      </c>
      <c r="C178" t="s">
        <v>106</v>
      </c>
      <c r="D178" t="s">
        <v>122</v>
      </c>
      <c r="E178" t="str">
        <f>"7806385951"</f>
        <v>7806385951</v>
      </c>
      <c r="F178" t="s">
        <v>26</v>
      </c>
      <c r="G178" t="s">
        <v>378</v>
      </c>
      <c r="H178" t="s">
        <v>379</v>
      </c>
      <c r="I178" t="s">
        <v>17</v>
      </c>
      <c r="J178" t="s">
        <v>18</v>
      </c>
    </row>
    <row r="179" spans="1:10" hidden="1" x14ac:dyDescent="0.25">
      <c r="A179" t="s">
        <v>11</v>
      </c>
      <c r="B179" t="str">
        <f>"UT-109824"</f>
        <v>UT-109824</v>
      </c>
      <c r="C179" t="s">
        <v>106</v>
      </c>
      <c r="D179" t="s">
        <v>122</v>
      </c>
      <c r="E179" t="str">
        <f>"7806385951"</f>
        <v>7806385951</v>
      </c>
      <c r="F179" t="s">
        <v>26</v>
      </c>
      <c r="G179" t="s">
        <v>380</v>
      </c>
      <c r="H179" t="s">
        <v>381</v>
      </c>
      <c r="I179" t="s">
        <v>17</v>
      </c>
      <c r="J179" t="s">
        <v>18</v>
      </c>
    </row>
    <row r="180" spans="1:10" hidden="1" x14ac:dyDescent="0.25">
      <c r="A180" t="s">
        <v>11</v>
      </c>
      <c r="B180" t="str">
        <f>"SR110023572"</f>
        <v>SR110023572</v>
      </c>
      <c r="C180" t="s">
        <v>106</v>
      </c>
      <c r="D180" t="s">
        <v>122</v>
      </c>
      <c r="E180" t="str">
        <f>"4725006920"</f>
        <v>4725006920</v>
      </c>
      <c r="F180" t="s">
        <v>101</v>
      </c>
      <c r="G180" t="s">
        <v>382</v>
      </c>
      <c r="H180" t="s">
        <v>383</v>
      </c>
      <c r="I180" t="s">
        <v>17</v>
      </c>
      <c r="J180" t="s">
        <v>18</v>
      </c>
    </row>
    <row r="181" spans="1:10" hidden="1" x14ac:dyDescent="0.25">
      <c r="A181" t="s">
        <v>11</v>
      </c>
      <c r="B181" t="str">
        <f>"SR110023570"</f>
        <v>SR110023570</v>
      </c>
      <c r="C181" t="s">
        <v>106</v>
      </c>
      <c r="D181" t="s">
        <v>122</v>
      </c>
      <c r="E181" t="str">
        <f>"4725006920"</f>
        <v>4725006920</v>
      </c>
      <c r="F181" t="s">
        <v>101</v>
      </c>
      <c r="G181" t="s">
        <v>384</v>
      </c>
      <c r="H181" t="s">
        <v>385</v>
      </c>
      <c r="I181" t="s">
        <v>17</v>
      </c>
      <c r="J181" t="s">
        <v>18</v>
      </c>
    </row>
    <row r="182" spans="1:10" hidden="1" x14ac:dyDescent="0.25">
      <c r="A182" t="s">
        <v>11</v>
      </c>
      <c r="B182" t="str">
        <f>"28362987"</f>
        <v>28362987</v>
      </c>
      <c r="C182" t="s">
        <v>100</v>
      </c>
      <c r="D182" t="s">
        <v>122</v>
      </c>
      <c r="E182" t="str">
        <f>"7721793895"</f>
        <v>7721793895</v>
      </c>
      <c r="F182" t="s">
        <v>109</v>
      </c>
      <c r="G182" t="s">
        <v>386</v>
      </c>
      <c r="H182" t="s">
        <v>387</v>
      </c>
      <c r="I182" t="s">
        <v>17</v>
      </c>
      <c r="J182" t="s">
        <v>388</v>
      </c>
    </row>
    <row r="183" spans="1:10" hidden="1" x14ac:dyDescent="0.25">
      <c r="A183" t="s">
        <v>11</v>
      </c>
      <c r="B183" t="str">
        <f>"7810/8174514012"</f>
        <v>7810/8174514012</v>
      </c>
      <c r="C183" t="s">
        <v>106</v>
      </c>
      <c r="D183" t="s">
        <v>122</v>
      </c>
      <c r="E183" t="str">
        <f>"5032260402"</f>
        <v>5032260402</v>
      </c>
      <c r="F183" t="s">
        <v>341</v>
      </c>
      <c r="G183" t="s">
        <v>389</v>
      </c>
      <c r="H183" t="s">
        <v>390</v>
      </c>
      <c r="I183" t="s">
        <v>17</v>
      </c>
      <c r="J183" t="s">
        <v>18</v>
      </c>
    </row>
    <row r="184" spans="1:10" hidden="1" x14ac:dyDescent="0.25">
      <c r="A184" t="s">
        <v>11</v>
      </c>
      <c r="B184" t="str">
        <f>"7810/8174512629"</f>
        <v>7810/8174512629</v>
      </c>
      <c r="C184" t="s">
        <v>106</v>
      </c>
      <c r="D184" t="s">
        <v>122</v>
      </c>
      <c r="E184" t="str">
        <f>"5032260402"</f>
        <v>5032260402</v>
      </c>
      <c r="F184" t="s">
        <v>341</v>
      </c>
      <c r="G184" t="s">
        <v>391</v>
      </c>
      <c r="H184" t="s">
        <v>392</v>
      </c>
      <c r="I184" t="s">
        <v>17</v>
      </c>
      <c r="J184" t="s">
        <v>18</v>
      </c>
    </row>
    <row r="185" spans="1:10" hidden="1" x14ac:dyDescent="0.25">
      <c r="A185" t="s">
        <v>11</v>
      </c>
      <c r="B185" t="str">
        <f>"7810/8174517754"</f>
        <v>7810/8174517754</v>
      </c>
      <c r="C185" t="s">
        <v>106</v>
      </c>
      <c r="D185" t="s">
        <v>122</v>
      </c>
      <c r="E185" t="str">
        <f>"5032260402"</f>
        <v>5032260402</v>
      </c>
      <c r="F185" t="s">
        <v>341</v>
      </c>
      <c r="G185" t="s">
        <v>393</v>
      </c>
      <c r="H185" t="s">
        <v>394</v>
      </c>
      <c r="I185" t="s">
        <v>17</v>
      </c>
      <c r="J185" t="s">
        <v>18</v>
      </c>
    </row>
    <row r="186" spans="1:10" hidden="1" x14ac:dyDescent="0.25">
      <c r="A186" t="s">
        <v>11</v>
      </c>
      <c r="B186" t="str">
        <f>"УТР0167685"</f>
        <v>УТР0167685</v>
      </c>
      <c r="C186" t="s">
        <v>106</v>
      </c>
      <c r="D186" t="s">
        <v>122</v>
      </c>
      <c r="E186" t="str">
        <f t="shared" ref="E186:E191" si="9">"7804044258"</f>
        <v>7804044258</v>
      </c>
      <c r="F186" t="s">
        <v>155</v>
      </c>
      <c r="G186" t="s">
        <v>395</v>
      </c>
      <c r="H186" t="s">
        <v>396</v>
      </c>
      <c r="I186" t="s">
        <v>17</v>
      </c>
      <c r="J186" t="s">
        <v>18</v>
      </c>
    </row>
    <row r="187" spans="1:10" hidden="1" x14ac:dyDescent="0.25">
      <c r="A187" t="s">
        <v>11</v>
      </c>
      <c r="B187" t="str">
        <f>"УТР0167684"</f>
        <v>УТР0167684</v>
      </c>
      <c r="C187" t="s">
        <v>106</v>
      </c>
      <c r="D187" t="s">
        <v>122</v>
      </c>
      <c r="E187" t="str">
        <f t="shared" si="9"/>
        <v>7804044258</v>
      </c>
      <c r="F187" t="s">
        <v>155</v>
      </c>
      <c r="G187" t="s">
        <v>397</v>
      </c>
      <c r="H187" t="s">
        <v>398</v>
      </c>
      <c r="I187" t="s">
        <v>17</v>
      </c>
      <c r="J187" t="s">
        <v>18</v>
      </c>
    </row>
    <row r="188" spans="1:10" hidden="1" x14ac:dyDescent="0.25">
      <c r="A188" t="s">
        <v>11</v>
      </c>
      <c r="B188" t="str">
        <f>"УТР0167537"</f>
        <v>УТР0167537</v>
      </c>
      <c r="C188" t="s">
        <v>106</v>
      </c>
      <c r="D188" t="s">
        <v>122</v>
      </c>
      <c r="E188" t="str">
        <f t="shared" si="9"/>
        <v>7804044258</v>
      </c>
      <c r="F188" t="s">
        <v>155</v>
      </c>
      <c r="G188" t="s">
        <v>399</v>
      </c>
      <c r="H188" t="s">
        <v>400</v>
      </c>
      <c r="I188" t="s">
        <v>17</v>
      </c>
      <c r="J188" t="s">
        <v>18</v>
      </c>
    </row>
    <row r="189" spans="1:10" hidden="1" x14ac:dyDescent="0.25">
      <c r="A189" t="s">
        <v>11</v>
      </c>
      <c r="B189" t="str">
        <f>"УТР0167536"</f>
        <v>УТР0167536</v>
      </c>
      <c r="C189" t="s">
        <v>106</v>
      </c>
      <c r="D189" t="s">
        <v>122</v>
      </c>
      <c r="E189" t="str">
        <f t="shared" si="9"/>
        <v>7804044258</v>
      </c>
      <c r="F189" t="s">
        <v>155</v>
      </c>
      <c r="G189" t="s">
        <v>401</v>
      </c>
      <c r="H189" t="s">
        <v>402</v>
      </c>
      <c r="I189" t="s">
        <v>17</v>
      </c>
      <c r="J189" t="s">
        <v>18</v>
      </c>
    </row>
    <row r="190" spans="1:10" hidden="1" x14ac:dyDescent="0.25">
      <c r="A190" t="s">
        <v>11</v>
      </c>
      <c r="B190" t="str">
        <f>"УТР0167513"</f>
        <v>УТР0167513</v>
      </c>
      <c r="C190" t="s">
        <v>106</v>
      </c>
      <c r="D190" t="s">
        <v>122</v>
      </c>
      <c r="E190" t="str">
        <f t="shared" si="9"/>
        <v>7804044258</v>
      </c>
      <c r="F190" t="s">
        <v>155</v>
      </c>
      <c r="G190" t="s">
        <v>403</v>
      </c>
      <c r="H190" t="s">
        <v>404</v>
      </c>
      <c r="I190" t="s">
        <v>17</v>
      </c>
      <c r="J190" t="s">
        <v>18</v>
      </c>
    </row>
    <row r="191" spans="1:10" hidden="1" x14ac:dyDescent="0.25">
      <c r="A191" t="s">
        <v>11</v>
      </c>
      <c r="B191" t="str">
        <f>"УТР0167512"</f>
        <v>УТР0167512</v>
      </c>
      <c r="C191" t="s">
        <v>106</v>
      </c>
      <c r="D191" t="s">
        <v>122</v>
      </c>
      <c r="E191" t="str">
        <f t="shared" si="9"/>
        <v>7804044258</v>
      </c>
      <c r="F191" t="s">
        <v>155</v>
      </c>
      <c r="G191" t="s">
        <v>405</v>
      </c>
      <c r="H191" t="s">
        <v>406</v>
      </c>
      <c r="I191" t="s">
        <v>17</v>
      </c>
      <c r="J191" t="s">
        <v>18</v>
      </c>
    </row>
    <row r="192" spans="1:10" hidden="1" x14ac:dyDescent="0.25">
      <c r="A192" t="s">
        <v>11</v>
      </c>
      <c r="B192" t="str">
        <f>"30/00159844-23"</f>
        <v>30/00159844-23</v>
      </c>
      <c r="C192" t="s">
        <v>106</v>
      </c>
      <c r="D192" t="s">
        <v>122</v>
      </c>
      <c r="E192" t="str">
        <f>"7705034202"</f>
        <v>7705034202</v>
      </c>
      <c r="F192" t="s">
        <v>407</v>
      </c>
      <c r="G192" t="s">
        <v>408</v>
      </c>
      <c r="H192" t="s">
        <v>409</v>
      </c>
      <c r="I192" t="s">
        <v>17</v>
      </c>
      <c r="J192" t="s">
        <v>18</v>
      </c>
    </row>
    <row r="193" spans="1:10" hidden="1" x14ac:dyDescent="0.25">
      <c r="A193" t="s">
        <v>11</v>
      </c>
      <c r="B193" t="str">
        <f>"2023/40/03/0035257/06"</f>
        <v>2023/40/03/0035257/06</v>
      </c>
      <c r="C193" t="s">
        <v>100</v>
      </c>
      <c r="D193" t="s">
        <v>122</v>
      </c>
      <c r="E193" t="str">
        <f>"7718151150"</f>
        <v>7718151150</v>
      </c>
      <c r="F193" t="s">
        <v>54</v>
      </c>
      <c r="G193" t="s">
        <v>410</v>
      </c>
      <c r="H193" t="s">
        <v>411</v>
      </c>
      <c r="I193" t="s">
        <v>17</v>
      </c>
      <c r="J193" t="s">
        <v>18</v>
      </c>
    </row>
    <row r="194" spans="1:10" hidden="1" x14ac:dyDescent="0.25">
      <c r="A194" t="s">
        <v>11</v>
      </c>
      <c r="B194" t="str">
        <f>"2023/40/03/0035304/06"</f>
        <v>2023/40/03/0035304/06</v>
      </c>
      <c r="C194" t="s">
        <v>100</v>
      </c>
      <c r="D194" t="s">
        <v>122</v>
      </c>
      <c r="E194" t="str">
        <f>"7718151150"</f>
        <v>7718151150</v>
      </c>
      <c r="F194" t="s">
        <v>54</v>
      </c>
      <c r="G194" t="s">
        <v>410</v>
      </c>
      <c r="H194" t="s">
        <v>412</v>
      </c>
      <c r="I194" t="s">
        <v>17</v>
      </c>
      <c r="J194" t="s">
        <v>18</v>
      </c>
    </row>
    <row r="195" spans="1:10" hidden="1" x14ac:dyDescent="0.25">
      <c r="A195" t="s">
        <v>11</v>
      </c>
      <c r="B195" t="str">
        <f>"2023/40/03/0035289/06"</f>
        <v>2023/40/03/0035289/06</v>
      </c>
      <c r="C195" t="s">
        <v>100</v>
      </c>
      <c r="D195" t="s">
        <v>122</v>
      </c>
      <c r="E195" t="str">
        <f>"7718151150"</f>
        <v>7718151150</v>
      </c>
      <c r="F195" t="s">
        <v>54</v>
      </c>
      <c r="G195" t="s">
        <v>345</v>
      </c>
      <c r="H195" t="s">
        <v>413</v>
      </c>
      <c r="I195" t="s">
        <v>17</v>
      </c>
      <c r="J195" t="s">
        <v>18</v>
      </c>
    </row>
    <row r="196" spans="1:10" hidden="1" x14ac:dyDescent="0.25">
      <c r="A196" t="s">
        <v>11</v>
      </c>
      <c r="B196" t="str">
        <f>"UT-109649"</f>
        <v>UT-109649</v>
      </c>
      <c r="C196" t="s">
        <v>106</v>
      </c>
      <c r="D196" t="s">
        <v>122</v>
      </c>
      <c r="E196" t="str">
        <f>"7806385951"</f>
        <v>7806385951</v>
      </c>
      <c r="F196" t="s">
        <v>26</v>
      </c>
      <c r="G196" t="s">
        <v>414</v>
      </c>
      <c r="H196" t="s">
        <v>415</v>
      </c>
      <c r="I196" t="s">
        <v>17</v>
      </c>
      <c r="J196" t="s">
        <v>18</v>
      </c>
    </row>
    <row r="197" spans="1:10" hidden="1" x14ac:dyDescent="0.25">
      <c r="A197" t="s">
        <v>11</v>
      </c>
      <c r="B197" t="str">
        <f>"АРРО0505/05"</f>
        <v>АРРО0505/05</v>
      </c>
      <c r="C197" t="s">
        <v>106</v>
      </c>
      <c r="D197" t="s">
        <v>122</v>
      </c>
      <c r="E197" t="str">
        <f>"7735126034"</f>
        <v>7735126034</v>
      </c>
      <c r="F197" t="s">
        <v>131</v>
      </c>
      <c r="G197" t="s">
        <v>416</v>
      </c>
      <c r="H197" t="s">
        <v>417</v>
      </c>
      <c r="I197" t="s">
        <v>17</v>
      </c>
      <c r="J197" t="s">
        <v>18</v>
      </c>
    </row>
    <row r="198" spans="1:10" hidden="1" x14ac:dyDescent="0.25">
      <c r="A198" t="s">
        <v>11</v>
      </c>
      <c r="B198" t="str">
        <f>"SR110023667"</f>
        <v>SR110023667</v>
      </c>
      <c r="C198" t="s">
        <v>106</v>
      </c>
      <c r="D198" t="s">
        <v>122</v>
      </c>
      <c r="E198" t="str">
        <f>"4725006920"</f>
        <v>4725006920</v>
      </c>
      <c r="F198" t="s">
        <v>101</v>
      </c>
      <c r="G198" t="s">
        <v>418</v>
      </c>
      <c r="H198" t="s">
        <v>419</v>
      </c>
      <c r="I198" t="s">
        <v>17</v>
      </c>
      <c r="J198" t="s">
        <v>18</v>
      </c>
    </row>
    <row r="199" spans="1:10" hidden="1" x14ac:dyDescent="0.25">
      <c r="A199" t="s">
        <v>11</v>
      </c>
      <c r="B199" t="str">
        <f>"УТ-605-000113"</f>
        <v>УТ-605-000113</v>
      </c>
      <c r="C199" t="s">
        <v>420</v>
      </c>
      <c r="D199" t="s">
        <v>122</v>
      </c>
      <c r="E199" t="str">
        <f>"7839454551"</f>
        <v>7839454551</v>
      </c>
      <c r="F199" t="s">
        <v>57</v>
      </c>
      <c r="G199" t="s">
        <v>421</v>
      </c>
      <c r="H199" t="s">
        <v>422</v>
      </c>
      <c r="I199" t="s">
        <v>17</v>
      </c>
      <c r="J199" t="s">
        <v>18</v>
      </c>
    </row>
    <row r="200" spans="1:10" hidden="1" x14ac:dyDescent="0.25">
      <c r="A200" t="s">
        <v>11</v>
      </c>
      <c r="B200" t="str">
        <f>"УТ-605-000110"</f>
        <v>УТ-605-000110</v>
      </c>
      <c r="C200" t="s">
        <v>420</v>
      </c>
      <c r="D200" t="s">
        <v>122</v>
      </c>
      <c r="E200" t="str">
        <f>"7839454551"</f>
        <v>7839454551</v>
      </c>
      <c r="F200" t="s">
        <v>57</v>
      </c>
      <c r="G200" t="s">
        <v>423</v>
      </c>
      <c r="H200" t="s">
        <v>424</v>
      </c>
      <c r="I200" t="s">
        <v>17</v>
      </c>
      <c r="J200" t="s">
        <v>18</v>
      </c>
    </row>
    <row r="201" spans="1:10" hidden="1" x14ac:dyDescent="0.25">
      <c r="A201" t="s">
        <v>11</v>
      </c>
      <c r="B201" t="str">
        <f>"SR110023964"</f>
        <v>SR110023964</v>
      </c>
      <c r="C201" t="s">
        <v>420</v>
      </c>
      <c r="D201" t="s">
        <v>122</v>
      </c>
      <c r="E201" t="str">
        <f>"4725006920"</f>
        <v>4725006920</v>
      </c>
      <c r="F201" t="s">
        <v>101</v>
      </c>
      <c r="G201" t="s">
        <v>425</v>
      </c>
      <c r="H201" t="s">
        <v>426</v>
      </c>
      <c r="I201" t="s">
        <v>17</v>
      </c>
      <c r="J201" t="s">
        <v>18</v>
      </c>
    </row>
    <row r="202" spans="1:10" hidden="1" x14ac:dyDescent="0.25">
      <c r="A202" t="s">
        <v>11</v>
      </c>
      <c r="B202" t="str">
        <f>"SR110023841"</f>
        <v>SR110023841</v>
      </c>
      <c r="C202" t="s">
        <v>420</v>
      </c>
      <c r="D202" t="s">
        <v>122</v>
      </c>
      <c r="E202" t="str">
        <f>"4725006920"</f>
        <v>4725006920</v>
      </c>
      <c r="F202" t="s">
        <v>101</v>
      </c>
      <c r="G202" t="s">
        <v>427</v>
      </c>
      <c r="H202" t="s">
        <v>428</v>
      </c>
      <c r="I202" t="s">
        <v>17</v>
      </c>
      <c r="J202" t="s">
        <v>18</v>
      </c>
    </row>
    <row r="203" spans="1:10" hidden="1" x14ac:dyDescent="0.25">
      <c r="A203" t="s">
        <v>11</v>
      </c>
      <c r="B203" t="str">
        <f>"SR110023840"</f>
        <v>SR110023840</v>
      </c>
      <c r="C203" t="s">
        <v>420</v>
      </c>
      <c r="D203" t="s">
        <v>122</v>
      </c>
      <c r="E203" t="str">
        <f>"4725006920"</f>
        <v>4725006920</v>
      </c>
      <c r="F203" t="s">
        <v>101</v>
      </c>
      <c r="G203" t="s">
        <v>427</v>
      </c>
      <c r="H203" t="s">
        <v>429</v>
      </c>
      <c r="I203" t="s">
        <v>17</v>
      </c>
      <c r="J203" t="s">
        <v>18</v>
      </c>
    </row>
    <row r="204" spans="1:10" hidden="1" x14ac:dyDescent="0.25">
      <c r="A204" t="s">
        <v>11</v>
      </c>
      <c r="B204" t="str">
        <f>"SR110024008"</f>
        <v>SR110024008</v>
      </c>
      <c r="C204" t="s">
        <v>420</v>
      </c>
      <c r="D204" t="s">
        <v>122</v>
      </c>
      <c r="E204" t="str">
        <f>"4725006920"</f>
        <v>4725006920</v>
      </c>
      <c r="F204" t="s">
        <v>101</v>
      </c>
      <c r="G204" t="s">
        <v>430</v>
      </c>
      <c r="H204" t="s">
        <v>431</v>
      </c>
      <c r="I204" t="s">
        <v>17</v>
      </c>
      <c r="J204" t="s">
        <v>18</v>
      </c>
    </row>
    <row r="205" spans="1:10" hidden="1" x14ac:dyDescent="0.25">
      <c r="A205" t="s">
        <v>11</v>
      </c>
      <c r="B205" t="str">
        <f>"SR110024077"</f>
        <v>SR110024077</v>
      </c>
      <c r="C205" t="s">
        <v>119</v>
      </c>
      <c r="D205" t="s">
        <v>122</v>
      </c>
      <c r="E205" t="str">
        <f>"4725006920"</f>
        <v>4725006920</v>
      </c>
      <c r="F205" t="s">
        <v>101</v>
      </c>
      <c r="G205" t="s">
        <v>432</v>
      </c>
      <c r="H205" t="s">
        <v>433</v>
      </c>
      <c r="I205" t="s">
        <v>17</v>
      </c>
      <c r="J205" t="s">
        <v>18</v>
      </c>
    </row>
    <row r="206" spans="1:10" hidden="1" x14ac:dyDescent="0.25">
      <c r="A206" t="s">
        <v>11</v>
      </c>
      <c r="B206" t="str">
        <f>"ПЕВЛ0501/03"</f>
        <v>ПЕВЛ0501/03</v>
      </c>
      <c r="C206" t="s">
        <v>53</v>
      </c>
      <c r="D206" t="s">
        <v>434</v>
      </c>
      <c r="E206" t="str">
        <f>"7735126034"</f>
        <v>7735126034</v>
      </c>
      <c r="F206" t="s">
        <v>131</v>
      </c>
      <c r="G206" t="s">
        <v>435</v>
      </c>
      <c r="H206" t="s">
        <v>436</v>
      </c>
      <c r="I206" t="s">
        <v>17</v>
      </c>
      <c r="J206" t="s">
        <v>18</v>
      </c>
    </row>
    <row r="207" spans="1:10" hidden="1" x14ac:dyDescent="0.25">
      <c r="A207" t="s">
        <v>11</v>
      </c>
      <c r="B207" t="str">
        <f>"56421/160E"</f>
        <v>56421/160E</v>
      </c>
      <c r="C207" t="s">
        <v>12</v>
      </c>
      <c r="D207" t="s">
        <v>434</v>
      </c>
      <c r="E207" t="str">
        <f t="shared" ref="E207:E214" si="10">"5003052454"</f>
        <v>5003052454</v>
      </c>
      <c r="F207" t="s">
        <v>14</v>
      </c>
      <c r="G207" t="s">
        <v>437</v>
      </c>
      <c r="H207" t="s">
        <v>438</v>
      </c>
      <c r="I207" t="s">
        <v>17</v>
      </c>
      <c r="J207" t="s">
        <v>18</v>
      </c>
    </row>
    <row r="208" spans="1:10" hidden="1" x14ac:dyDescent="0.25">
      <c r="A208" t="s">
        <v>11</v>
      </c>
      <c r="B208" t="str">
        <f>"56422/160E"</f>
        <v>56422/160E</v>
      </c>
      <c r="C208" t="s">
        <v>12</v>
      </c>
      <c r="D208" t="s">
        <v>434</v>
      </c>
      <c r="E208" t="str">
        <f t="shared" si="10"/>
        <v>5003052454</v>
      </c>
      <c r="F208" t="s">
        <v>14</v>
      </c>
      <c r="G208" t="s">
        <v>439</v>
      </c>
      <c r="H208" t="s">
        <v>440</v>
      </c>
      <c r="I208" t="s">
        <v>17</v>
      </c>
      <c r="J208" t="s">
        <v>18</v>
      </c>
    </row>
    <row r="209" spans="1:10" hidden="1" x14ac:dyDescent="0.25">
      <c r="A209" t="s">
        <v>11</v>
      </c>
      <c r="B209" t="str">
        <f>"56423/160E"</f>
        <v>56423/160E</v>
      </c>
      <c r="C209" t="s">
        <v>12</v>
      </c>
      <c r="D209" t="s">
        <v>434</v>
      </c>
      <c r="E209" t="str">
        <f t="shared" si="10"/>
        <v>5003052454</v>
      </c>
      <c r="F209" t="s">
        <v>14</v>
      </c>
      <c r="G209" t="s">
        <v>441</v>
      </c>
      <c r="H209" t="s">
        <v>442</v>
      </c>
      <c r="I209" t="s">
        <v>17</v>
      </c>
      <c r="J209" t="s">
        <v>18</v>
      </c>
    </row>
    <row r="210" spans="1:10" hidden="1" x14ac:dyDescent="0.25">
      <c r="A210" t="s">
        <v>11</v>
      </c>
      <c r="B210" t="str">
        <f>"56424/160E"</f>
        <v>56424/160E</v>
      </c>
      <c r="C210" t="s">
        <v>12</v>
      </c>
      <c r="D210" t="s">
        <v>434</v>
      </c>
      <c r="E210" t="str">
        <f t="shared" si="10"/>
        <v>5003052454</v>
      </c>
      <c r="F210" t="s">
        <v>14</v>
      </c>
      <c r="G210" t="s">
        <v>443</v>
      </c>
      <c r="H210" t="s">
        <v>444</v>
      </c>
      <c r="I210" t="s">
        <v>17</v>
      </c>
      <c r="J210" t="s">
        <v>18</v>
      </c>
    </row>
    <row r="211" spans="1:10" hidden="1" x14ac:dyDescent="0.25">
      <c r="A211" t="s">
        <v>11</v>
      </c>
      <c r="B211" t="str">
        <f>"56425/160E"</f>
        <v>56425/160E</v>
      </c>
      <c r="C211" t="s">
        <v>12</v>
      </c>
      <c r="D211" t="s">
        <v>434</v>
      </c>
      <c r="E211" t="str">
        <f t="shared" si="10"/>
        <v>5003052454</v>
      </c>
      <c r="F211" t="s">
        <v>14</v>
      </c>
      <c r="G211" t="s">
        <v>441</v>
      </c>
      <c r="H211" t="s">
        <v>445</v>
      </c>
      <c r="I211" t="s">
        <v>17</v>
      </c>
      <c r="J211" t="s">
        <v>18</v>
      </c>
    </row>
    <row r="212" spans="1:10" hidden="1" x14ac:dyDescent="0.25">
      <c r="A212" t="s">
        <v>11</v>
      </c>
      <c r="B212" t="str">
        <f>"56426/160E"</f>
        <v>56426/160E</v>
      </c>
      <c r="C212" t="s">
        <v>12</v>
      </c>
      <c r="D212" t="s">
        <v>434</v>
      </c>
      <c r="E212" t="str">
        <f t="shared" si="10"/>
        <v>5003052454</v>
      </c>
      <c r="F212" t="s">
        <v>14</v>
      </c>
      <c r="G212" t="s">
        <v>439</v>
      </c>
      <c r="H212" t="s">
        <v>446</v>
      </c>
      <c r="I212" t="s">
        <v>17</v>
      </c>
      <c r="J212" t="s">
        <v>18</v>
      </c>
    </row>
    <row r="213" spans="1:10" hidden="1" x14ac:dyDescent="0.25">
      <c r="A213" t="s">
        <v>11</v>
      </c>
      <c r="B213" t="str">
        <f>"56427/160E"</f>
        <v>56427/160E</v>
      </c>
      <c r="C213" t="s">
        <v>12</v>
      </c>
      <c r="D213" t="s">
        <v>434</v>
      </c>
      <c r="E213" t="str">
        <f t="shared" si="10"/>
        <v>5003052454</v>
      </c>
      <c r="F213" t="s">
        <v>14</v>
      </c>
      <c r="G213" t="s">
        <v>443</v>
      </c>
      <c r="H213" t="s">
        <v>447</v>
      </c>
      <c r="I213" t="s">
        <v>17</v>
      </c>
      <c r="J213" t="s">
        <v>18</v>
      </c>
    </row>
    <row r="214" spans="1:10" hidden="1" x14ac:dyDescent="0.25">
      <c r="A214" t="s">
        <v>11</v>
      </c>
      <c r="B214" t="str">
        <f>"56432/160E"</f>
        <v>56432/160E</v>
      </c>
      <c r="C214" t="s">
        <v>12</v>
      </c>
      <c r="D214" t="s">
        <v>434</v>
      </c>
      <c r="E214" t="str">
        <f t="shared" si="10"/>
        <v>5003052454</v>
      </c>
      <c r="F214" t="s">
        <v>14</v>
      </c>
      <c r="G214" t="s">
        <v>441</v>
      </c>
      <c r="H214" t="s">
        <v>448</v>
      </c>
      <c r="I214" t="s">
        <v>17</v>
      </c>
      <c r="J214" t="s">
        <v>18</v>
      </c>
    </row>
    <row r="215" spans="1:10" hidden="1" x14ac:dyDescent="0.25">
      <c r="A215" t="s">
        <v>11</v>
      </c>
      <c r="B215" t="str">
        <f>"UT-105873"</f>
        <v>UT-105873</v>
      </c>
      <c r="C215" t="s">
        <v>12</v>
      </c>
      <c r="D215" t="s">
        <v>434</v>
      </c>
      <c r="E215" t="str">
        <f t="shared" ref="E215:E224" si="11">"7806385951"</f>
        <v>7806385951</v>
      </c>
      <c r="F215" t="s">
        <v>26</v>
      </c>
      <c r="G215" t="s">
        <v>449</v>
      </c>
      <c r="H215" t="s">
        <v>450</v>
      </c>
      <c r="I215" t="s">
        <v>17</v>
      </c>
      <c r="J215" t="s">
        <v>18</v>
      </c>
    </row>
    <row r="216" spans="1:10" hidden="1" x14ac:dyDescent="0.25">
      <c r="A216" t="s">
        <v>11</v>
      </c>
      <c r="B216" t="str">
        <f>"UT-105256"</f>
        <v>UT-105256</v>
      </c>
      <c r="C216" t="s">
        <v>12</v>
      </c>
      <c r="D216" t="s">
        <v>434</v>
      </c>
      <c r="E216" t="str">
        <f t="shared" si="11"/>
        <v>7806385951</v>
      </c>
      <c r="F216" t="s">
        <v>26</v>
      </c>
      <c r="G216" t="s">
        <v>451</v>
      </c>
      <c r="H216" t="s">
        <v>452</v>
      </c>
      <c r="I216" t="s">
        <v>17</v>
      </c>
      <c r="J216" t="s">
        <v>18</v>
      </c>
    </row>
    <row r="217" spans="1:10" hidden="1" x14ac:dyDescent="0.25">
      <c r="A217" t="s">
        <v>11</v>
      </c>
      <c r="B217" t="str">
        <f>"UT-105285"</f>
        <v>UT-105285</v>
      </c>
      <c r="C217" t="s">
        <v>12</v>
      </c>
      <c r="D217" t="s">
        <v>434</v>
      </c>
      <c r="E217" t="str">
        <f t="shared" si="11"/>
        <v>7806385951</v>
      </c>
      <c r="F217" t="s">
        <v>26</v>
      </c>
      <c r="G217" t="s">
        <v>453</v>
      </c>
      <c r="H217" t="s">
        <v>454</v>
      </c>
      <c r="I217" t="s">
        <v>17</v>
      </c>
      <c r="J217" t="s">
        <v>18</v>
      </c>
    </row>
    <row r="218" spans="1:10" hidden="1" x14ac:dyDescent="0.25">
      <c r="A218" t="s">
        <v>11</v>
      </c>
      <c r="B218" t="str">
        <f>"UT-105334"</f>
        <v>UT-105334</v>
      </c>
      <c r="C218" t="s">
        <v>12</v>
      </c>
      <c r="D218" t="s">
        <v>434</v>
      </c>
      <c r="E218" t="str">
        <f t="shared" si="11"/>
        <v>7806385951</v>
      </c>
      <c r="F218" t="s">
        <v>26</v>
      </c>
      <c r="G218" t="s">
        <v>455</v>
      </c>
      <c r="H218" t="s">
        <v>456</v>
      </c>
      <c r="I218" t="s">
        <v>17</v>
      </c>
      <c r="J218" t="s">
        <v>18</v>
      </c>
    </row>
    <row r="219" spans="1:10" hidden="1" x14ac:dyDescent="0.25">
      <c r="A219" t="s">
        <v>11</v>
      </c>
      <c r="B219" t="str">
        <f>"UT-105336"</f>
        <v>UT-105336</v>
      </c>
      <c r="C219" t="s">
        <v>12</v>
      </c>
      <c r="D219" t="s">
        <v>434</v>
      </c>
      <c r="E219" t="str">
        <f t="shared" si="11"/>
        <v>7806385951</v>
      </c>
      <c r="F219" t="s">
        <v>26</v>
      </c>
      <c r="G219" t="s">
        <v>457</v>
      </c>
      <c r="H219" t="s">
        <v>458</v>
      </c>
      <c r="I219" t="s">
        <v>17</v>
      </c>
      <c r="J219" t="s">
        <v>18</v>
      </c>
    </row>
    <row r="220" spans="1:10" hidden="1" x14ac:dyDescent="0.25">
      <c r="A220" t="s">
        <v>11</v>
      </c>
      <c r="B220" t="str">
        <f>"UT-105339"</f>
        <v>UT-105339</v>
      </c>
      <c r="C220" t="s">
        <v>12</v>
      </c>
      <c r="D220" t="s">
        <v>434</v>
      </c>
      <c r="E220" t="str">
        <f t="shared" si="11"/>
        <v>7806385951</v>
      </c>
      <c r="F220" t="s">
        <v>26</v>
      </c>
      <c r="G220" t="s">
        <v>459</v>
      </c>
      <c r="H220" t="s">
        <v>460</v>
      </c>
      <c r="I220" t="s">
        <v>17</v>
      </c>
      <c r="J220" t="s">
        <v>18</v>
      </c>
    </row>
    <row r="221" spans="1:10" hidden="1" x14ac:dyDescent="0.25">
      <c r="A221" t="s">
        <v>11</v>
      </c>
      <c r="B221" t="str">
        <f>"UT-105342"</f>
        <v>UT-105342</v>
      </c>
      <c r="C221" t="s">
        <v>12</v>
      </c>
      <c r="D221" t="s">
        <v>434</v>
      </c>
      <c r="E221" t="str">
        <f t="shared" si="11"/>
        <v>7806385951</v>
      </c>
      <c r="F221" t="s">
        <v>26</v>
      </c>
      <c r="G221" t="s">
        <v>461</v>
      </c>
      <c r="H221" t="s">
        <v>462</v>
      </c>
      <c r="I221" t="s">
        <v>17</v>
      </c>
      <c r="J221" t="s">
        <v>18</v>
      </c>
    </row>
    <row r="222" spans="1:10" hidden="1" x14ac:dyDescent="0.25">
      <c r="A222" t="s">
        <v>11</v>
      </c>
      <c r="B222" t="str">
        <f>"UT-105422"</f>
        <v>UT-105422</v>
      </c>
      <c r="C222" t="s">
        <v>12</v>
      </c>
      <c r="D222" t="s">
        <v>434</v>
      </c>
      <c r="E222" t="str">
        <f t="shared" si="11"/>
        <v>7806385951</v>
      </c>
      <c r="F222" t="s">
        <v>26</v>
      </c>
      <c r="G222" t="s">
        <v>463</v>
      </c>
      <c r="H222" t="s">
        <v>464</v>
      </c>
      <c r="I222" t="s">
        <v>17</v>
      </c>
      <c r="J222" t="s">
        <v>18</v>
      </c>
    </row>
    <row r="223" spans="1:10" hidden="1" x14ac:dyDescent="0.25">
      <c r="A223" t="s">
        <v>11</v>
      </c>
      <c r="B223" t="str">
        <f>"UT-105423"</f>
        <v>UT-105423</v>
      </c>
      <c r="C223" t="s">
        <v>12</v>
      </c>
      <c r="D223" t="s">
        <v>434</v>
      </c>
      <c r="E223" t="str">
        <f t="shared" si="11"/>
        <v>7806385951</v>
      </c>
      <c r="F223" t="s">
        <v>26</v>
      </c>
      <c r="G223" t="s">
        <v>465</v>
      </c>
      <c r="H223" t="s">
        <v>466</v>
      </c>
      <c r="I223" t="s">
        <v>17</v>
      </c>
      <c r="J223" t="s">
        <v>18</v>
      </c>
    </row>
    <row r="224" spans="1:10" hidden="1" x14ac:dyDescent="0.25">
      <c r="A224" t="s">
        <v>11</v>
      </c>
      <c r="B224" t="str">
        <f>"UT-105424"</f>
        <v>UT-105424</v>
      </c>
      <c r="C224" t="s">
        <v>12</v>
      </c>
      <c r="D224" t="s">
        <v>434</v>
      </c>
      <c r="E224" t="str">
        <f t="shared" si="11"/>
        <v>7806385951</v>
      </c>
      <c r="F224" t="s">
        <v>26</v>
      </c>
      <c r="G224" t="s">
        <v>467</v>
      </c>
      <c r="H224" t="s">
        <v>468</v>
      </c>
      <c r="I224" t="s">
        <v>17</v>
      </c>
      <c r="J224" t="s">
        <v>18</v>
      </c>
    </row>
    <row r="225" spans="1:10" hidden="1" x14ac:dyDescent="0.25">
      <c r="A225" t="s">
        <v>11</v>
      </c>
      <c r="B225" t="str">
        <f>"ПЕВЛ0501/07"</f>
        <v>ПЕВЛ0501/07</v>
      </c>
      <c r="C225" t="s">
        <v>53</v>
      </c>
      <c r="D225" t="s">
        <v>434</v>
      </c>
      <c r="E225" t="str">
        <f>"7735126034"</f>
        <v>7735126034</v>
      </c>
      <c r="F225" t="s">
        <v>131</v>
      </c>
      <c r="G225" t="s">
        <v>469</v>
      </c>
      <c r="H225" t="s">
        <v>470</v>
      </c>
      <c r="I225" t="s">
        <v>17</v>
      </c>
      <c r="J225" t="s">
        <v>18</v>
      </c>
    </row>
    <row r="226" spans="1:10" hidden="1" x14ac:dyDescent="0.25">
      <c r="A226" t="s">
        <v>11</v>
      </c>
      <c r="B226" t="str">
        <f>"МгПЛГ-1220300140"</f>
        <v>МгПЛГ-1220300140</v>
      </c>
      <c r="C226" t="s">
        <v>12</v>
      </c>
      <c r="D226" t="s">
        <v>434</v>
      </c>
      <c r="E226" t="str">
        <f>"1650232480"</f>
        <v>1650232480</v>
      </c>
      <c r="F226" t="s">
        <v>471</v>
      </c>
      <c r="G226" t="s">
        <v>472</v>
      </c>
      <c r="H226" t="s">
        <v>473</v>
      </c>
      <c r="I226" t="s">
        <v>17</v>
      </c>
      <c r="J226" t="s">
        <v>18</v>
      </c>
    </row>
    <row r="227" spans="1:10" hidden="1" x14ac:dyDescent="0.25">
      <c r="A227" t="s">
        <v>11</v>
      </c>
      <c r="B227" t="str">
        <f>"56307/160E"</f>
        <v>56307/160E</v>
      </c>
      <c r="C227" t="s">
        <v>12</v>
      </c>
      <c r="D227" t="s">
        <v>434</v>
      </c>
      <c r="E227" t="str">
        <f t="shared" ref="E227:E241" si="12">"5003052454"</f>
        <v>5003052454</v>
      </c>
      <c r="F227" t="s">
        <v>14</v>
      </c>
      <c r="G227" t="s">
        <v>474</v>
      </c>
      <c r="H227" t="s">
        <v>475</v>
      </c>
      <c r="I227" t="s">
        <v>17</v>
      </c>
      <c r="J227" t="s">
        <v>18</v>
      </c>
    </row>
    <row r="228" spans="1:10" hidden="1" x14ac:dyDescent="0.25">
      <c r="A228" t="s">
        <v>11</v>
      </c>
      <c r="B228" t="str">
        <f>"56309/160E"</f>
        <v>56309/160E</v>
      </c>
      <c r="C228" t="s">
        <v>12</v>
      </c>
      <c r="D228" t="s">
        <v>434</v>
      </c>
      <c r="E228" t="str">
        <f t="shared" si="12"/>
        <v>5003052454</v>
      </c>
      <c r="F228" t="s">
        <v>14</v>
      </c>
      <c r="G228" t="s">
        <v>476</v>
      </c>
      <c r="H228" t="s">
        <v>477</v>
      </c>
      <c r="I228" t="s">
        <v>17</v>
      </c>
      <c r="J228" t="s">
        <v>18</v>
      </c>
    </row>
    <row r="229" spans="1:10" hidden="1" x14ac:dyDescent="0.25">
      <c r="A229" t="s">
        <v>11</v>
      </c>
      <c r="B229" t="str">
        <f>"56316/160E"</f>
        <v>56316/160E</v>
      </c>
      <c r="C229" t="s">
        <v>12</v>
      </c>
      <c r="D229" t="s">
        <v>434</v>
      </c>
      <c r="E229" t="str">
        <f t="shared" si="12"/>
        <v>5003052454</v>
      </c>
      <c r="F229" t="s">
        <v>14</v>
      </c>
      <c r="G229" t="s">
        <v>478</v>
      </c>
      <c r="H229" t="s">
        <v>479</v>
      </c>
      <c r="I229" t="s">
        <v>17</v>
      </c>
      <c r="J229" t="s">
        <v>18</v>
      </c>
    </row>
    <row r="230" spans="1:10" hidden="1" x14ac:dyDescent="0.25">
      <c r="A230" t="s">
        <v>11</v>
      </c>
      <c r="B230" t="str">
        <f>"56312/160E"</f>
        <v>56312/160E</v>
      </c>
      <c r="C230" t="s">
        <v>12</v>
      </c>
      <c r="D230" t="s">
        <v>434</v>
      </c>
      <c r="E230" t="str">
        <f t="shared" si="12"/>
        <v>5003052454</v>
      </c>
      <c r="F230" t="s">
        <v>14</v>
      </c>
      <c r="G230" t="s">
        <v>480</v>
      </c>
      <c r="H230" t="s">
        <v>481</v>
      </c>
      <c r="I230" t="s">
        <v>17</v>
      </c>
      <c r="J230" t="s">
        <v>18</v>
      </c>
    </row>
    <row r="231" spans="1:10" hidden="1" x14ac:dyDescent="0.25">
      <c r="A231" t="s">
        <v>11</v>
      </c>
      <c r="B231" t="str">
        <f>"56319/160E"</f>
        <v>56319/160E</v>
      </c>
      <c r="C231" t="s">
        <v>12</v>
      </c>
      <c r="D231" t="s">
        <v>434</v>
      </c>
      <c r="E231" t="str">
        <f t="shared" si="12"/>
        <v>5003052454</v>
      </c>
      <c r="F231" t="s">
        <v>14</v>
      </c>
      <c r="G231" t="s">
        <v>482</v>
      </c>
      <c r="H231" t="s">
        <v>483</v>
      </c>
      <c r="I231" t="s">
        <v>17</v>
      </c>
      <c r="J231" t="s">
        <v>18</v>
      </c>
    </row>
    <row r="232" spans="1:10" hidden="1" x14ac:dyDescent="0.25">
      <c r="A232" t="s">
        <v>11</v>
      </c>
      <c r="B232" t="str">
        <f>"56314/160E"</f>
        <v>56314/160E</v>
      </c>
      <c r="C232" t="s">
        <v>12</v>
      </c>
      <c r="D232" t="s">
        <v>434</v>
      </c>
      <c r="E232" t="str">
        <f t="shared" si="12"/>
        <v>5003052454</v>
      </c>
      <c r="F232" t="s">
        <v>14</v>
      </c>
      <c r="G232" t="s">
        <v>484</v>
      </c>
      <c r="H232" t="s">
        <v>485</v>
      </c>
      <c r="I232" t="s">
        <v>17</v>
      </c>
      <c r="J232" t="s">
        <v>18</v>
      </c>
    </row>
    <row r="233" spans="1:10" hidden="1" x14ac:dyDescent="0.25">
      <c r="A233" t="s">
        <v>11</v>
      </c>
      <c r="B233" t="str">
        <f>"56310/160E"</f>
        <v>56310/160E</v>
      </c>
      <c r="C233" t="s">
        <v>12</v>
      </c>
      <c r="D233" t="s">
        <v>434</v>
      </c>
      <c r="E233" t="str">
        <f t="shared" si="12"/>
        <v>5003052454</v>
      </c>
      <c r="F233" t="s">
        <v>14</v>
      </c>
      <c r="G233" t="s">
        <v>486</v>
      </c>
      <c r="H233" t="s">
        <v>487</v>
      </c>
      <c r="I233" t="s">
        <v>17</v>
      </c>
      <c r="J233" t="s">
        <v>18</v>
      </c>
    </row>
    <row r="234" spans="1:10" hidden="1" x14ac:dyDescent="0.25">
      <c r="A234" t="s">
        <v>11</v>
      </c>
      <c r="B234" t="str">
        <f>"56313/160E"</f>
        <v>56313/160E</v>
      </c>
      <c r="C234" t="s">
        <v>12</v>
      </c>
      <c r="D234" t="s">
        <v>434</v>
      </c>
      <c r="E234" t="str">
        <f t="shared" si="12"/>
        <v>5003052454</v>
      </c>
      <c r="F234" t="s">
        <v>14</v>
      </c>
      <c r="G234" t="s">
        <v>488</v>
      </c>
      <c r="H234" t="s">
        <v>489</v>
      </c>
      <c r="I234" t="s">
        <v>17</v>
      </c>
      <c r="J234" t="s">
        <v>18</v>
      </c>
    </row>
    <row r="235" spans="1:10" hidden="1" x14ac:dyDescent="0.25">
      <c r="A235" t="s">
        <v>11</v>
      </c>
      <c r="B235" t="str">
        <f>"56317/160E"</f>
        <v>56317/160E</v>
      </c>
      <c r="C235" t="s">
        <v>12</v>
      </c>
      <c r="D235" t="s">
        <v>434</v>
      </c>
      <c r="E235" t="str">
        <f t="shared" si="12"/>
        <v>5003052454</v>
      </c>
      <c r="F235" t="s">
        <v>14</v>
      </c>
      <c r="G235" t="s">
        <v>490</v>
      </c>
      <c r="H235" t="s">
        <v>491</v>
      </c>
      <c r="I235" t="s">
        <v>17</v>
      </c>
      <c r="J235" t="s">
        <v>18</v>
      </c>
    </row>
    <row r="236" spans="1:10" hidden="1" x14ac:dyDescent="0.25">
      <c r="A236" t="s">
        <v>11</v>
      </c>
      <c r="B236" t="str">
        <f>"56320/160E"</f>
        <v>56320/160E</v>
      </c>
      <c r="C236" t="s">
        <v>12</v>
      </c>
      <c r="D236" t="s">
        <v>434</v>
      </c>
      <c r="E236" t="str">
        <f t="shared" si="12"/>
        <v>5003052454</v>
      </c>
      <c r="F236" t="s">
        <v>14</v>
      </c>
      <c r="G236" t="s">
        <v>492</v>
      </c>
      <c r="H236" t="s">
        <v>493</v>
      </c>
      <c r="I236" t="s">
        <v>17</v>
      </c>
      <c r="J236" t="s">
        <v>18</v>
      </c>
    </row>
    <row r="237" spans="1:10" hidden="1" x14ac:dyDescent="0.25">
      <c r="A237" t="s">
        <v>11</v>
      </c>
      <c r="B237" t="str">
        <f>"56308/160E"</f>
        <v>56308/160E</v>
      </c>
      <c r="C237" t="s">
        <v>12</v>
      </c>
      <c r="D237" t="s">
        <v>434</v>
      </c>
      <c r="E237" t="str">
        <f t="shared" si="12"/>
        <v>5003052454</v>
      </c>
      <c r="F237" t="s">
        <v>14</v>
      </c>
      <c r="G237" t="s">
        <v>494</v>
      </c>
      <c r="H237" t="s">
        <v>495</v>
      </c>
      <c r="I237" t="s">
        <v>17</v>
      </c>
      <c r="J237" t="s">
        <v>18</v>
      </c>
    </row>
    <row r="238" spans="1:10" hidden="1" x14ac:dyDescent="0.25">
      <c r="A238" t="s">
        <v>11</v>
      </c>
      <c r="B238" t="str">
        <f>"56311/160E"</f>
        <v>56311/160E</v>
      </c>
      <c r="C238" t="s">
        <v>12</v>
      </c>
      <c r="D238" t="s">
        <v>434</v>
      </c>
      <c r="E238" t="str">
        <f t="shared" si="12"/>
        <v>5003052454</v>
      </c>
      <c r="F238" t="s">
        <v>14</v>
      </c>
      <c r="G238" t="s">
        <v>496</v>
      </c>
      <c r="H238" t="s">
        <v>497</v>
      </c>
      <c r="I238" t="s">
        <v>17</v>
      </c>
      <c r="J238" t="s">
        <v>18</v>
      </c>
    </row>
    <row r="239" spans="1:10" hidden="1" x14ac:dyDescent="0.25">
      <c r="A239" t="s">
        <v>11</v>
      </c>
      <c r="B239" t="str">
        <f>"56306/160E"</f>
        <v>56306/160E</v>
      </c>
      <c r="C239" t="s">
        <v>12</v>
      </c>
      <c r="D239" t="s">
        <v>434</v>
      </c>
      <c r="E239" t="str">
        <f t="shared" si="12"/>
        <v>5003052454</v>
      </c>
      <c r="F239" t="s">
        <v>14</v>
      </c>
      <c r="G239" t="s">
        <v>498</v>
      </c>
      <c r="H239" t="s">
        <v>499</v>
      </c>
      <c r="I239" t="s">
        <v>17</v>
      </c>
      <c r="J239" t="s">
        <v>18</v>
      </c>
    </row>
    <row r="240" spans="1:10" hidden="1" x14ac:dyDescent="0.25">
      <c r="A240" t="s">
        <v>11</v>
      </c>
      <c r="B240" t="str">
        <f>"56315/160E"</f>
        <v>56315/160E</v>
      </c>
      <c r="C240" t="s">
        <v>12</v>
      </c>
      <c r="D240" t="s">
        <v>434</v>
      </c>
      <c r="E240" t="str">
        <f t="shared" si="12"/>
        <v>5003052454</v>
      </c>
      <c r="F240" t="s">
        <v>14</v>
      </c>
      <c r="G240" t="s">
        <v>500</v>
      </c>
      <c r="H240" t="s">
        <v>501</v>
      </c>
      <c r="I240" t="s">
        <v>17</v>
      </c>
      <c r="J240" t="s">
        <v>18</v>
      </c>
    </row>
    <row r="241" spans="1:10" hidden="1" x14ac:dyDescent="0.25">
      <c r="A241" t="s">
        <v>11</v>
      </c>
      <c r="B241" t="str">
        <f>"56318/160E"</f>
        <v>56318/160E</v>
      </c>
      <c r="C241" t="s">
        <v>12</v>
      </c>
      <c r="D241" t="s">
        <v>434</v>
      </c>
      <c r="E241" t="str">
        <f t="shared" si="12"/>
        <v>5003052454</v>
      </c>
      <c r="F241" t="s">
        <v>14</v>
      </c>
      <c r="G241" t="s">
        <v>502</v>
      </c>
      <c r="H241" t="s">
        <v>503</v>
      </c>
      <c r="I241" t="s">
        <v>17</v>
      </c>
      <c r="J241" t="s">
        <v>18</v>
      </c>
    </row>
    <row r="242" spans="1:10" hidden="1" x14ac:dyDescent="0.25">
      <c r="A242" t="s">
        <v>11</v>
      </c>
      <c r="B242" t="str">
        <f>"1610/8174366786"</f>
        <v>1610/8174366786</v>
      </c>
      <c r="C242" t="s">
        <v>12</v>
      </c>
      <c r="D242" t="s">
        <v>434</v>
      </c>
      <c r="E242" t="str">
        <f>"5032260402"</f>
        <v>5032260402</v>
      </c>
      <c r="F242" t="s">
        <v>341</v>
      </c>
      <c r="G242" t="s">
        <v>504</v>
      </c>
      <c r="H242" t="s">
        <v>505</v>
      </c>
      <c r="I242" t="s">
        <v>17</v>
      </c>
      <c r="J242" t="s">
        <v>18</v>
      </c>
    </row>
    <row r="243" spans="1:10" hidden="1" x14ac:dyDescent="0.25">
      <c r="A243" t="s">
        <v>11</v>
      </c>
      <c r="B243" t="str">
        <f>"1610/8174366705"</f>
        <v>1610/8174366705</v>
      </c>
      <c r="C243" t="s">
        <v>12</v>
      </c>
      <c r="D243" t="s">
        <v>434</v>
      </c>
      <c r="E243" t="str">
        <f>"5032260402"</f>
        <v>5032260402</v>
      </c>
      <c r="F243" t="s">
        <v>341</v>
      </c>
      <c r="G243" t="s">
        <v>506</v>
      </c>
      <c r="H243" t="s">
        <v>507</v>
      </c>
      <c r="I243" t="s">
        <v>17</v>
      </c>
      <c r="J243" t="s">
        <v>18</v>
      </c>
    </row>
    <row r="244" spans="1:10" hidden="1" x14ac:dyDescent="0.25">
      <c r="A244" t="s">
        <v>11</v>
      </c>
      <c r="B244" t="str">
        <f>"8651"</f>
        <v>8651</v>
      </c>
      <c r="C244" t="s">
        <v>508</v>
      </c>
      <c r="D244" t="s">
        <v>434</v>
      </c>
      <c r="E244" t="str">
        <f>"1658037114"</f>
        <v>1658037114</v>
      </c>
      <c r="F244" t="s">
        <v>509</v>
      </c>
      <c r="G244" t="s">
        <v>510</v>
      </c>
      <c r="H244" t="s">
        <v>511</v>
      </c>
      <c r="I244" t="s">
        <v>17</v>
      </c>
      <c r="J244" t="s">
        <v>18</v>
      </c>
    </row>
    <row r="245" spans="1:10" hidden="1" x14ac:dyDescent="0.25">
      <c r="A245" t="s">
        <v>11</v>
      </c>
      <c r="B245" t="str">
        <f>"1610/8174360508"</f>
        <v>1610/8174360508</v>
      </c>
      <c r="C245" t="s">
        <v>12</v>
      </c>
      <c r="D245" t="s">
        <v>434</v>
      </c>
      <c r="E245" t="str">
        <f>"5032260402"</f>
        <v>5032260402</v>
      </c>
      <c r="F245" t="s">
        <v>341</v>
      </c>
      <c r="G245" t="s">
        <v>512</v>
      </c>
      <c r="H245" t="s">
        <v>513</v>
      </c>
      <c r="I245" t="s">
        <v>17</v>
      </c>
      <c r="J245" t="s">
        <v>18</v>
      </c>
    </row>
    <row r="246" spans="1:10" hidden="1" x14ac:dyDescent="0.25">
      <c r="A246" t="s">
        <v>11</v>
      </c>
      <c r="B246" t="str">
        <f>"1610/8174366748"</f>
        <v>1610/8174366748</v>
      </c>
      <c r="C246" t="s">
        <v>12</v>
      </c>
      <c r="D246" t="s">
        <v>434</v>
      </c>
      <c r="E246" t="str">
        <f>"5032260402"</f>
        <v>5032260402</v>
      </c>
      <c r="F246" t="s">
        <v>341</v>
      </c>
      <c r="G246" t="s">
        <v>514</v>
      </c>
      <c r="H246" t="s">
        <v>515</v>
      </c>
      <c r="I246" t="s">
        <v>17</v>
      </c>
      <c r="J246" t="s">
        <v>18</v>
      </c>
    </row>
    <row r="247" spans="1:10" hidden="1" x14ac:dyDescent="0.25">
      <c r="A247" t="s">
        <v>11</v>
      </c>
      <c r="B247" t="str">
        <f>"8619"</f>
        <v>8619</v>
      </c>
      <c r="C247" t="s">
        <v>508</v>
      </c>
      <c r="D247" t="s">
        <v>434</v>
      </c>
      <c r="E247" t="str">
        <f>"1658037114"</f>
        <v>1658037114</v>
      </c>
      <c r="F247" t="s">
        <v>509</v>
      </c>
      <c r="G247" t="s">
        <v>516</v>
      </c>
      <c r="H247" t="s">
        <v>517</v>
      </c>
      <c r="I247" t="s">
        <v>17</v>
      </c>
      <c r="J247" t="s">
        <v>18</v>
      </c>
    </row>
    <row r="248" spans="1:10" hidden="1" x14ac:dyDescent="0.25">
      <c r="A248" t="s">
        <v>11</v>
      </c>
      <c r="B248" t="str">
        <f>"1610/8174360461"</f>
        <v>1610/8174360461</v>
      </c>
      <c r="C248" t="s">
        <v>12</v>
      </c>
      <c r="D248" t="s">
        <v>434</v>
      </c>
      <c r="E248" t="str">
        <f>"5032260402"</f>
        <v>5032260402</v>
      </c>
      <c r="F248" t="s">
        <v>341</v>
      </c>
      <c r="G248" t="s">
        <v>518</v>
      </c>
      <c r="H248" t="s">
        <v>519</v>
      </c>
      <c r="I248" t="s">
        <v>17</v>
      </c>
      <c r="J248" t="s">
        <v>18</v>
      </c>
    </row>
    <row r="249" spans="1:10" hidden="1" x14ac:dyDescent="0.25">
      <c r="A249" t="s">
        <v>11</v>
      </c>
      <c r="B249" t="str">
        <f>"1610/8174360601"</f>
        <v>1610/8174360601</v>
      </c>
      <c r="C249" t="s">
        <v>12</v>
      </c>
      <c r="D249" t="s">
        <v>434</v>
      </c>
      <c r="E249" t="str">
        <f>"5032260402"</f>
        <v>5032260402</v>
      </c>
      <c r="F249" t="s">
        <v>341</v>
      </c>
      <c r="G249" t="s">
        <v>520</v>
      </c>
      <c r="H249" t="s">
        <v>521</v>
      </c>
      <c r="I249" t="s">
        <v>17</v>
      </c>
      <c r="J249" t="s">
        <v>18</v>
      </c>
    </row>
    <row r="250" spans="1:10" hidden="1" x14ac:dyDescent="0.25">
      <c r="A250" t="s">
        <v>11</v>
      </c>
      <c r="B250" t="str">
        <f>"8620"</f>
        <v>8620</v>
      </c>
      <c r="C250" t="s">
        <v>508</v>
      </c>
      <c r="D250" t="s">
        <v>434</v>
      </c>
      <c r="E250" t="str">
        <f>"1658037114"</f>
        <v>1658037114</v>
      </c>
      <c r="F250" t="s">
        <v>509</v>
      </c>
      <c r="G250" t="s">
        <v>522</v>
      </c>
      <c r="H250" t="s">
        <v>523</v>
      </c>
      <c r="I250" t="s">
        <v>17</v>
      </c>
      <c r="J250" t="s">
        <v>18</v>
      </c>
    </row>
    <row r="251" spans="1:10" hidden="1" x14ac:dyDescent="0.25">
      <c r="A251" t="s">
        <v>11</v>
      </c>
      <c r="B251" t="str">
        <f>"UT-106825"</f>
        <v>UT-106825</v>
      </c>
      <c r="C251" t="s">
        <v>65</v>
      </c>
      <c r="D251" t="s">
        <v>434</v>
      </c>
      <c r="E251" t="str">
        <f>"7806385951"</f>
        <v>7806385951</v>
      </c>
      <c r="F251" t="s">
        <v>26</v>
      </c>
      <c r="G251" t="s">
        <v>524</v>
      </c>
      <c r="H251" t="s">
        <v>525</v>
      </c>
      <c r="I251" t="s">
        <v>17</v>
      </c>
      <c r="J251" t="s">
        <v>18</v>
      </c>
    </row>
    <row r="252" spans="1:10" hidden="1" x14ac:dyDescent="0.25">
      <c r="A252" t="s">
        <v>11</v>
      </c>
      <c r="B252" t="str">
        <f>"UT-106826"</f>
        <v>UT-106826</v>
      </c>
      <c r="C252" t="s">
        <v>65</v>
      </c>
      <c r="D252" t="s">
        <v>434</v>
      </c>
      <c r="E252" t="str">
        <f>"7806385951"</f>
        <v>7806385951</v>
      </c>
      <c r="F252" t="s">
        <v>26</v>
      </c>
      <c r="G252" t="s">
        <v>526</v>
      </c>
      <c r="H252" t="s">
        <v>527</v>
      </c>
      <c r="I252" t="s">
        <v>17</v>
      </c>
      <c r="J252" t="s">
        <v>18</v>
      </c>
    </row>
    <row r="253" spans="1:10" hidden="1" x14ac:dyDescent="0.25">
      <c r="A253" t="s">
        <v>11</v>
      </c>
      <c r="B253" t="str">
        <f>"5-228433"</f>
        <v>5-228433</v>
      </c>
      <c r="C253" t="s">
        <v>65</v>
      </c>
      <c r="D253" t="s">
        <v>434</v>
      </c>
      <c r="E253" t="str">
        <f>"7326030557"</f>
        <v>7326030557</v>
      </c>
      <c r="F253" t="s">
        <v>528</v>
      </c>
      <c r="G253" t="s">
        <v>529</v>
      </c>
      <c r="H253" t="s">
        <v>530</v>
      </c>
      <c r="I253" t="s">
        <v>17</v>
      </c>
      <c r="J253" t="s">
        <v>18</v>
      </c>
    </row>
    <row r="254" spans="1:10" hidden="1" x14ac:dyDescent="0.25">
      <c r="A254" t="s">
        <v>11</v>
      </c>
      <c r="B254" t="str">
        <f>"8345"</f>
        <v>8345</v>
      </c>
      <c r="C254" t="s">
        <v>531</v>
      </c>
      <c r="D254" t="s">
        <v>434</v>
      </c>
      <c r="E254" t="str">
        <f>"1658037114"</f>
        <v>1658037114</v>
      </c>
      <c r="F254" t="s">
        <v>509</v>
      </c>
      <c r="G254" t="s">
        <v>532</v>
      </c>
      <c r="H254" t="s">
        <v>533</v>
      </c>
      <c r="I254" t="s">
        <v>17</v>
      </c>
      <c r="J254" t="s">
        <v>21</v>
      </c>
    </row>
    <row r="255" spans="1:10" hidden="1" x14ac:dyDescent="0.25">
      <c r="A255" t="s">
        <v>11</v>
      </c>
      <c r="B255" t="str">
        <f>"8621"</f>
        <v>8621</v>
      </c>
      <c r="C255" t="s">
        <v>508</v>
      </c>
      <c r="D255" t="s">
        <v>434</v>
      </c>
      <c r="E255" t="str">
        <f>"1658037114"</f>
        <v>1658037114</v>
      </c>
      <c r="F255" t="s">
        <v>509</v>
      </c>
      <c r="G255" t="s">
        <v>534</v>
      </c>
      <c r="H255" t="s">
        <v>535</v>
      </c>
      <c r="I255" t="s">
        <v>17</v>
      </c>
      <c r="J255" t="s">
        <v>21</v>
      </c>
    </row>
    <row r="256" spans="1:10" hidden="1" x14ac:dyDescent="0.25">
      <c r="A256" t="s">
        <v>11</v>
      </c>
      <c r="B256" t="str">
        <f>"Б-1252"</f>
        <v>Б-1252</v>
      </c>
      <c r="C256" t="s">
        <v>65</v>
      </c>
      <c r="D256" t="s">
        <v>434</v>
      </c>
      <c r="E256" t="str">
        <f>"1655341959"</f>
        <v>1655341959</v>
      </c>
      <c r="F256" t="s">
        <v>536</v>
      </c>
      <c r="G256" t="s">
        <v>537</v>
      </c>
      <c r="H256" t="s">
        <v>538</v>
      </c>
      <c r="I256" t="s">
        <v>17</v>
      </c>
      <c r="J256" t="s">
        <v>18</v>
      </c>
    </row>
    <row r="257" spans="1:10" hidden="1" x14ac:dyDescent="0.25">
      <c r="A257" t="s">
        <v>11</v>
      </c>
      <c r="B257" t="str">
        <f>"Б-1253"</f>
        <v>Б-1253</v>
      </c>
      <c r="C257" t="s">
        <v>65</v>
      </c>
      <c r="D257" t="s">
        <v>434</v>
      </c>
      <c r="E257" t="str">
        <f>"1655341959"</f>
        <v>1655341959</v>
      </c>
      <c r="F257" t="s">
        <v>536</v>
      </c>
      <c r="G257" t="s">
        <v>539</v>
      </c>
      <c r="H257" t="s">
        <v>540</v>
      </c>
      <c r="I257" t="s">
        <v>17</v>
      </c>
      <c r="J257" t="s">
        <v>388</v>
      </c>
    </row>
    <row r="258" spans="1:10" hidden="1" x14ac:dyDescent="0.25">
      <c r="A258" t="s">
        <v>11</v>
      </c>
      <c r="B258" t="str">
        <f>"5-229099"</f>
        <v>5-229099</v>
      </c>
      <c r="C258" t="s">
        <v>100</v>
      </c>
      <c r="D258" t="s">
        <v>434</v>
      </c>
      <c r="E258" t="str">
        <f>"7326030557"</f>
        <v>7326030557</v>
      </c>
      <c r="F258" t="s">
        <v>528</v>
      </c>
      <c r="G258" t="s">
        <v>541</v>
      </c>
      <c r="H258" t="s">
        <v>542</v>
      </c>
      <c r="I258" t="s">
        <v>17</v>
      </c>
      <c r="J258" t="s">
        <v>18</v>
      </c>
    </row>
    <row r="259" spans="1:10" hidden="1" x14ac:dyDescent="0.25">
      <c r="A259" t="s">
        <v>11</v>
      </c>
      <c r="B259" t="str">
        <f>"5-229059"</f>
        <v>5-229059</v>
      </c>
      <c r="C259" t="s">
        <v>100</v>
      </c>
      <c r="D259" t="s">
        <v>434</v>
      </c>
      <c r="E259" t="str">
        <f>"7326030557"</f>
        <v>7326030557</v>
      </c>
      <c r="F259" t="s">
        <v>528</v>
      </c>
      <c r="G259" t="s">
        <v>543</v>
      </c>
      <c r="H259" t="s">
        <v>544</v>
      </c>
      <c r="I259" t="s">
        <v>17</v>
      </c>
      <c r="J259" t="s">
        <v>18</v>
      </c>
    </row>
    <row r="260" spans="1:10" hidden="1" x14ac:dyDescent="0.25">
      <c r="A260" t="s">
        <v>11</v>
      </c>
      <c r="B260" t="str">
        <f>"5-229033"</f>
        <v>5-229033</v>
      </c>
      <c r="C260" t="s">
        <v>100</v>
      </c>
      <c r="D260" t="s">
        <v>434</v>
      </c>
      <c r="E260" t="str">
        <f>"7326030557"</f>
        <v>7326030557</v>
      </c>
      <c r="F260" t="s">
        <v>528</v>
      </c>
      <c r="G260" t="s">
        <v>545</v>
      </c>
      <c r="H260" t="s">
        <v>546</v>
      </c>
      <c r="I260" t="s">
        <v>17</v>
      </c>
      <c r="J260" t="s">
        <v>18</v>
      </c>
    </row>
    <row r="261" spans="1:10" hidden="1" x14ac:dyDescent="0.25">
      <c r="A261" t="s">
        <v>11</v>
      </c>
      <c r="B261" t="str">
        <f>"1610/8174446120"</f>
        <v>1610/8174446120</v>
      </c>
      <c r="C261" t="s">
        <v>100</v>
      </c>
      <c r="D261" t="s">
        <v>434</v>
      </c>
      <c r="E261" t="str">
        <f>"5032260402"</f>
        <v>5032260402</v>
      </c>
      <c r="F261" t="s">
        <v>341</v>
      </c>
      <c r="G261" t="s">
        <v>547</v>
      </c>
      <c r="H261" t="s">
        <v>548</v>
      </c>
      <c r="I261" t="s">
        <v>17</v>
      </c>
      <c r="J261" t="s">
        <v>18</v>
      </c>
    </row>
    <row r="262" spans="1:10" hidden="1" x14ac:dyDescent="0.25">
      <c r="A262" t="s">
        <v>11</v>
      </c>
      <c r="B262" t="str">
        <f>"1610/8174446146"</f>
        <v>1610/8174446146</v>
      </c>
      <c r="C262" t="s">
        <v>100</v>
      </c>
      <c r="D262" t="s">
        <v>434</v>
      </c>
      <c r="E262" t="str">
        <f>"5032260402"</f>
        <v>5032260402</v>
      </c>
      <c r="F262" t="s">
        <v>341</v>
      </c>
      <c r="G262" t="s">
        <v>549</v>
      </c>
      <c r="H262" t="s">
        <v>550</v>
      </c>
      <c r="I262" t="s">
        <v>17</v>
      </c>
      <c r="J262" t="s">
        <v>18</v>
      </c>
    </row>
    <row r="263" spans="1:10" hidden="1" x14ac:dyDescent="0.25">
      <c r="A263" t="s">
        <v>11</v>
      </c>
      <c r="B263" t="str">
        <f>"8861"</f>
        <v>8861</v>
      </c>
      <c r="C263" t="s">
        <v>100</v>
      </c>
      <c r="D263" t="s">
        <v>434</v>
      </c>
      <c r="E263" t="str">
        <f>"1658037114"</f>
        <v>1658037114</v>
      </c>
      <c r="F263" t="s">
        <v>509</v>
      </c>
      <c r="G263" t="s">
        <v>551</v>
      </c>
      <c r="H263" t="s">
        <v>552</v>
      </c>
      <c r="I263" t="s">
        <v>17</v>
      </c>
      <c r="J263" t="s">
        <v>18</v>
      </c>
    </row>
    <row r="264" spans="1:10" hidden="1" x14ac:dyDescent="0.25">
      <c r="A264" t="s">
        <v>11</v>
      </c>
      <c r="B264" t="str">
        <f>"8887"</f>
        <v>8887</v>
      </c>
      <c r="C264" t="s">
        <v>100</v>
      </c>
      <c r="D264" t="s">
        <v>434</v>
      </c>
      <c r="E264" t="str">
        <f>"1658037114"</f>
        <v>1658037114</v>
      </c>
      <c r="F264" t="s">
        <v>509</v>
      </c>
      <c r="G264" t="s">
        <v>553</v>
      </c>
      <c r="H264" t="s">
        <v>554</v>
      </c>
      <c r="I264" t="s">
        <v>17</v>
      </c>
      <c r="J264" t="s">
        <v>21</v>
      </c>
    </row>
    <row r="265" spans="1:10" hidden="1" x14ac:dyDescent="0.25">
      <c r="A265" t="s">
        <v>11</v>
      </c>
      <c r="B265" t="str">
        <f>"8888"</f>
        <v>8888</v>
      </c>
      <c r="C265" t="s">
        <v>100</v>
      </c>
      <c r="D265" t="s">
        <v>434</v>
      </c>
      <c r="E265" t="str">
        <f>"1658037114"</f>
        <v>1658037114</v>
      </c>
      <c r="F265" t="s">
        <v>509</v>
      </c>
      <c r="G265" t="s">
        <v>555</v>
      </c>
      <c r="H265" t="s">
        <v>556</v>
      </c>
      <c r="I265" t="s">
        <v>17</v>
      </c>
      <c r="J265" t="s">
        <v>18</v>
      </c>
    </row>
    <row r="266" spans="1:10" hidden="1" x14ac:dyDescent="0.25">
      <c r="A266" t="s">
        <v>11</v>
      </c>
      <c r="B266" t="str">
        <f>"8889"</f>
        <v>8889</v>
      </c>
      <c r="C266" t="s">
        <v>100</v>
      </c>
      <c r="D266" t="s">
        <v>434</v>
      </c>
      <c r="E266" t="str">
        <f>"1658037114"</f>
        <v>1658037114</v>
      </c>
      <c r="F266" t="s">
        <v>509</v>
      </c>
      <c r="G266" t="s">
        <v>557</v>
      </c>
      <c r="H266" t="s">
        <v>558</v>
      </c>
      <c r="I266" t="s">
        <v>17</v>
      </c>
      <c r="J266" t="s">
        <v>18</v>
      </c>
    </row>
    <row r="267" spans="1:10" hidden="1" x14ac:dyDescent="0.25">
      <c r="A267" t="s">
        <v>11</v>
      </c>
      <c r="B267" t="str">
        <f>"1091"</f>
        <v>1091</v>
      </c>
      <c r="C267" t="s">
        <v>559</v>
      </c>
      <c r="D267" t="s">
        <v>434</v>
      </c>
      <c r="E267" t="str">
        <f>"9729019493"</f>
        <v>9729019493</v>
      </c>
      <c r="F267" t="s">
        <v>560</v>
      </c>
      <c r="G267" t="s">
        <v>561</v>
      </c>
      <c r="H267" t="s">
        <v>562</v>
      </c>
      <c r="I267" t="s">
        <v>17</v>
      </c>
      <c r="J267" t="s">
        <v>18</v>
      </c>
    </row>
    <row r="268" spans="1:10" hidden="1" x14ac:dyDescent="0.25">
      <c r="A268" t="s">
        <v>11</v>
      </c>
      <c r="B268" t="str">
        <f>"28342067"</f>
        <v>28342067</v>
      </c>
      <c r="C268" t="s">
        <v>65</v>
      </c>
      <c r="D268" t="s">
        <v>434</v>
      </c>
      <c r="E268" t="str">
        <f>"7721793895"</f>
        <v>7721793895</v>
      </c>
      <c r="F268" t="s">
        <v>109</v>
      </c>
      <c r="G268" t="s">
        <v>563</v>
      </c>
      <c r="H268" t="s">
        <v>564</v>
      </c>
      <c r="I268" t="s">
        <v>17</v>
      </c>
      <c r="J268" t="s">
        <v>18</v>
      </c>
    </row>
    <row r="269" spans="1:10" hidden="1" x14ac:dyDescent="0.25">
      <c r="A269" t="s">
        <v>11</v>
      </c>
      <c r="B269" t="str">
        <f>"28342370"</f>
        <v>28342370</v>
      </c>
      <c r="C269" t="s">
        <v>65</v>
      </c>
      <c r="D269" t="s">
        <v>434</v>
      </c>
      <c r="E269" t="str">
        <f>"7721793895"</f>
        <v>7721793895</v>
      </c>
      <c r="F269" t="s">
        <v>109</v>
      </c>
      <c r="G269" t="s">
        <v>565</v>
      </c>
      <c r="H269" t="s">
        <v>566</v>
      </c>
      <c r="I269" t="s">
        <v>17</v>
      </c>
      <c r="J269" t="s">
        <v>18</v>
      </c>
    </row>
    <row r="270" spans="1:10" hidden="1" x14ac:dyDescent="0.25">
      <c r="A270" t="s">
        <v>11</v>
      </c>
      <c r="B270" t="str">
        <f>"28342381"</f>
        <v>28342381</v>
      </c>
      <c r="C270" t="s">
        <v>65</v>
      </c>
      <c r="D270" t="s">
        <v>434</v>
      </c>
      <c r="E270" t="str">
        <f>"7721793895"</f>
        <v>7721793895</v>
      </c>
      <c r="F270" t="s">
        <v>109</v>
      </c>
      <c r="G270" t="s">
        <v>567</v>
      </c>
      <c r="H270" t="s">
        <v>568</v>
      </c>
      <c r="I270" t="s">
        <v>17</v>
      </c>
      <c r="J270" t="s">
        <v>18</v>
      </c>
    </row>
    <row r="271" spans="1:10" hidden="1" x14ac:dyDescent="0.25">
      <c r="A271" t="s">
        <v>11</v>
      </c>
      <c r="B271" t="str">
        <f>"UT-109449"</f>
        <v>UT-109449</v>
      </c>
      <c r="C271" t="s">
        <v>106</v>
      </c>
      <c r="D271" t="s">
        <v>434</v>
      </c>
      <c r="E271" t="str">
        <f>"7806385951"</f>
        <v>7806385951</v>
      </c>
      <c r="F271" t="s">
        <v>26</v>
      </c>
      <c r="G271" t="s">
        <v>569</v>
      </c>
      <c r="H271" t="s">
        <v>570</v>
      </c>
      <c r="I271" t="s">
        <v>17</v>
      </c>
      <c r="J271" t="s">
        <v>18</v>
      </c>
    </row>
    <row r="272" spans="1:10" hidden="1" x14ac:dyDescent="0.25">
      <c r="A272" t="s">
        <v>11</v>
      </c>
      <c r="B272" t="str">
        <f>"UT-109450"</f>
        <v>UT-109450</v>
      </c>
      <c r="C272" t="s">
        <v>106</v>
      </c>
      <c r="D272" t="s">
        <v>434</v>
      </c>
      <c r="E272" t="str">
        <f>"7806385951"</f>
        <v>7806385951</v>
      </c>
      <c r="F272" t="s">
        <v>26</v>
      </c>
      <c r="G272" t="s">
        <v>571</v>
      </c>
      <c r="H272" t="s">
        <v>572</v>
      </c>
      <c r="I272" t="s">
        <v>17</v>
      </c>
      <c r="J272" t="s">
        <v>18</v>
      </c>
    </row>
    <row r="273" spans="1:10" x14ac:dyDescent="0.25">
      <c r="A273" t="s">
        <v>11</v>
      </c>
      <c r="B273" t="str">
        <f>"UT-109448"</f>
        <v>UT-109448</v>
      </c>
      <c r="C273" t="s">
        <v>106</v>
      </c>
      <c r="D273" t="s">
        <v>434</v>
      </c>
      <c r="E273" t="str">
        <f>"7806385951"</f>
        <v>7806385951</v>
      </c>
      <c r="F273" t="s">
        <v>26</v>
      </c>
      <c r="G273" t="s">
        <v>35</v>
      </c>
      <c r="H273" t="s">
        <v>573</v>
      </c>
      <c r="I273" t="s">
        <v>17</v>
      </c>
      <c r="J273" t="s">
        <v>166</v>
      </c>
    </row>
    <row r="274" spans="1:10" hidden="1" x14ac:dyDescent="0.25">
      <c r="A274" t="s">
        <v>11</v>
      </c>
      <c r="B274" t="str">
        <f>"5-229589"</f>
        <v>5-229589</v>
      </c>
      <c r="C274" t="s">
        <v>106</v>
      </c>
      <c r="D274" t="s">
        <v>434</v>
      </c>
      <c r="E274" t="str">
        <f>"7326030557"</f>
        <v>7326030557</v>
      </c>
      <c r="F274" t="s">
        <v>528</v>
      </c>
      <c r="G274" t="s">
        <v>574</v>
      </c>
      <c r="H274" t="s">
        <v>575</v>
      </c>
      <c r="I274" t="s">
        <v>17</v>
      </c>
      <c r="J274" t="s">
        <v>18</v>
      </c>
    </row>
    <row r="275" spans="1:10" hidden="1" x14ac:dyDescent="0.25">
      <c r="A275" t="s">
        <v>11</v>
      </c>
      <c r="B275" t="str">
        <f>"5-229554"</f>
        <v>5-229554</v>
      </c>
      <c r="C275" t="s">
        <v>106</v>
      </c>
      <c r="D275" t="s">
        <v>434</v>
      </c>
      <c r="E275" t="str">
        <f>"7326030557"</f>
        <v>7326030557</v>
      </c>
      <c r="F275" t="s">
        <v>528</v>
      </c>
      <c r="G275" t="s">
        <v>576</v>
      </c>
      <c r="H275" t="s">
        <v>577</v>
      </c>
      <c r="I275" t="s">
        <v>17</v>
      </c>
      <c r="J275" t="s">
        <v>18</v>
      </c>
    </row>
    <row r="276" spans="1:10" hidden="1" x14ac:dyDescent="0.25">
      <c r="A276" t="s">
        <v>11</v>
      </c>
      <c r="B276" t="str">
        <f>"5-229818"</f>
        <v>5-229818</v>
      </c>
      <c r="C276" t="s">
        <v>106</v>
      </c>
      <c r="D276" t="s">
        <v>434</v>
      </c>
      <c r="E276" t="str">
        <f>"7326030557"</f>
        <v>7326030557</v>
      </c>
      <c r="F276" t="s">
        <v>528</v>
      </c>
      <c r="G276" t="s">
        <v>578</v>
      </c>
      <c r="H276" t="s">
        <v>579</v>
      </c>
      <c r="I276" t="s">
        <v>17</v>
      </c>
      <c r="J276" t="s">
        <v>18</v>
      </c>
    </row>
    <row r="277" spans="1:10" hidden="1" x14ac:dyDescent="0.25">
      <c r="A277" t="s">
        <v>11</v>
      </c>
      <c r="B277" t="str">
        <f>"9008"</f>
        <v>9008</v>
      </c>
      <c r="C277" t="s">
        <v>106</v>
      </c>
      <c r="D277" t="s">
        <v>434</v>
      </c>
      <c r="E277" t="str">
        <f>"1658037114"</f>
        <v>1658037114</v>
      </c>
      <c r="F277" t="s">
        <v>509</v>
      </c>
      <c r="G277" t="s">
        <v>580</v>
      </c>
      <c r="H277" t="s">
        <v>581</v>
      </c>
      <c r="I277" t="s">
        <v>17</v>
      </c>
      <c r="J277" t="s">
        <v>18</v>
      </c>
    </row>
    <row r="278" spans="1:10" hidden="1" x14ac:dyDescent="0.25">
      <c r="A278" t="s">
        <v>11</v>
      </c>
      <c r="B278" t="str">
        <f>"8887"</f>
        <v>8887</v>
      </c>
      <c r="C278" t="s">
        <v>100</v>
      </c>
      <c r="D278" t="s">
        <v>434</v>
      </c>
      <c r="E278" t="str">
        <f>"1658037114"</f>
        <v>1658037114</v>
      </c>
      <c r="F278" t="s">
        <v>509</v>
      </c>
      <c r="G278" t="s">
        <v>582</v>
      </c>
      <c r="H278" t="s">
        <v>583</v>
      </c>
      <c r="I278" t="s">
        <v>17</v>
      </c>
      <c r="J278" t="s">
        <v>18</v>
      </c>
    </row>
    <row r="279" spans="1:10" hidden="1" x14ac:dyDescent="0.25">
      <c r="A279" t="s">
        <v>11</v>
      </c>
      <c r="B279" t="str">
        <f>"8890"</f>
        <v>8890</v>
      </c>
      <c r="C279" t="s">
        <v>100</v>
      </c>
      <c r="D279" t="s">
        <v>434</v>
      </c>
      <c r="E279" t="str">
        <f>"1658037114"</f>
        <v>1658037114</v>
      </c>
      <c r="F279" t="s">
        <v>509</v>
      </c>
      <c r="G279" t="s">
        <v>584</v>
      </c>
      <c r="H279" t="s">
        <v>585</v>
      </c>
      <c r="I279" t="s">
        <v>17</v>
      </c>
      <c r="J279" t="s">
        <v>18</v>
      </c>
    </row>
    <row r="280" spans="1:10" hidden="1" x14ac:dyDescent="0.25">
      <c r="A280" t="s">
        <v>11</v>
      </c>
      <c r="B280" t="str">
        <f>"28374188"</f>
        <v>28374188</v>
      </c>
      <c r="C280" t="s">
        <v>100</v>
      </c>
      <c r="D280" t="s">
        <v>434</v>
      </c>
      <c r="E280" t="str">
        <f>"7721793895"</f>
        <v>7721793895</v>
      </c>
      <c r="F280" t="s">
        <v>109</v>
      </c>
      <c r="G280" t="s">
        <v>586</v>
      </c>
      <c r="H280" t="s">
        <v>587</v>
      </c>
      <c r="I280" t="s">
        <v>17</v>
      </c>
      <c r="J280" t="s">
        <v>18</v>
      </c>
    </row>
    <row r="281" spans="1:10" hidden="1" x14ac:dyDescent="0.25">
      <c r="A281" t="s">
        <v>11</v>
      </c>
      <c r="B281" t="str">
        <f>"ТКЗН0004491"</f>
        <v>ТКЗН0004491</v>
      </c>
      <c r="C281" t="s">
        <v>106</v>
      </c>
      <c r="D281" t="s">
        <v>434</v>
      </c>
      <c r="E281" t="str">
        <f>"1659163062"</f>
        <v>1659163062</v>
      </c>
      <c r="F281" t="s">
        <v>588</v>
      </c>
      <c r="G281" t="s">
        <v>589</v>
      </c>
      <c r="H281" t="s">
        <v>590</v>
      </c>
      <c r="I281" t="s">
        <v>17</v>
      </c>
      <c r="J281" t="s">
        <v>21</v>
      </c>
    </row>
    <row r="282" spans="1:10" hidden="1" x14ac:dyDescent="0.25">
      <c r="A282" t="s">
        <v>11</v>
      </c>
      <c r="B282" t="str">
        <f>"ТКЗН0004469"</f>
        <v>ТКЗН0004469</v>
      </c>
      <c r="C282" t="s">
        <v>106</v>
      </c>
      <c r="D282" t="s">
        <v>434</v>
      </c>
      <c r="E282" t="str">
        <f>"1659163062"</f>
        <v>1659163062</v>
      </c>
      <c r="F282" t="s">
        <v>588</v>
      </c>
      <c r="G282" t="s">
        <v>591</v>
      </c>
      <c r="H282" t="s">
        <v>592</v>
      </c>
      <c r="I282" t="s">
        <v>17</v>
      </c>
      <c r="J282" t="s">
        <v>21</v>
      </c>
    </row>
    <row r="283" spans="1:10" hidden="1" x14ac:dyDescent="0.25">
      <c r="A283" t="s">
        <v>11</v>
      </c>
      <c r="B283" t="str">
        <f>"5-230230"</f>
        <v>5-230230</v>
      </c>
      <c r="C283" t="s">
        <v>420</v>
      </c>
      <c r="D283" t="s">
        <v>434</v>
      </c>
      <c r="E283" t="str">
        <f>"7326030557"</f>
        <v>7326030557</v>
      </c>
      <c r="F283" t="s">
        <v>528</v>
      </c>
      <c r="G283" t="s">
        <v>593</v>
      </c>
      <c r="H283" t="s">
        <v>594</v>
      </c>
      <c r="I283" t="s">
        <v>17</v>
      </c>
      <c r="J283" t="s">
        <v>18</v>
      </c>
    </row>
    <row r="284" spans="1:10" hidden="1" x14ac:dyDescent="0.25">
      <c r="A284" t="s">
        <v>11</v>
      </c>
      <c r="B284" t="str">
        <f>"5-230218"</f>
        <v>5-230218</v>
      </c>
      <c r="C284" t="s">
        <v>420</v>
      </c>
      <c r="D284" t="s">
        <v>434</v>
      </c>
      <c r="E284" t="str">
        <f>"7326030557"</f>
        <v>7326030557</v>
      </c>
      <c r="F284" t="s">
        <v>528</v>
      </c>
      <c r="G284" t="s">
        <v>595</v>
      </c>
      <c r="H284" t="s">
        <v>596</v>
      </c>
      <c r="I284" t="s">
        <v>17</v>
      </c>
      <c r="J284" t="s">
        <v>18</v>
      </c>
    </row>
    <row r="285" spans="1:10" hidden="1" x14ac:dyDescent="0.25">
      <c r="A285" t="s">
        <v>11</v>
      </c>
      <c r="B285" t="str">
        <f>"УТР0166218"</f>
        <v>УТР0166218</v>
      </c>
      <c r="C285" t="s">
        <v>508</v>
      </c>
      <c r="D285" t="s">
        <v>597</v>
      </c>
      <c r="E285" t="str">
        <f>"7804044258"</f>
        <v>7804044258</v>
      </c>
      <c r="F285" t="s">
        <v>155</v>
      </c>
      <c r="G285" t="s">
        <v>598</v>
      </c>
      <c r="H285" t="s">
        <v>599</v>
      </c>
      <c r="I285" t="s">
        <v>17</v>
      </c>
      <c r="J285" t="s">
        <v>18</v>
      </c>
    </row>
    <row r="286" spans="1:10" hidden="1" x14ac:dyDescent="0.25">
      <c r="A286" t="s">
        <v>11</v>
      </c>
      <c r="B286" t="str">
        <f>"УТР0166201"</f>
        <v>УТР0166201</v>
      </c>
      <c r="C286" t="s">
        <v>508</v>
      </c>
      <c r="D286" t="s">
        <v>597</v>
      </c>
      <c r="E286" t="str">
        <f>"7804044258"</f>
        <v>7804044258</v>
      </c>
      <c r="F286" t="s">
        <v>155</v>
      </c>
      <c r="G286" t="s">
        <v>600</v>
      </c>
      <c r="H286" t="s">
        <v>601</v>
      </c>
      <c r="I286" t="s">
        <v>17</v>
      </c>
      <c r="J286" t="s">
        <v>18</v>
      </c>
    </row>
    <row r="287" spans="1:10" hidden="1" x14ac:dyDescent="0.25">
      <c r="A287" t="s">
        <v>11</v>
      </c>
      <c r="B287" t="str">
        <f>"28259036"</f>
        <v>28259036</v>
      </c>
      <c r="C287" t="s">
        <v>559</v>
      </c>
      <c r="D287" t="s">
        <v>597</v>
      </c>
      <c r="E287" t="str">
        <f>"7721793895"</f>
        <v>7721793895</v>
      </c>
      <c r="F287" t="s">
        <v>109</v>
      </c>
      <c r="G287" t="s">
        <v>602</v>
      </c>
      <c r="H287" t="s">
        <v>603</v>
      </c>
      <c r="I287" t="s">
        <v>17</v>
      </c>
      <c r="J287" t="s">
        <v>18</v>
      </c>
    </row>
    <row r="288" spans="1:10" hidden="1" x14ac:dyDescent="0.25">
      <c r="A288" t="s">
        <v>11</v>
      </c>
      <c r="B288" t="str">
        <f>"28259065"</f>
        <v>28259065</v>
      </c>
      <c r="C288" t="s">
        <v>559</v>
      </c>
      <c r="D288" t="s">
        <v>597</v>
      </c>
      <c r="E288" t="str">
        <f>"7721793895"</f>
        <v>7721793895</v>
      </c>
      <c r="F288" t="s">
        <v>109</v>
      </c>
      <c r="G288" t="s">
        <v>604</v>
      </c>
      <c r="H288" t="s">
        <v>605</v>
      </c>
      <c r="I288" t="s">
        <v>17</v>
      </c>
      <c r="J288" t="s">
        <v>18</v>
      </c>
    </row>
    <row r="289" spans="1:10" hidden="1" x14ac:dyDescent="0.25">
      <c r="A289" t="s">
        <v>11</v>
      </c>
      <c r="B289" t="str">
        <f>"2023/40/03/0032300/06"</f>
        <v>2023/40/03/0032300/06</v>
      </c>
      <c r="C289" t="s">
        <v>53</v>
      </c>
      <c r="D289" t="s">
        <v>597</v>
      </c>
      <c r="E289" t="str">
        <f>"7718151150"</f>
        <v>7718151150</v>
      </c>
      <c r="F289" t="s">
        <v>54</v>
      </c>
      <c r="G289" t="s">
        <v>61</v>
      </c>
      <c r="H289" t="s">
        <v>606</v>
      </c>
      <c r="I289" t="s">
        <v>17</v>
      </c>
      <c r="J289" t="s">
        <v>18</v>
      </c>
    </row>
    <row r="290" spans="1:10" hidden="1" x14ac:dyDescent="0.25">
      <c r="A290" t="s">
        <v>11</v>
      </c>
      <c r="B290" t="str">
        <f>"2023/40/03/0032255/06"</f>
        <v>2023/40/03/0032255/06</v>
      </c>
      <c r="C290" t="s">
        <v>53</v>
      </c>
      <c r="D290" t="s">
        <v>597</v>
      </c>
      <c r="E290" t="str">
        <f>"7718151150"</f>
        <v>7718151150</v>
      </c>
      <c r="F290" t="s">
        <v>54</v>
      </c>
      <c r="G290" t="s">
        <v>250</v>
      </c>
      <c r="H290" t="s">
        <v>607</v>
      </c>
      <c r="I290" t="s">
        <v>17</v>
      </c>
      <c r="J290" t="s">
        <v>18</v>
      </c>
    </row>
    <row r="291" spans="1:10" hidden="1" x14ac:dyDescent="0.25">
      <c r="A291" t="s">
        <v>11</v>
      </c>
      <c r="B291" t="str">
        <f>"УТ-305-000058"</f>
        <v>УТ-305-000058</v>
      </c>
      <c r="C291" t="s">
        <v>65</v>
      </c>
      <c r="D291" t="s">
        <v>597</v>
      </c>
      <c r="E291" t="str">
        <f t="shared" ref="E291:E299" si="13">"7839454551"</f>
        <v>7839454551</v>
      </c>
      <c r="F291" t="s">
        <v>57</v>
      </c>
      <c r="G291" t="s">
        <v>608</v>
      </c>
      <c r="H291" t="s">
        <v>609</v>
      </c>
      <c r="I291" t="s">
        <v>17</v>
      </c>
      <c r="J291" t="s">
        <v>18</v>
      </c>
    </row>
    <row r="292" spans="1:10" hidden="1" x14ac:dyDescent="0.25">
      <c r="A292" t="s">
        <v>11</v>
      </c>
      <c r="B292" t="str">
        <f>"УТ-305-000057"</f>
        <v>УТ-305-000057</v>
      </c>
      <c r="C292" t="s">
        <v>65</v>
      </c>
      <c r="D292" t="s">
        <v>597</v>
      </c>
      <c r="E292" t="str">
        <f t="shared" si="13"/>
        <v>7839454551</v>
      </c>
      <c r="F292" t="s">
        <v>57</v>
      </c>
      <c r="G292" t="s">
        <v>610</v>
      </c>
      <c r="H292" t="s">
        <v>611</v>
      </c>
      <c r="I292" t="s">
        <v>17</v>
      </c>
      <c r="J292" t="s">
        <v>18</v>
      </c>
    </row>
    <row r="293" spans="1:10" hidden="1" x14ac:dyDescent="0.25">
      <c r="A293" t="s">
        <v>11</v>
      </c>
      <c r="B293" t="str">
        <f>"УТ-305-000056"</f>
        <v>УТ-305-000056</v>
      </c>
      <c r="C293" t="s">
        <v>65</v>
      </c>
      <c r="D293" t="s">
        <v>597</v>
      </c>
      <c r="E293" t="str">
        <f t="shared" si="13"/>
        <v>7839454551</v>
      </c>
      <c r="F293" t="s">
        <v>57</v>
      </c>
      <c r="G293" t="s">
        <v>612</v>
      </c>
      <c r="H293" t="s">
        <v>613</v>
      </c>
      <c r="I293" t="s">
        <v>17</v>
      </c>
      <c r="J293" t="s">
        <v>18</v>
      </c>
    </row>
    <row r="294" spans="1:10" hidden="1" x14ac:dyDescent="0.25">
      <c r="A294" t="s">
        <v>11</v>
      </c>
      <c r="B294" t="str">
        <f>"УТ-305-000055"</f>
        <v>УТ-305-000055</v>
      </c>
      <c r="C294" t="s">
        <v>65</v>
      </c>
      <c r="D294" t="s">
        <v>597</v>
      </c>
      <c r="E294" t="str">
        <f t="shared" si="13"/>
        <v>7839454551</v>
      </c>
      <c r="F294" t="s">
        <v>57</v>
      </c>
      <c r="G294" t="s">
        <v>614</v>
      </c>
      <c r="H294" t="s">
        <v>615</v>
      </c>
      <c r="I294" t="s">
        <v>17</v>
      </c>
      <c r="J294" t="s">
        <v>18</v>
      </c>
    </row>
    <row r="295" spans="1:10" hidden="1" x14ac:dyDescent="0.25">
      <c r="A295" t="s">
        <v>11</v>
      </c>
      <c r="B295" t="str">
        <f>"УТ-305-000054"</f>
        <v>УТ-305-000054</v>
      </c>
      <c r="C295" t="s">
        <v>65</v>
      </c>
      <c r="D295" t="s">
        <v>597</v>
      </c>
      <c r="E295" t="str">
        <f t="shared" si="13"/>
        <v>7839454551</v>
      </c>
      <c r="F295" t="s">
        <v>57</v>
      </c>
      <c r="G295" t="s">
        <v>616</v>
      </c>
      <c r="H295" t="s">
        <v>617</v>
      </c>
      <c r="I295" t="s">
        <v>17</v>
      </c>
      <c r="J295" t="s">
        <v>18</v>
      </c>
    </row>
    <row r="296" spans="1:10" hidden="1" x14ac:dyDescent="0.25">
      <c r="A296" t="s">
        <v>11</v>
      </c>
      <c r="B296" t="str">
        <f>"УТ-305-000046"</f>
        <v>УТ-305-000046</v>
      </c>
      <c r="C296" t="s">
        <v>65</v>
      </c>
      <c r="D296" t="s">
        <v>597</v>
      </c>
      <c r="E296" t="str">
        <f t="shared" si="13"/>
        <v>7839454551</v>
      </c>
      <c r="F296" t="s">
        <v>57</v>
      </c>
      <c r="G296" t="s">
        <v>618</v>
      </c>
      <c r="H296" t="s">
        <v>619</v>
      </c>
      <c r="I296" t="s">
        <v>17</v>
      </c>
      <c r="J296" t="s">
        <v>18</v>
      </c>
    </row>
    <row r="297" spans="1:10" hidden="1" x14ac:dyDescent="0.25">
      <c r="A297" t="s">
        <v>11</v>
      </c>
      <c r="B297" t="str">
        <f>"УТ-305-000044"</f>
        <v>УТ-305-000044</v>
      </c>
      <c r="C297" t="s">
        <v>65</v>
      </c>
      <c r="D297" t="s">
        <v>597</v>
      </c>
      <c r="E297" t="str">
        <f t="shared" si="13"/>
        <v>7839454551</v>
      </c>
      <c r="F297" t="s">
        <v>57</v>
      </c>
      <c r="G297" t="s">
        <v>620</v>
      </c>
      <c r="H297" t="s">
        <v>621</v>
      </c>
      <c r="I297" t="s">
        <v>17</v>
      </c>
      <c r="J297" t="s">
        <v>18</v>
      </c>
    </row>
    <row r="298" spans="1:10" hidden="1" x14ac:dyDescent="0.25">
      <c r="A298" t="s">
        <v>11</v>
      </c>
      <c r="B298" t="str">
        <f>"УТ-305-000041"</f>
        <v>УТ-305-000041</v>
      </c>
      <c r="C298" t="s">
        <v>65</v>
      </c>
      <c r="D298" t="s">
        <v>597</v>
      </c>
      <c r="E298" t="str">
        <f t="shared" si="13"/>
        <v>7839454551</v>
      </c>
      <c r="F298" t="s">
        <v>57</v>
      </c>
      <c r="G298" t="s">
        <v>622</v>
      </c>
      <c r="H298" t="s">
        <v>623</v>
      </c>
      <c r="I298" t="s">
        <v>17</v>
      </c>
      <c r="J298" t="s">
        <v>18</v>
      </c>
    </row>
    <row r="299" spans="1:10" hidden="1" x14ac:dyDescent="0.25">
      <c r="A299" t="s">
        <v>11</v>
      </c>
      <c r="B299" t="str">
        <f>"УТ-305-000040"</f>
        <v>УТ-305-000040</v>
      </c>
      <c r="C299" t="s">
        <v>65</v>
      </c>
      <c r="D299" t="s">
        <v>597</v>
      </c>
      <c r="E299" t="str">
        <f t="shared" si="13"/>
        <v>7839454551</v>
      </c>
      <c r="F299" t="s">
        <v>57</v>
      </c>
      <c r="G299" t="s">
        <v>624</v>
      </c>
      <c r="H299" t="s">
        <v>625</v>
      </c>
      <c r="I299" t="s">
        <v>17</v>
      </c>
      <c r="J299" t="s">
        <v>18</v>
      </c>
    </row>
    <row r="300" spans="1:10" hidden="1" x14ac:dyDescent="0.25">
      <c r="A300" t="s">
        <v>290</v>
      </c>
      <c r="B300" t="str">
        <f>"49"</f>
        <v>49</v>
      </c>
      <c r="C300" t="s">
        <v>49</v>
      </c>
      <c r="D300" t="s">
        <v>597</v>
      </c>
      <c r="E300" t="str">
        <f>"6950006259"</f>
        <v>6950006259</v>
      </c>
      <c r="F300" t="s">
        <v>626</v>
      </c>
      <c r="G300" t="s">
        <v>627</v>
      </c>
      <c r="H300" t="s">
        <v>628</v>
      </c>
      <c r="I300" t="s">
        <v>17</v>
      </c>
      <c r="J300" t="s">
        <v>21</v>
      </c>
    </row>
    <row r="301" spans="1:10" hidden="1" x14ac:dyDescent="0.25">
      <c r="A301" t="s">
        <v>11</v>
      </c>
      <c r="B301" t="str">
        <f>"150373/780E"</f>
        <v>150373/780E</v>
      </c>
      <c r="C301" t="s">
        <v>65</v>
      </c>
      <c r="D301" t="s">
        <v>597</v>
      </c>
      <c r="E301" t="str">
        <f t="shared" ref="E301:E309" si="14">"5003052454"</f>
        <v>5003052454</v>
      </c>
      <c r="F301" t="s">
        <v>14</v>
      </c>
      <c r="G301" t="s">
        <v>629</v>
      </c>
      <c r="H301" t="s">
        <v>630</v>
      </c>
      <c r="I301" t="s">
        <v>17</v>
      </c>
      <c r="J301" t="s">
        <v>18</v>
      </c>
    </row>
    <row r="302" spans="1:10" hidden="1" x14ac:dyDescent="0.25">
      <c r="A302" t="s">
        <v>11</v>
      </c>
      <c r="B302" t="str">
        <f>"150374/780E"</f>
        <v>150374/780E</v>
      </c>
      <c r="C302" t="s">
        <v>65</v>
      </c>
      <c r="D302" t="s">
        <v>597</v>
      </c>
      <c r="E302" t="str">
        <f t="shared" si="14"/>
        <v>5003052454</v>
      </c>
      <c r="F302" t="s">
        <v>14</v>
      </c>
      <c r="G302" t="s">
        <v>631</v>
      </c>
      <c r="H302" t="s">
        <v>632</v>
      </c>
      <c r="I302" t="s">
        <v>17</v>
      </c>
      <c r="J302" t="s">
        <v>18</v>
      </c>
    </row>
    <row r="303" spans="1:10" hidden="1" x14ac:dyDescent="0.25">
      <c r="A303" t="s">
        <v>11</v>
      </c>
      <c r="B303" t="str">
        <f>"150375/780E"</f>
        <v>150375/780E</v>
      </c>
      <c r="C303" t="s">
        <v>65</v>
      </c>
      <c r="D303" t="s">
        <v>597</v>
      </c>
      <c r="E303" t="str">
        <f t="shared" si="14"/>
        <v>5003052454</v>
      </c>
      <c r="F303" t="s">
        <v>14</v>
      </c>
      <c r="G303" t="s">
        <v>633</v>
      </c>
      <c r="H303" t="s">
        <v>634</v>
      </c>
      <c r="I303" t="s">
        <v>17</v>
      </c>
      <c r="J303" t="s">
        <v>18</v>
      </c>
    </row>
    <row r="304" spans="1:10" hidden="1" x14ac:dyDescent="0.25">
      <c r="A304" t="s">
        <v>11</v>
      </c>
      <c r="B304" t="str">
        <f>"150376/780E"</f>
        <v>150376/780E</v>
      </c>
      <c r="C304" t="s">
        <v>65</v>
      </c>
      <c r="D304" t="s">
        <v>597</v>
      </c>
      <c r="E304" t="str">
        <f t="shared" si="14"/>
        <v>5003052454</v>
      </c>
      <c r="F304" t="s">
        <v>14</v>
      </c>
      <c r="G304" t="s">
        <v>635</v>
      </c>
      <c r="H304" t="s">
        <v>636</v>
      </c>
      <c r="I304" t="s">
        <v>17</v>
      </c>
      <c r="J304" t="s">
        <v>18</v>
      </c>
    </row>
    <row r="305" spans="1:10" hidden="1" x14ac:dyDescent="0.25">
      <c r="A305" t="s">
        <v>11</v>
      </c>
      <c r="B305" t="str">
        <f>"150377/780E"</f>
        <v>150377/780E</v>
      </c>
      <c r="C305" t="s">
        <v>65</v>
      </c>
      <c r="D305" t="s">
        <v>597</v>
      </c>
      <c r="E305" t="str">
        <f t="shared" si="14"/>
        <v>5003052454</v>
      </c>
      <c r="F305" t="s">
        <v>14</v>
      </c>
      <c r="G305" t="s">
        <v>637</v>
      </c>
      <c r="H305" t="s">
        <v>638</v>
      </c>
      <c r="I305" t="s">
        <v>17</v>
      </c>
      <c r="J305" t="s">
        <v>18</v>
      </c>
    </row>
    <row r="306" spans="1:10" hidden="1" x14ac:dyDescent="0.25">
      <c r="A306" t="s">
        <v>11</v>
      </c>
      <c r="B306" t="str">
        <f>"150378/780E"</f>
        <v>150378/780E</v>
      </c>
      <c r="C306" t="s">
        <v>65</v>
      </c>
      <c r="D306" t="s">
        <v>597</v>
      </c>
      <c r="E306" t="str">
        <f t="shared" si="14"/>
        <v>5003052454</v>
      </c>
      <c r="F306" t="s">
        <v>14</v>
      </c>
      <c r="G306" t="s">
        <v>639</v>
      </c>
      <c r="H306" t="s">
        <v>640</v>
      </c>
      <c r="I306" t="s">
        <v>17</v>
      </c>
      <c r="J306" t="s">
        <v>18</v>
      </c>
    </row>
    <row r="307" spans="1:10" hidden="1" x14ac:dyDescent="0.25">
      <c r="A307" t="s">
        <v>11</v>
      </c>
      <c r="B307" t="str">
        <f>"150380/780E"</f>
        <v>150380/780E</v>
      </c>
      <c r="C307" t="s">
        <v>65</v>
      </c>
      <c r="D307" t="s">
        <v>597</v>
      </c>
      <c r="E307" t="str">
        <f t="shared" si="14"/>
        <v>5003052454</v>
      </c>
      <c r="F307" t="s">
        <v>14</v>
      </c>
      <c r="G307" t="s">
        <v>641</v>
      </c>
      <c r="H307" t="s">
        <v>642</v>
      </c>
      <c r="I307" t="s">
        <v>17</v>
      </c>
      <c r="J307" t="s">
        <v>18</v>
      </c>
    </row>
    <row r="308" spans="1:10" hidden="1" x14ac:dyDescent="0.25">
      <c r="A308" t="s">
        <v>11</v>
      </c>
      <c r="B308" t="str">
        <f>"150381/780E"</f>
        <v>150381/780E</v>
      </c>
      <c r="C308" t="s">
        <v>65</v>
      </c>
      <c r="D308" t="s">
        <v>597</v>
      </c>
      <c r="E308" t="str">
        <f t="shared" si="14"/>
        <v>5003052454</v>
      </c>
      <c r="F308" t="s">
        <v>14</v>
      </c>
      <c r="G308" t="s">
        <v>643</v>
      </c>
      <c r="H308" t="s">
        <v>644</v>
      </c>
      <c r="I308" t="s">
        <v>17</v>
      </c>
      <c r="J308" t="s">
        <v>18</v>
      </c>
    </row>
    <row r="309" spans="1:10" hidden="1" x14ac:dyDescent="0.25">
      <c r="A309" t="s">
        <v>11</v>
      </c>
      <c r="B309" t="str">
        <f>"150379/780E"</f>
        <v>150379/780E</v>
      </c>
      <c r="C309" t="s">
        <v>65</v>
      </c>
      <c r="D309" t="s">
        <v>597</v>
      </c>
      <c r="E309" t="str">
        <f t="shared" si="14"/>
        <v>5003052454</v>
      </c>
      <c r="F309" t="s">
        <v>14</v>
      </c>
      <c r="G309" t="s">
        <v>645</v>
      </c>
      <c r="H309" t="s">
        <v>646</v>
      </c>
      <c r="I309" t="s">
        <v>17</v>
      </c>
      <c r="J309" t="s">
        <v>18</v>
      </c>
    </row>
    <row r="310" spans="1:10" hidden="1" x14ac:dyDescent="0.25">
      <c r="A310" t="s">
        <v>11</v>
      </c>
      <c r="B310" t="str">
        <f>"UT-106675"</f>
        <v>UT-106675</v>
      </c>
      <c r="C310" t="s">
        <v>65</v>
      </c>
      <c r="D310" t="s">
        <v>597</v>
      </c>
      <c r="E310" t="str">
        <f t="shared" ref="E310:E317" si="15">"7806385951"</f>
        <v>7806385951</v>
      </c>
      <c r="F310" t="s">
        <v>26</v>
      </c>
      <c r="G310" t="s">
        <v>647</v>
      </c>
      <c r="H310" t="s">
        <v>648</v>
      </c>
      <c r="I310" t="s">
        <v>17</v>
      </c>
      <c r="J310" t="s">
        <v>18</v>
      </c>
    </row>
    <row r="311" spans="1:10" hidden="1" x14ac:dyDescent="0.25">
      <c r="A311" t="s">
        <v>11</v>
      </c>
      <c r="B311" t="str">
        <f>"UT-106706"</f>
        <v>UT-106706</v>
      </c>
      <c r="C311" t="s">
        <v>65</v>
      </c>
      <c r="D311" t="s">
        <v>597</v>
      </c>
      <c r="E311" t="str">
        <f t="shared" si="15"/>
        <v>7806385951</v>
      </c>
      <c r="F311" t="s">
        <v>26</v>
      </c>
      <c r="G311" t="s">
        <v>649</v>
      </c>
      <c r="H311" t="s">
        <v>650</v>
      </c>
      <c r="I311" t="s">
        <v>17</v>
      </c>
      <c r="J311" t="s">
        <v>18</v>
      </c>
    </row>
    <row r="312" spans="1:10" hidden="1" x14ac:dyDescent="0.25">
      <c r="A312" t="s">
        <v>11</v>
      </c>
      <c r="B312" t="str">
        <f>"UT-106676"</f>
        <v>UT-106676</v>
      </c>
      <c r="C312" t="s">
        <v>65</v>
      </c>
      <c r="D312" t="s">
        <v>597</v>
      </c>
      <c r="E312" t="str">
        <f t="shared" si="15"/>
        <v>7806385951</v>
      </c>
      <c r="F312" t="s">
        <v>26</v>
      </c>
      <c r="G312" t="s">
        <v>651</v>
      </c>
      <c r="H312" t="s">
        <v>652</v>
      </c>
      <c r="I312" t="s">
        <v>17</v>
      </c>
      <c r="J312" t="s">
        <v>18</v>
      </c>
    </row>
    <row r="313" spans="1:10" hidden="1" x14ac:dyDescent="0.25">
      <c r="A313" t="s">
        <v>11</v>
      </c>
      <c r="B313" t="str">
        <f>"UT-106967"</f>
        <v>UT-106967</v>
      </c>
      <c r="C313" t="s">
        <v>65</v>
      </c>
      <c r="D313" t="s">
        <v>597</v>
      </c>
      <c r="E313" t="str">
        <f t="shared" si="15"/>
        <v>7806385951</v>
      </c>
      <c r="F313" t="s">
        <v>26</v>
      </c>
      <c r="G313" t="s">
        <v>653</v>
      </c>
      <c r="H313" t="s">
        <v>654</v>
      </c>
      <c r="I313" t="s">
        <v>17</v>
      </c>
      <c r="J313" t="s">
        <v>18</v>
      </c>
    </row>
    <row r="314" spans="1:10" hidden="1" x14ac:dyDescent="0.25">
      <c r="A314" t="s">
        <v>11</v>
      </c>
      <c r="B314" t="str">
        <f>"UT-107094"</f>
        <v>UT-107094</v>
      </c>
      <c r="C314" t="s">
        <v>65</v>
      </c>
      <c r="D314" t="s">
        <v>597</v>
      </c>
      <c r="E314" t="str">
        <f t="shared" si="15"/>
        <v>7806385951</v>
      </c>
      <c r="F314" t="s">
        <v>26</v>
      </c>
      <c r="G314" t="s">
        <v>655</v>
      </c>
      <c r="H314" t="s">
        <v>656</v>
      </c>
      <c r="I314" t="s">
        <v>17</v>
      </c>
      <c r="J314" t="s">
        <v>18</v>
      </c>
    </row>
    <row r="315" spans="1:10" hidden="1" x14ac:dyDescent="0.25">
      <c r="A315" t="s">
        <v>11</v>
      </c>
      <c r="B315" t="str">
        <f>"UT-107095"</f>
        <v>UT-107095</v>
      </c>
      <c r="C315" t="s">
        <v>65</v>
      </c>
      <c r="D315" t="s">
        <v>597</v>
      </c>
      <c r="E315" t="str">
        <f t="shared" si="15"/>
        <v>7806385951</v>
      </c>
      <c r="F315" t="s">
        <v>26</v>
      </c>
      <c r="G315" t="s">
        <v>657</v>
      </c>
      <c r="H315" t="s">
        <v>658</v>
      </c>
      <c r="I315" t="s">
        <v>17</v>
      </c>
      <c r="J315" t="s">
        <v>18</v>
      </c>
    </row>
    <row r="316" spans="1:10" hidden="1" x14ac:dyDescent="0.25">
      <c r="A316" t="s">
        <v>11</v>
      </c>
      <c r="B316" t="str">
        <f>"UT-107096"</f>
        <v>UT-107096</v>
      </c>
      <c r="C316" t="s">
        <v>65</v>
      </c>
      <c r="D316" t="s">
        <v>597</v>
      </c>
      <c r="E316" t="str">
        <f t="shared" si="15"/>
        <v>7806385951</v>
      </c>
      <c r="F316" t="s">
        <v>26</v>
      </c>
      <c r="G316" t="s">
        <v>659</v>
      </c>
      <c r="H316" t="s">
        <v>660</v>
      </c>
      <c r="I316" t="s">
        <v>17</v>
      </c>
      <c r="J316" t="s">
        <v>18</v>
      </c>
    </row>
    <row r="317" spans="1:10" hidden="1" x14ac:dyDescent="0.25">
      <c r="A317" t="s">
        <v>11</v>
      </c>
      <c r="B317" t="str">
        <f>"UT-107112"</f>
        <v>UT-107112</v>
      </c>
      <c r="C317" t="s">
        <v>65</v>
      </c>
      <c r="D317" t="s">
        <v>597</v>
      </c>
      <c r="E317" t="str">
        <f t="shared" si="15"/>
        <v>7806385951</v>
      </c>
      <c r="F317" t="s">
        <v>26</v>
      </c>
      <c r="G317" t="s">
        <v>661</v>
      </c>
      <c r="H317" t="s">
        <v>662</v>
      </c>
      <c r="I317" t="s">
        <v>17</v>
      </c>
      <c r="J317" t="s">
        <v>18</v>
      </c>
    </row>
    <row r="318" spans="1:10" hidden="1" x14ac:dyDescent="0.25">
      <c r="A318" t="s">
        <v>11</v>
      </c>
      <c r="B318" t="str">
        <f>"SR110023065"</f>
        <v>SR110023065</v>
      </c>
      <c r="C318" t="s">
        <v>65</v>
      </c>
      <c r="D318" t="s">
        <v>597</v>
      </c>
      <c r="E318" t="str">
        <f>"4725006920"</f>
        <v>4725006920</v>
      </c>
      <c r="F318" t="s">
        <v>101</v>
      </c>
      <c r="G318" t="s">
        <v>663</v>
      </c>
      <c r="H318" t="s">
        <v>664</v>
      </c>
      <c r="I318" t="s">
        <v>17</v>
      </c>
      <c r="J318" t="s">
        <v>18</v>
      </c>
    </row>
    <row r="319" spans="1:10" hidden="1" x14ac:dyDescent="0.25">
      <c r="A319" t="s">
        <v>11</v>
      </c>
      <c r="B319" t="str">
        <f>"851"</f>
        <v>851</v>
      </c>
      <c r="C319" t="s">
        <v>49</v>
      </c>
      <c r="D319" t="s">
        <v>597</v>
      </c>
      <c r="E319" t="str">
        <f>"7704340969"</f>
        <v>7704340969</v>
      </c>
      <c r="F319" t="s">
        <v>76</v>
      </c>
      <c r="G319" t="s">
        <v>665</v>
      </c>
      <c r="H319" t="s">
        <v>666</v>
      </c>
      <c r="I319" t="s">
        <v>17</v>
      </c>
      <c r="J319" t="s">
        <v>18</v>
      </c>
    </row>
    <row r="320" spans="1:10" hidden="1" x14ac:dyDescent="0.25">
      <c r="A320" t="s">
        <v>11</v>
      </c>
      <c r="B320" t="str">
        <f>"7810/8174426673"</f>
        <v>7810/8174426673</v>
      </c>
      <c r="C320" t="s">
        <v>65</v>
      </c>
      <c r="D320" t="s">
        <v>597</v>
      </c>
      <c r="E320" t="str">
        <f>"5032260402"</f>
        <v>5032260402</v>
      </c>
      <c r="F320" t="s">
        <v>341</v>
      </c>
      <c r="G320" t="s">
        <v>667</v>
      </c>
      <c r="H320" t="s">
        <v>668</v>
      </c>
      <c r="I320" t="s">
        <v>17</v>
      </c>
      <c r="J320" t="s">
        <v>18</v>
      </c>
    </row>
    <row r="321" spans="1:10" hidden="1" x14ac:dyDescent="0.25">
      <c r="A321" t="s">
        <v>11</v>
      </c>
      <c r="B321" t="str">
        <f>"888"</f>
        <v>888</v>
      </c>
      <c r="C321" t="s">
        <v>49</v>
      </c>
      <c r="D321" t="s">
        <v>597</v>
      </c>
      <c r="E321" t="str">
        <f>"7704340969"</f>
        <v>7704340969</v>
      </c>
      <c r="F321" t="s">
        <v>76</v>
      </c>
      <c r="G321" t="s">
        <v>669</v>
      </c>
      <c r="H321" t="s">
        <v>670</v>
      </c>
      <c r="I321" t="s">
        <v>17</v>
      </c>
      <c r="J321" t="s">
        <v>21</v>
      </c>
    </row>
    <row r="322" spans="1:10" hidden="1" x14ac:dyDescent="0.25">
      <c r="A322" t="s">
        <v>11</v>
      </c>
      <c r="B322" t="str">
        <f>"915"</f>
        <v>915</v>
      </c>
      <c r="C322" t="s">
        <v>49</v>
      </c>
      <c r="D322" t="s">
        <v>597</v>
      </c>
      <c r="E322" t="str">
        <f>"7704340969"</f>
        <v>7704340969</v>
      </c>
      <c r="F322" t="s">
        <v>76</v>
      </c>
      <c r="G322" t="s">
        <v>671</v>
      </c>
      <c r="H322" t="s">
        <v>672</v>
      </c>
      <c r="I322" t="s">
        <v>17</v>
      </c>
      <c r="J322" t="s">
        <v>18</v>
      </c>
    </row>
    <row r="323" spans="1:10" hidden="1" x14ac:dyDescent="0.25">
      <c r="A323" t="s">
        <v>11</v>
      </c>
      <c r="B323" t="str">
        <f>"958"</f>
        <v>958</v>
      </c>
      <c r="C323" t="s">
        <v>49</v>
      </c>
      <c r="D323" t="s">
        <v>597</v>
      </c>
      <c r="E323" t="str">
        <f>"7704340969"</f>
        <v>7704340969</v>
      </c>
      <c r="F323" t="s">
        <v>76</v>
      </c>
      <c r="G323" t="s">
        <v>673</v>
      </c>
      <c r="H323" t="s">
        <v>674</v>
      </c>
      <c r="I323" t="s">
        <v>17</v>
      </c>
      <c r="J323" t="s">
        <v>21</v>
      </c>
    </row>
    <row r="324" spans="1:10" hidden="1" x14ac:dyDescent="0.25">
      <c r="A324" t="s">
        <v>11</v>
      </c>
      <c r="B324" t="str">
        <f>"7810/8174420267"</f>
        <v>7810/8174420267</v>
      </c>
      <c r="C324" t="s">
        <v>65</v>
      </c>
      <c r="D324" t="s">
        <v>597</v>
      </c>
      <c r="E324" t="str">
        <f>"5032260402"</f>
        <v>5032260402</v>
      </c>
      <c r="F324" t="s">
        <v>341</v>
      </c>
      <c r="G324" t="s">
        <v>675</v>
      </c>
      <c r="H324" t="s">
        <v>676</v>
      </c>
      <c r="I324" t="s">
        <v>17</v>
      </c>
      <c r="J324" t="s">
        <v>18</v>
      </c>
    </row>
    <row r="325" spans="1:10" hidden="1" x14ac:dyDescent="0.25">
      <c r="A325" t="s">
        <v>11</v>
      </c>
      <c r="B325" t="str">
        <f>"2023/40/03/0034151/06"</f>
        <v>2023/40/03/0034151/06</v>
      </c>
      <c r="C325" t="s">
        <v>12</v>
      </c>
      <c r="D325" t="s">
        <v>597</v>
      </c>
      <c r="E325" t="str">
        <f>"7718151150"</f>
        <v>7718151150</v>
      </c>
      <c r="F325" t="s">
        <v>54</v>
      </c>
      <c r="G325" t="s">
        <v>255</v>
      </c>
      <c r="H325" t="s">
        <v>677</v>
      </c>
      <c r="I325" t="s">
        <v>17</v>
      </c>
      <c r="J325" t="s">
        <v>18</v>
      </c>
    </row>
    <row r="326" spans="1:10" hidden="1" x14ac:dyDescent="0.25">
      <c r="A326" t="s">
        <v>11</v>
      </c>
      <c r="B326" t="str">
        <f>"27870"</f>
        <v>27870</v>
      </c>
      <c r="C326" t="s">
        <v>12</v>
      </c>
      <c r="D326" t="s">
        <v>597</v>
      </c>
      <c r="E326" t="str">
        <f t="shared" ref="E326:E334" si="16">"7729488999"</f>
        <v>7729488999</v>
      </c>
      <c r="F326" t="s">
        <v>85</v>
      </c>
      <c r="G326" t="s">
        <v>678</v>
      </c>
      <c r="H326" t="s">
        <v>679</v>
      </c>
      <c r="I326" t="s">
        <v>17</v>
      </c>
      <c r="J326" t="s">
        <v>388</v>
      </c>
    </row>
    <row r="327" spans="1:10" hidden="1" x14ac:dyDescent="0.25">
      <c r="A327" t="s">
        <v>11</v>
      </c>
      <c r="B327" t="str">
        <f>"27847"</f>
        <v>27847</v>
      </c>
      <c r="C327" t="s">
        <v>12</v>
      </c>
      <c r="D327" t="s">
        <v>597</v>
      </c>
      <c r="E327" t="str">
        <f t="shared" si="16"/>
        <v>7729488999</v>
      </c>
      <c r="F327" t="s">
        <v>85</v>
      </c>
      <c r="G327" t="s">
        <v>680</v>
      </c>
      <c r="H327" t="s">
        <v>681</v>
      </c>
      <c r="I327" t="s">
        <v>17</v>
      </c>
      <c r="J327" t="s">
        <v>21</v>
      </c>
    </row>
    <row r="328" spans="1:10" hidden="1" x14ac:dyDescent="0.25">
      <c r="A328" t="s">
        <v>11</v>
      </c>
      <c r="B328" t="str">
        <f>"27841"</f>
        <v>27841</v>
      </c>
      <c r="C328" t="s">
        <v>12</v>
      </c>
      <c r="D328" t="s">
        <v>597</v>
      </c>
      <c r="E328" t="str">
        <f t="shared" si="16"/>
        <v>7729488999</v>
      </c>
      <c r="F328" t="s">
        <v>85</v>
      </c>
      <c r="G328" t="s">
        <v>682</v>
      </c>
      <c r="H328" t="s">
        <v>683</v>
      </c>
      <c r="I328" t="s">
        <v>17</v>
      </c>
      <c r="J328" t="s">
        <v>18</v>
      </c>
    </row>
    <row r="329" spans="1:10" hidden="1" x14ac:dyDescent="0.25">
      <c r="A329" t="s">
        <v>11</v>
      </c>
      <c r="B329" t="str">
        <f>"27715"</f>
        <v>27715</v>
      </c>
      <c r="C329" t="s">
        <v>12</v>
      </c>
      <c r="D329" t="s">
        <v>597</v>
      </c>
      <c r="E329" t="str">
        <f t="shared" si="16"/>
        <v>7729488999</v>
      </c>
      <c r="F329" t="s">
        <v>85</v>
      </c>
      <c r="G329" t="s">
        <v>684</v>
      </c>
      <c r="H329" t="s">
        <v>685</v>
      </c>
      <c r="I329" t="s">
        <v>17</v>
      </c>
      <c r="J329" t="s">
        <v>18</v>
      </c>
    </row>
    <row r="330" spans="1:10" hidden="1" x14ac:dyDescent="0.25">
      <c r="A330" t="s">
        <v>11</v>
      </c>
      <c r="B330" t="str">
        <f>"27750"</f>
        <v>27750</v>
      </c>
      <c r="C330" t="s">
        <v>12</v>
      </c>
      <c r="D330" t="s">
        <v>597</v>
      </c>
      <c r="E330" t="str">
        <f t="shared" si="16"/>
        <v>7729488999</v>
      </c>
      <c r="F330" t="s">
        <v>85</v>
      </c>
      <c r="G330" t="s">
        <v>686</v>
      </c>
      <c r="H330" t="s">
        <v>687</v>
      </c>
      <c r="I330" t="s">
        <v>17</v>
      </c>
      <c r="J330" t="s">
        <v>18</v>
      </c>
    </row>
    <row r="331" spans="1:10" hidden="1" x14ac:dyDescent="0.25">
      <c r="A331" t="s">
        <v>11</v>
      </c>
      <c r="B331" t="str">
        <f>"27710"</f>
        <v>27710</v>
      </c>
      <c r="C331" t="s">
        <v>12</v>
      </c>
      <c r="D331" t="s">
        <v>597</v>
      </c>
      <c r="E331" t="str">
        <f t="shared" si="16"/>
        <v>7729488999</v>
      </c>
      <c r="F331" t="s">
        <v>85</v>
      </c>
      <c r="G331" t="s">
        <v>688</v>
      </c>
      <c r="H331" t="s">
        <v>689</v>
      </c>
      <c r="I331" t="s">
        <v>17</v>
      </c>
      <c r="J331" t="s">
        <v>18</v>
      </c>
    </row>
    <row r="332" spans="1:10" hidden="1" x14ac:dyDescent="0.25">
      <c r="A332" t="s">
        <v>11</v>
      </c>
      <c r="B332" t="str">
        <f>"27707"</f>
        <v>27707</v>
      </c>
      <c r="C332" t="s">
        <v>12</v>
      </c>
      <c r="D332" t="s">
        <v>597</v>
      </c>
      <c r="E332" t="str">
        <f t="shared" si="16"/>
        <v>7729488999</v>
      </c>
      <c r="F332" t="s">
        <v>85</v>
      </c>
      <c r="G332" t="s">
        <v>690</v>
      </c>
      <c r="H332" t="s">
        <v>691</v>
      </c>
      <c r="I332" t="s">
        <v>17</v>
      </c>
      <c r="J332" t="s">
        <v>18</v>
      </c>
    </row>
    <row r="333" spans="1:10" hidden="1" x14ac:dyDescent="0.25">
      <c r="A333" t="s">
        <v>11</v>
      </c>
      <c r="B333" t="str">
        <f>"27699"</f>
        <v>27699</v>
      </c>
      <c r="C333" t="s">
        <v>12</v>
      </c>
      <c r="D333" t="s">
        <v>597</v>
      </c>
      <c r="E333" t="str">
        <f t="shared" si="16"/>
        <v>7729488999</v>
      </c>
      <c r="F333" t="s">
        <v>85</v>
      </c>
      <c r="G333" t="s">
        <v>692</v>
      </c>
      <c r="H333" t="s">
        <v>693</v>
      </c>
      <c r="I333" t="s">
        <v>17</v>
      </c>
      <c r="J333" t="s">
        <v>18</v>
      </c>
    </row>
    <row r="334" spans="1:10" hidden="1" x14ac:dyDescent="0.25">
      <c r="A334" t="s">
        <v>11</v>
      </c>
      <c r="B334" t="str">
        <f>"27688"</f>
        <v>27688</v>
      </c>
      <c r="C334" t="s">
        <v>12</v>
      </c>
      <c r="D334" t="s">
        <v>597</v>
      </c>
      <c r="E334" t="str">
        <f t="shared" si="16"/>
        <v>7729488999</v>
      </c>
      <c r="F334" t="s">
        <v>85</v>
      </c>
      <c r="G334" t="s">
        <v>694</v>
      </c>
      <c r="H334" t="s">
        <v>695</v>
      </c>
      <c r="I334" t="s">
        <v>17</v>
      </c>
      <c r="J334" t="s">
        <v>18</v>
      </c>
    </row>
    <row r="335" spans="1:10" hidden="1" x14ac:dyDescent="0.25">
      <c r="A335" t="s">
        <v>11</v>
      </c>
      <c r="B335" t="str">
        <f>"УТ-2804-000100"</f>
        <v>УТ-2804-000100</v>
      </c>
      <c r="C335" t="s">
        <v>559</v>
      </c>
      <c r="D335" t="s">
        <v>597</v>
      </c>
      <c r="E335" t="str">
        <f t="shared" ref="E335:E340" si="17">"7839454551"</f>
        <v>7839454551</v>
      </c>
      <c r="F335" t="s">
        <v>57</v>
      </c>
      <c r="G335" t="s">
        <v>610</v>
      </c>
      <c r="H335" t="s">
        <v>696</v>
      </c>
      <c r="I335" t="s">
        <v>17</v>
      </c>
      <c r="J335" t="s">
        <v>18</v>
      </c>
    </row>
    <row r="336" spans="1:10" hidden="1" x14ac:dyDescent="0.25">
      <c r="A336" t="s">
        <v>11</v>
      </c>
      <c r="B336" t="str">
        <f>"УТ-2804-000095"</f>
        <v>УТ-2804-000095</v>
      </c>
      <c r="C336" t="s">
        <v>559</v>
      </c>
      <c r="D336" t="s">
        <v>597</v>
      </c>
      <c r="E336" t="str">
        <f t="shared" si="17"/>
        <v>7839454551</v>
      </c>
      <c r="F336" t="s">
        <v>57</v>
      </c>
      <c r="G336" t="s">
        <v>614</v>
      </c>
      <c r="H336" t="s">
        <v>697</v>
      </c>
      <c r="I336" t="s">
        <v>17</v>
      </c>
      <c r="J336" t="s">
        <v>18</v>
      </c>
    </row>
    <row r="337" spans="1:10" hidden="1" x14ac:dyDescent="0.25">
      <c r="A337" t="s">
        <v>11</v>
      </c>
      <c r="B337" t="str">
        <f>"УТ-2804-000094"</f>
        <v>УТ-2804-000094</v>
      </c>
      <c r="C337" t="s">
        <v>559</v>
      </c>
      <c r="D337" t="s">
        <v>597</v>
      </c>
      <c r="E337" t="str">
        <f t="shared" si="17"/>
        <v>7839454551</v>
      </c>
      <c r="F337" t="s">
        <v>57</v>
      </c>
      <c r="G337" t="s">
        <v>698</v>
      </c>
      <c r="H337" t="s">
        <v>699</v>
      </c>
      <c r="I337" t="s">
        <v>17</v>
      </c>
      <c r="J337" t="s">
        <v>18</v>
      </c>
    </row>
    <row r="338" spans="1:10" hidden="1" x14ac:dyDescent="0.25">
      <c r="A338" t="s">
        <v>11</v>
      </c>
      <c r="B338" t="str">
        <f>"УТ-2804-000093"</f>
        <v>УТ-2804-000093</v>
      </c>
      <c r="C338" t="s">
        <v>559</v>
      </c>
      <c r="D338" t="s">
        <v>597</v>
      </c>
      <c r="E338" t="str">
        <f t="shared" si="17"/>
        <v>7839454551</v>
      </c>
      <c r="F338" t="s">
        <v>57</v>
      </c>
      <c r="G338" t="s">
        <v>700</v>
      </c>
      <c r="H338" t="s">
        <v>701</v>
      </c>
      <c r="I338" t="s">
        <v>17</v>
      </c>
      <c r="J338" t="s">
        <v>18</v>
      </c>
    </row>
    <row r="339" spans="1:10" hidden="1" x14ac:dyDescent="0.25">
      <c r="A339" t="s">
        <v>11</v>
      </c>
      <c r="B339" t="str">
        <f>"УТ-2804-000092"</f>
        <v>УТ-2804-000092</v>
      </c>
      <c r="C339" t="s">
        <v>559</v>
      </c>
      <c r="D339" t="s">
        <v>597</v>
      </c>
      <c r="E339" t="str">
        <f t="shared" si="17"/>
        <v>7839454551</v>
      </c>
      <c r="F339" t="s">
        <v>57</v>
      </c>
      <c r="G339" t="s">
        <v>702</v>
      </c>
      <c r="H339" t="s">
        <v>703</v>
      </c>
      <c r="I339" t="s">
        <v>17</v>
      </c>
      <c r="J339" t="s">
        <v>18</v>
      </c>
    </row>
    <row r="340" spans="1:10" hidden="1" x14ac:dyDescent="0.25">
      <c r="A340" t="s">
        <v>11</v>
      </c>
      <c r="B340" t="str">
        <f>"УТ-2804-000091"</f>
        <v>УТ-2804-000091</v>
      </c>
      <c r="C340" t="s">
        <v>559</v>
      </c>
      <c r="D340" t="s">
        <v>597</v>
      </c>
      <c r="E340" t="str">
        <f t="shared" si="17"/>
        <v>7839454551</v>
      </c>
      <c r="F340" t="s">
        <v>57</v>
      </c>
      <c r="G340" t="s">
        <v>704</v>
      </c>
      <c r="H340" t="s">
        <v>705</v>
      </c>
      <c r="I340" t="s">
        <v>17</v>
      </c>
      <c r="J340" t="s">
        <v>18</v>
      </c>
    </row>
    <row r="341" spans="1:10" hidden="1" x14ac:dyDescent="0.25">
      <c r="A341" t="s">
        <v>11</v>
      </c>
      <c r="B341" t="str">
        <f>"112"</f>
        <v>112</v>
      </c>
      <c r="C341" t="s">
        <v>49</v>
      </c>
      <c r="D341" t="s">
        <v>597</v>
      </c>
      <c r="E341" t="str">
        <f>"7743128596"</f>
        <v>7743128596</v>
      </c>
      <c r="F341" t="s">
        <v>351</v>
      </c>
      <c r="G341" t="s">
        <v>352</v>
      </c>
      <c r="H341" t="s">
        <v>706</v>
      </c>
      <c r="I341" t="s">
        <v>17</v>
      </c>
      <c r="J341" t="s">
        <v>707</v>
      </c>
    </row>
    <row r="342" spans="1:10" hidden="1" x14ac:dyDescent="0.25">
      <c r="A342" t="s">
        <v>11</v>
      </c>
      <c r="B342" t="str">
        <f>"УТ-1404-000069"</f>
        <v>УТ-1404-000069</v>
      </c>
      <c r="C342" t="s">
        <v>708</v>
      </c>
      <c r="D342" t="s">
        <v>597</v>
      </c>
      <c r="E342" t="str">
        <f>"7839454551"</f>
        <v>7839454551</v>
      </c>
      <c r="F342" t="s">
        <v>57</v>
      </c>
      <c r="G342" t="s">
        <v>709</v>
      </c>
      <c r="H342" t="s">
        <v>710</v>
      </c>
      <c r="I342" t="s">
        <v>17</v>
      </c>
      <c r="J342" t="s">
        <v>388</v>
      </c>
    </row>
    <row r="343" spans="1:10" hidden="1" x14ac:dyDescent="0.25">
      <c r="A343" t="s">
        <v>11</v>
      </c>
      <c r="B343" t="str">
        <f>"УТ-1404-000059"</f>
        <v>УТ-1404-000059</v>
      </c>
      <c r="C343" t="s">
        <v>708</v>
      </c>
      <c r="D343" t="s">
        <v>597</v>
      </c>
      <c r="E343" t="str">
        <f>"7839454551"</f>
        <v>7839454551</v>
      </c>
      <c r="F343" t="s">
        <v>57</v>
      </c>
      <c r="G343" t="s">
        <v>711</v>
      </c>
      <c r="H343" t="s">
        <v>712</v>
      </c>
      <c r="I343" t="s">
        <v>17</v>
      </c>
      <c r="J343" t="s">
        <v>388</v>
      </c>
    </row>
    <row r="344" spans="1:10" hidden="1" x14ac:dyDescent="0.25">
      <c r="A344" t="s">
        <v>11</v>
      </c>
      <c r="B344" t="str">
        <f>"153"</f>
        <v>153</v>
      </c>
      <c r="C344" t="s">
        <v>49</v>
      </c>
      <c r="D344" t="s">
        <v>597</v>
      </c>
      <c r="E344" t="str">
        <f>"7702392168"</f>
        <v>7702392168</v>
      </c>
      <c r="F344" t="s">
        <v>97</v>
      </c>
      <c r="G344" t="s">
        <v>713</v>
      </c>
      <c r="H344" t="s">
        <v>714</v>
      </c>
      <c r="I344" t="s">
        <v>17</v>
      </c>
      <c r="J344" t="s">
        <v>18</v>
      </c>
    </row>
    <row r="345" spans="1:10" hidden="1" x14ac:dyDescent="0.25">
      <c r="A345" t="s">
        <v>11</v>
      </c>
      <c r="B345" t="str">
        <f>"28544"</f>
        <v>28544</v>
      </c>
      <c r="C345" t="s">
        <v>100</v>
      </c>
      <c r="D345" t="s">
        <v>597</v>
      </c>
      <c r="E345" t="str">
        <f>"7729488999"</f>
        <v>7729488999</v>
      </c>
      <c r="F345" t="s">
        <v>85</v>
      </c>
      <c r="G345" t="s">
        <v>715</v>
      </c>
      <c r="H345" t="s">
        <v>716</v>
      </c>
      <c r="I345" t="s">
        <v>17</v>
      </c>
      <c r="J345" t="s">
        <v>18</v>
      </c>
    </row>
    <row r="346" spans="1:10" hidden="1" x14ac:dyDescent="0.25">
      <c r="A346" t="s">
        <v>11</v>
      </c>
      <c r="B346" t="str">
        <f>"152611/780E"</f>
        <v>152611/780E</v>
      </c>
      <c r="C346" t="s">
        <v>100</v>
      </c>
      <c r="D346" t="s">
        <v>597</v>
      </c>
      <c r="E346" t="str">
        <f t="shared" ref="E346:E353" si="18">"5003052454"</f>
        <v>5003052454</v>
      </c>
      <c r="F346" t="s">
        <v>14</v>
      </c>
      <c r="G346" t="s">
        <v>717</v>
      </c>
      <c r="H346" t="s">
        <v>718</v>
      </c>
      <c r="I346" t="s">
        <v>17</v>
      </c>
      <c r="J346" t="s">
        <v>18</v>
      </c>
    </row>
    <row r="347" spans="1:10" hidden="1" x14ac:dyDescent="0.25">
      <c r="A347" t="s">
        <v>11</v>
      </c>
      <c r="B347" t="str">
        <f>"152610/780E"</f>
        <v>152610/780E</v>
      </c>
      <c r="C347" t="s">
        <v>100</v>
      </c>
      <c r="D347" t="s">
        <v>597</v>
      </c>
      <c r="E347" t="str">
        <f t="shared" si="18"/>
        <v>5003052454</v>
      </c>
      <c r="F347" t="s">
        <v>14</v>
      </c>
      <c r="G347" t="s">
        <v>719</v>
      </c>
      <c r="H347" t="s">
        <v>720</v>
      </c>
      <c r="I347" t="s">
        <v>17</v>
      </c>
      <c r="J347" t="s">
        <v>18</v>
      </c>
    </row>
    <row r="348" spans="1:10" hidden="1" x14ac:dyDescent="0.25">
      <c r="A348" t="s">
        <v>11</v>
      </c>
      <c r="B348" t="str">
        <f>"152612/780E"</f>
        <v>152612/780E</v>
      </c>
      <c r="C348" t="s">
        <v>100</v>
      </c>
      <c r="D348" t="s">
        <v>597</v>
      </c>
      <c r="E348" t="str">
        <f t="shared" si="18"/>
        <v>5003052454</v>
      </c>
      <c r="F348" t="s">
        <v>14</v>
      </c>
      <c r="G348" t="s">
        <v>721</v>
      </c>
      <c r="H348" t="s">
        <v>722</v>
      </c>
      <c r="I348" t="s">
        <v>17</v>
      </c>
      <c r="J348" t="s">
        <v>18</v>
      </c>
    </row>
    <row r="349" spans="1:10" hidden="1" x14ac:dyDescent="0.25">
      <c r="A349" t="s">
        <v>11</v>
      </c>
      <c r="B349" t="str">
        <f>"152614/780E"</f>
        <v>152614/780E</v>
      </c>
      <c r="C349" t="s">
        <v>100</v>
      </c>
      <c r="D349" t="s">
        <v>597</v>
      </c>
      <c r="E349" t="str">
        <f t="shared" si="18"/>
        <v>5003052454</v>
      </c>
      <c r="F349" t="s">
        <v>14</v>
      </c>
      <c r="G349" t="s">
        <v>723</v>
      </c>
      <c r="H349" t="s">
        <v>724</v>
      </c>
      <c r="I349" t="s">
        <v>17</v>
      </c>
      <c r="J349" t="s">
        <v>18</v>
      </c>
    </row>
    <row r="350" spans="1:10" hidden="1" x14ac:dyDescent="0.25">
      <c r="A350" t="s">
        <v>11</v>
      </c>
      <c r="B350" t="str">
        <f>"152613/780E"</f>
        <v>152613/780E</v>
      </c>
      <c r="C350" t="s">
        <v>100</v>
      </c>
      <c r="D350" t="s">
        <v>597</v>
      </c>
      <c r="E350" t="str">
        <f t="shared" si="18"/>
        <v>5003052454</v>
      </c>
      <c r="F350" t="s">
        <v>14</v>
      </c>
      <c r="G350" t="s">
        <v>725</v>
      </c>
      <c r="H350" t="s">
        <v>726</v>
      </c>
      <c r="I350" t="s">
        <v>17</v>
      </c>
      <c r="J350" t="s">
        <v>18</v>
      </c>
    </row>
    <row r="351" spans="1:10" hidden="1" x14ac:dyDescent="0.25">
      <c r="A351" t="s">
        <v>11</v>
      </c>
      <c r="B351" t="str">
        <f>"152615/780E"</f>
        <v>152615/780E</v>
      </c>
      <c r="C351" t="s">
        <v>100</v>
      </c>
      <c r="D351" t="s">
        <v>597</v>
      </c>
      <c r="E351" t="str">
        <f t="shared" si="18"/>
        <v>5003052454</v>
      </c>
      <c r="F351" t="s">
        <v>14</v>
      </c>
      <c r="G351" t="s">
        <v>727</v>
      </c>
      <c r="H351" t="s">
        <v>728</v>
      </c>
      <c r="I351" t="s">
        <v>17</v>
      </c>
      <c r="J351" t="s">
        <v>18</v>
      </c>
    </row>
    <row r="352" spans="1:10" hidden="1" x14ac:dyDescent="0.25">
      <c r="A352" t="s">
        <v>11</v>
      </c>
      <c r="B352" t="str">
        <f>"152616/780E"</f>
        <v>152616/780E</v>
      </c>
      <c r="C352" t="s">
        <v>100</v>
      </c>
      <c r="D352" t="s">
        <v>597</v>
      </c>
      <c r="E352" t="str">
        <f t="shared" si="18"/>
        <v>5003052454</v>
      </c>
      <c r="F352" t="s">
        <v>14</v>
      </c>
      <c r="G352" t="s">
        <v>729</v>
      </c>
      <c r="H352" t="s">
        <v>730</v>
      </c>
      <c r="I352" t="s">
        <v>17</v>
      </c>
      <c r="J352" t="s">
        <v>18</v>
      </c>
    </row>
    <row r="353" spans="1:10" hidden="1" x14ac:dyDescent="0.25">
      <c r="A353" t="s">
        <v>11</v>
      </c>
      <c r="B353" t="str">
        <f>"152639/780E"</f>
        <v>152639/780E</v>
      </c>
      <c r="C353" t="s">
        <v>100</v>
      </c>
      <c r="D353" t="s">
        <v>597</v>
      </c>
      <c r="E353" t="str">
        <f t="shared" si="18"/>
        <v>5003052454</v>
      </c>
      <c r="F353" t="s">
        <v>14</v>
      </c>
      <c r="G353" t="s">
        <v>731</v>
      </c>
      <c r="H353" t="s">
        <v>732</v>
      </c>
      <c r="I353" t="s">
        <v>17</v>
      </c>
      <c r="J353" t="s">
        <v>18</v>
      </c>
    </row>
    <row r="354" spans="1:10" hidden="1" x14ac:dyDescent="0.25">
      <c r="A354" t="s">
        <v>11</v>
      </c>
      <c r="B354" t="str">
        <f>"UT-108254"</f>
        <v>UT-108254</v>
      </c>
      <c r="C354" t="s">
        <v>100</v>
      </c>
      <c r="D354" t="s">
        <v>597</v>
      </c>
      <c r="E354" t="str">
        <f>"7806385951"</f>
        <v>7806385951</v>
      </c>
      <c r="F354" t="s">
        <v>26</v>
      </c>
      <c r="G354" t="s">
        <v>733</v>
      </c>
      <c r="H354" t="s">
        <v>734</v>
      </c>
      <c r="I354" t="s">
        <v>17</v>
      </c>
      <c r="J354" t="s">
        <v>18</v>
      </c>
    </row>
    <row r="355" spans="1:10" hidden="1" x14ac:dyDescent="0.25">
      <c r="A355" t="s">
        <v>11</v>
      </c>
      <c r="B355" t="str">
        <f>"UT-108253"</f>
        <v>UT-108253</v>
      </c>
      <c r="C355" t="s">
        <v>100</v>
      </c>
      <c r="D355" t="s">
        <v>597</v>
      </c>
      <c r="E355" t="str">
        <f>"7806385951"</f>
        <v>7806385951</v>
      </c>
      <c r="F355" t="s">
        <v>26</v>
      </c>
      <c r="G355" t="s">
        <v>735</v>
      </c>
      <c r="H355" t="s">
        <v>736</v>
      </c>
      <c r="I355" t="s">
        <v>17</v>
      </c>
      <c r="J355" t="s">
        <v>18</v>
      </c>
    </row>
    <row r="356" spans="1:10" hidden="1" x14ac:dyDescent="0.25">
      <c r="A356" t="s">
        <v>11</v>
      </c>
      <c r="B356" t="str">
        <f>"UT-108084"</f>
        <v>UT-108084</v>
      </c>
      <c r="C356" t="s">
        <v>100</v>
      </c>
      <c r="D356" t="s">
        <v>597</v>
      </c>
      <c r="E356" t="str">
        <f>"7806385951"</f>
        <v>7806385951</v>
      </c>
      <c r="F356" t="s">
        <v>26</v>
      </c>
      <c r="G356" t="s">
        <v>737</v>
      </c>
      <c r="H356" t="s">
        <v>738</v>
      </c>
      <c r="I356" t="s">
        <v>17</v>
      </c>
      <c r="J356" t="s">
        <v>18</v>
      </c>
    </row>
    <row r="357" spans="1:10" hidden="1" x14ac:dyDescent="0.25">
      <c r="A357" t="s">
        <v>11</v>
      </c>
      <c r="B357" t="str">
        <f>"UT-108447"</f>
        <v>UT-108447</v>
      </c>
      <c r="C357" t="s">
        <v>100</v>
      </c>
      <c r="D357" t="s">
        <v>597</v>
      </c>
      <c r="E357" t="str">
        <f>"7806385951"</f>
        <v>7806385951</v>
      </c>
      <c r="F357" t="s">
        <v>26</v>
      </c>
      <c r="G357" t="s">
        <v>739</v>
      </c>
      <c r="H357" t="s">
        <v>740</v>
      </c>
      <c r="I357" t="s">
        <v>17</v>
      </c>
      <c r="J357" t="s">
        <v>18</v>
      </c>
    </row>
    <row r="358" spans="1:10" hidden="1" x14ac:dyDescent="0.25">
      <c r="A358" t="s">
        <v>11</v>
      </c>
      <c r="B358" t="str">
        <f>"30/00157830-23"</f>
        <v>30/00157830-23</v>
      </c>
      <c r="C358" t="s">
        <v>100</v>
      </c>
      <c r="D358" t="s">
        <v>597</v>
      </c>
      <c r="E358" t="str">
        <f>"7705034202"</f>
        <v>7705034202</v>
      </c>
      <c r="F358" t="s">
        <v>407</v>
      </c>
      <c r="G358" t="s">
        <v>741</v>
      </c>
      <c r="H358" t="s">
        <v>742</v>
      </c>
      <c r="I358" t="s">
        <v>17</v>
      </c>
      <c r="J358" t="s">
        <v>18</v>
      </c>
    </row>
    <row r="359" spans="1:10" hidden="1" x14ac:dyDescent="0.25">
      <c r="A359" t="s">
        <v>11</v>
      </c>
      <c r="B359" t="str">
        <f>"SR110023406"</f>
        <v>SR110023406</v>
      </c>
      <c r="C359" t="s">
        <v>100</v>
      </c>
      <c r="D359" t="s">
        <v>597</v>
      </c>
      <c r="E359" t="str">
        <f>"4725006920"</f>
        <v>4725006920</v>
      </c>
      <c r="F359" t="s">
        <v>101</v>
      </c>
      <c r="G359" t="s">
        <v>432</v>
      </c>
      <c r="H359" t="s">
        <v>743</v>
      </c>
      <c r="I359" t="s">
        <v>17</v>
      </c>
      <c r="J359" t="s">
        <v>18</v>
      </c>
    </row>
    <row r="360" spans="1:10" hidden="1" x14ac:dyDescent="0.25">
      <c r="A360" t="s">
        <v>11</v>
      </c>
      <c r="B360" t="str">
        <f>"2023/40/03/0034793/06"</f>
        <v>2023/40/03/0034793/06</v>
      </c>
      <c r="C360" t="s">
        <v>65</v>
      </c>
      <c r="D360" t="s">
        <v>597</v>
      </c>
      <c r="E360" t="str">
        <f>"7718151150"</f>
        <v>7718151150</v>
      </c>
      <c r="F360" t="s">
        <v>54</v>
      </c>
      <c r="G360" t="s">
        <v>345</v>
      </c>
      <c r="H360" t="s">
        <v>744</v>
      </c>
      <c r="I360" t="s">
        <v>17</v>
      </c>
      <c r="J360" t="s">
        <v>18</v>
      </c>
    </row>
    <row r="361" spans="1:10" hidden="1" x14ac:dyDescent="0.25">
      <c r="A361" t="s">
        <v>11</v>
      </c>
      <c r="B361" t="str">
        <f>"2023/40/03/0035006/06"</f>
        <v>2023/40/03/0035006/06</v>
      </c>
      <c r="C361" t="s">
        <v>65</v>
      </c>
      <c r="D361" t="s">
        <v>597</v>
      </c>
      <c r="E361" t="str">
        <f>"7718151150"</f>
        <v>7718151150</v>
      </c>
      <c r="F361" t="s">
        <v>54</v>
      </c>
      <c r="G361" t="s">
        <v>745</v>
      </c>
      <c r="H361" t="s">
        <v>746</v>
      </c>
      <c r="I361" t="s">
        <v>17</v>
      </c>
      <c r="J361" t="s">
        <v>18</v>
      </c>
    </row>
    <row r="362" spans="1:10" hidden="1" x14ac:dyDescent="0.25">
      <c r="A362" t="s">
        <v>11</v>
      </c>
      <c r="B362" t="str">
        <f>"2023/40/03/0035001/06"</f>
        <v>2023/40/03/0035001/06</v>
      </c>
      <c r="C362" t="s">
        <v>65</v>
      </c>
      <c r="D362" t="s">
        <v>597</v>
      </c>
      <c r="E362" t="str">
        <f>"7718151150"</f>
        <v>7718151150</v>
      </c>
      <c r="F362" t="s">
        <v>54</v>
      </c>
      <c r="G362" t="s">
        <v>747</v>
      </c>
      <c r="H362" t="s">
        <v>748</v>
      </c>
      <c r="I362" t="s">
        <v>17</v>
      </c>
      <c r="J362" t="s">
        <v>18</v>
      </c>
    </row>
    <row r="363" spans="1:10" hidden="1" x14ac:dyDescent="0.25">
      <c r="A363" t="s">
        <v>11</v>
      </c>
      <c r="B363" t="str">
        <f>"1097"</f>
        <v>1097</v>
      </c>
      <c r="C363" t="s">
        <v>559</v>
      </c>
      <c r="D363" t="s">
        <v>597</v>
      </c>
      <c r="E363" t="str">
        <f>"9729019493"</f>
        <v>9729019493</v>
      </c>
      <c r="F363" t="s">
        <v>560</v>
      </c>
      <c r="G363" t="s">
        <v>749</v>
      </c>
      <c r="H363" t="s">
        <v>750</v>
      </c>
      <c r="I363" t="s">
        <v>17</v>
      </c>
      <c r="J363" t="s">
        <v>21</v>
      </c>
    </row>
    <row r="364" spans="1:10" hidden="1" x14ac:dyDescent="0.25">
      <c r="A364" t="s">
        <v>11</v>
      </c>
      <c r="B364" t="str">
        <f>"1113"</f>
        <v>1113</v>
      </c>
      <c r="C364" t="s">
        <v>508</v>
      </c>
      <c r="D364" t="s">
        <v>597</v>
      </c>
      <c r="E364" t="str">
        <f>"9729019493"</f>
        <v>9729019493</v>
      </c>
      <c r="F364" t="s">
        <v>560</v>
      </c>
      <c r="G364" t="s">
        <v>751</v>
      </c>
      <c r="H364" t="s">
        <v>752</v>
      </c>
      <c r="I364" t="s">
        <v>17</v>
      </c>
      <c r="J364" t="s">
        <v>21</v>
      </c>
    </row>
    <row r="365" spans="1:10" hidden="1" x14ac:dyDescent="0.25">
      <c r="A365" t="s">
        <v>11</v>
      </c>
      <c r="B365" t="str">
        <f>"UT-109532"</f>
        <v>UT-109532</v>
      </c>
      <c r="C365" t="s">
        <v>106</v>
      </c>
      <c r="D365" t="s">
        <v>597</v>
      </c>
      <c r="E365" t="str">
        <f t="shared" ref="E365:E370" si="19">"7806385951"</f>
        <v>7806385951</v>
      </c>
      <c r="F365" t="s">
        <v>26</v>
      </c>
      <c r="G365" t="s">
        <v>753</v>
      </c>
      <c r="H365" t="s">
        <v>754</v>
      </c>
      <c r="I365" t="s">
        <v>17</v>
      </c>
      <c r="J365" t="s">
        <v>18</v>
      </c>
    </row>
    <row r="366" spans="1:10" hidden="1" x14ac:dyDescent="0.25">
      <c r="A366" t="s">
        <v>11</v>
      </c>
      <c r="B366" t="str">
        <f>"UT-109531"</f>
        <v>UT-109531</v>
      </c>
      <c r="C366" t="s">
        <v>106</v>
      </c>
      <c r="D366" t="s">
        <v>597</v>
      </c>
      <c r="E366" t="str">
        <f t="shared" si="19"/>
        <v>7806385951</v>
      </c>
      <c r="F366" t="s">
        <v>26</v>
      </c>
      <c r="G366" t="s">
        <v>755</v>
      </c>
      <c r="H366" t="s">
        <v>756</v>
      </c>
      <c r="I366" t="s">
        <v>17</v>
      </c>
      <c r="J366" t="s">
        <v>18</v>
      </c>
    </row>
    <row r="367" spans="1:10" hidden="1" x14ac:dyDescent="0.25">
      <c r="A367" t="s">
        <v>11</v>
      </c>
      <c r="B367" t="str">
        <f>"UT-109746"</f>
        <v>UT-109746</v>
      </c>
      <c r="C367" t="s">
        <v>106</v>
      </c>
      <c r="D367" t="s">
        <v>597</v>
      </c>
      <c r="E367" t="str">
        <f t="shared" si="19"/>
        <v>7806385951</v>
      </c>
      <c r="F367" t="s">
        <v>26</v>
      </c>
      <c r="G367" t="s">
        <v>757</v>
      </c>
      <c r="H367" t="s">
        <v>758</v>
      </c>
      <c r="I367" t="s">
        <v>17</v>
      </c>
      <c r="J367" t="s">
        <v>18</v>
      </c>
    </row>
    <row r="368" spans="1:10" hidden="1" x14ac:dyDescent="0.25">
      <c r="A368" t="s">
        <v>11</v>
      </c>
      <c r="B368" t="str">
        <f>"UT-109451"</f>
        <v>UT-109451</v>
      </c>
      <c r="C368" t="s">
        <v>106</v>
      </c>
      <c r="D368" t="s">
        <v>597</v>
      </c>
      <c r="E368" t="str">
        <f t="shared" si="19"/>
        <v>7806385951</v>
      </c>
      <c r="F368" t="s">
        <v>26</v>
      </c>
      <c r="G368" t="s">
        <v>759</v>
      </c>
      <c r="H368" t="s">
        <v>760</v>
      </c>
      <c r="I368" t="s">
        <v>17</v>
      </c>
      <c r="J368" t="s">
        <v>18</v>
      </c>
    </row>
    <row r="369" spans="1:10" hidden="1" x14ac:dyDescent="0.25">
      <c r="A369" t="s">
        <v>11</v>
      </c>
      <c r="B369" t="str">
        <f>"UT-109797"</f>
        <v>UT-109797</v>
      </c>
      <c r="C369" t="s">
        <v>106</v>
      </c>
      <c r="D369" t="s">
        <v>597</v>
      </c>
      <c r="E369" t="str">
        <f t="shared" si="19"/>
        <v>7806385951</v>
      </c>
      <c r="F369" t="s">
        <v>26</v>
      </c>
      <c r="G369" t="s">
        <v>761</v>
      </c>
      <c r="H369" t="s">
        <v>762</v>
      </c>
      <c r="I369" t="s">
        <v>17</v>
      </c>
      <c r="J369" t="s">
        <v>18</v>
      </c>
    </row>
    <row r="370" spans="1:10" hidden="1" x14ac:dyDescent="0.25">
      <c r="A370" t="s">
        <v>11</v>
      </c>
      <c r="B370" t="str">
        <f>"UT-109885"</f>
        <v>UT-109885</v>
      </c>
      <c r="C370" t="s">
        <v>106</v>
      </c>
      <c r="D370" t="s">
        <v>597</v>
      </c>
      <c r="E370" t="str">
        <f t="shared" si="19"/>
        <v>7806385951</v>
      </c>
      <c r="F370" t="s">
        <v>26</v>
      </c>
      <c r="G370" t="s">
        <v>763</v>
      </c>
      <c r="H370" t="s">
        <v>764</v>
      </c>
      <c r="I370" t="s">
        <v>17</v>
      </c>
      <c r="J370" t="s">
        <v>18</v>
      </c>
    </row>
    <row r="371" spans="1:10" hidden="1" x14ac:dyDescent="0.25">
      <c r="A371" t="s">
        <v>11</v>
      </c>
      <c r="B371" t="str">
        <f>"7810/8174513751"</f>
        <v>7810/8174513751</v>
      </c>
      <c r="C371" t="s">
        <v>106</v>
      </c>
      <c r="D371" t="s">
        <v>597</v>
      </c>
      <c r="E371" t="str">
        <f>"5032260402"</f>
        <v>5032260402</v>
      </c>
      <c r="F371" t="s">
        <v>341</v>
      </c>
      <c r="G371" t="s">
        <v>765</v>
      </c>
      <c r="H371" t="s">
        <v>766</v>
      </c>
      <c r="I371" t="s">
        <v>17</v>
      </c>
      <c r="J371" t="s">
        <v>18</v>
      </c>
    </row>
    <row r="372" spans="1:10" hidden="1" x14ac:dyDescent="0.25">
      <c r="A372" t="s">
        <v>11</v>
      </c>
      <c r="B372" t="str">
        <f>"УТР0167491"</f>
        <v>УТР0167491</v>
      </c>
      <c r="C372" t="s">
        <v>106</v>
      </c>
      <c r="D372" t="s">
        <v>597</v>
      </c>
      <c r="E372" t="str">
        <f>"7804044258"</f>
        <v>7804044258</v>
      </c>
      <c r="F372" t="s">
        <v>155</v>
      </c>
      <c r="G372" t="s">
        <v>767</v>
      </c>
      <c r="H372" t="s">
        <v>768</v>
      </c>
      <c r="I372" t="s">
        <v>17</v>
      </c>
      <c r="J372" t="s">
        <v>18</v>
      </c>
    </row>
    <row r="373" spans="1:10" hidden="1" x14ac:dyDescent="0.25">
      <c r="A373" t="s">
        <v>11</v>
      </c>
      <c r="B373" t="str">
        <f>"2023/40/03/0035185/06"</f>
        <v>2023/40/03/0035185/06</v>
      </c>
      <c r="C373" t="s">
        <v>100</v>
      </c>
      <c r="D373" t="s">
        <v>597</v>
      </c>
      <c r="E373" t="str">
        <f>"7718151150"</f>
        <v>7718151150</v>
      </c>
      <c r="F373" t="s">
        <v>54</v>
      </c>
      <c r="G373" t="s">
        <v>117</v>
      </c>
      <c r="H373" t="s">
        <v>769</v>
      </c>
      <c r="I373" t="s">
        <v>17</v>
      </c>
      <c r="J373" t="s">
        <v>18</v>
      </c>
    </row>
    <row r="374" spans="1:10" hidden="1" x14ac:dyDescent="0.25">
      <c r="A374" t="s">
        <v>11</v>
      </c>
      <c r="B374" t="str">
        <f>"2023/40/03/0035103/06"</f>
        <v>2023/40/03/0035103/06</v>
      </c>
      <c r="C374" t="s">
        <v>100</v>
      </c>
      <c r="D374" t="s">
        <v>597</v>
      </c>
      <c r="E374" t="str">
        <f>"7718151150"</f>
        <v>7718151150</v>
      </c>
      <c r="F374" t="s">
        <v>54</v>
      </c>
      <c r="G374" t="s">
        <v>770</v>
      </c>
      <c r="H374" t="s">
        <v>771</v>
      </c>
      <c r="I374" t="s">
        <v>17</v>
      </c>
      <c r="J374" t="s">
        <v>18</v>
      </c>
    </row>
    <row r="375" spans="1:10" hidden="1" x14ac:dyDescent="0.25">
      <c r="A375" t="s">
        <v>11</v>
      </c>
      <c r="B375" t="str">
        <f>"7810/8174517834"</f>
        <v>7810/8174517834</v>
      </c>
      <c r="C375" t="s">
        <v>106</v>
      </c>
      <c r="D375" t="s">
        <v>597</v>
      </c>
      <c r="E375" t="str">
        <f>"5032260402"</f>
        <v>5032260402</v>
      </c>
      <c r="F375" t="s">
        <v>341</v>
      </c>
      <c r="G375" t="s">
        <v>772</v>
      </c>
      <c r="H375" t="s">
        <v>773</v>
      </c>
      <c r="I375" t="s">
        <v>17</v>
      </c>
      <c r="J375" t="s">
        <v>18</v>
      </c>
    </row>
    <row r="376" spans="1:10" hidden="1" x14ac:dyDescent="0.25">
      <c r="A376" t="s">
        <v>11</v>
      </c>
      <c r="B376" t="str">
        <f>"7810/8174517861"</f>
        <v>7810/8174517861</v>
      </c>
      <c r="C376" t="s">
        <v>106</v>
      </c>
      <c r="D376" t="s">
        <v>597</v>
      </c>
      <c r="E376" t="str">
        <f>"5032260402"</f>
        <v>5032260402</v>
      </c>
      <c r="F376" t="s">
        <v>341</v>
      </c>
      <c r="G376" t="s">
        <v>774</v>
      </c>
      <c r="H376" t="s">
        <v>775</v>
      </c>
      <c r="I376" t="s">
        <v>17</v>
      </c>
      <c r="J376" t="s">
        <v>18</v>
      </c>
    </row>
    <row r="377" spans="1:10" hidden="1" x14ac:dyDescent="0.25">
      <c r="A377" t="s">
        <v>11</v>
      </c>
      <c r="B377" t="str">
        <f>"УТ-505-000095"</f>
        <v>УТ-505-000095</v>
      </c>
      <c r="C377" t="s">
        <v>106</v>
      </c>
      <c r="D377" t="s">
        <v>597</v>
      </c>
      <c r="E377" t="str">
        <f t="shared" ref="E377:E383" si="20">"7839454551"</f>
        <v>7839454551</v>
      </c>
      <c r="F377" t="s">
        <v>57</v>
      </c>
      <c r="G377" t="s">
        <v>776</v>
      </c>
      <c r="H377" t="s">
        <v>777</v>
      </c>
      <c r="I377" t="s">
        <v>17</v>
      </c>
      <c r="J377" t="s">
        <v>18</v>
      </c>
    </row>
    <row r="378" spans="1:10" hidden="1" x14ac:dyDescent="0.25">
      <c r="A378" t="s">
        <v>11</v>
      </c>
      <c r="B378" t="str">
        <f>"УТ-505-000063"</f>
        <v>УТ-505-000063</v>
      </c>
      <c r="C378" t="s">
        <v>106</v>
      </c>
      <c r="D378" t="s">
        <v>597</v>
      </c>
      <c r="E378" t="str">
        <f t="shared" si="20"/>
        <v>7839454551</v>
      </c>
      <c r="F378" t="s">
        <v>57</v>
      </c>
      <c r="G378" t="s">
        <v>778</v>
      </c>
      <c r="H378" t="s">
        <v>779</v>
      </c>
      <c r="I378" t="s">
        <v>17</v>
      </c>
      <c r="J378" t="s">
        <v>18</v>
      </c>
    </row>
    <row r="379" spans="1:10" hidden="1" x14ac:dyDescent="0.25">
      <c r="A379" t="s">
        <v>11</v>
      </c>
      <c r="B379" t="str">
        <f>"УТ-505-000041"</f>
        <v>УТ-505-000041</v>
      </c>
      <c r="C379" t="s">
        <v>106</v>
      </c>
      <c r="D379" t="s">
        <v>597</v>
      </c>
      <c r="E379" t="str">
        <f t="shared" si="20"/>
        <v>7839454551</v>
      </c>
      <c r="F379" t="s">
        <v>57</v>
      </c>
      <c r="G379" t="s">
        <v>780</v>
      </c>
      <c r="H379" t="s">
        <v>781</v>
      </c>
      <c r="I379" t="s">
        <v>17</v>
      </c>
      <c r="J379" t="s">
        <v>18</v>
      </c>
    </row>
    <row r="380" spans="1:10" hidden="1" x14ac:dyDescent="0.25">
      <c r="A380" t="s">
        <v>11</v>
      </c>
      <c r="B380" t="str">
        <f>"УТ-505-000039"</f>
        <v>УТ-505-000039</v>
      </c>
      <c r="C380" t="s">
        <v>106</v>
      </c>
      <c r="D380" t="s">
        <v>597</v>
      </c>
      <c r="E380" t="str">
        <f t="shared" si="20"/>
        <v>7839454551</v>
      </c>
      <c r="F380" t="s">
        <v>57</v>
      </c>
      <c r="G380" t="s">
        <v>782</v>
      </c>
      <c r="H380" t="s">
        <v>783</v>
      </c>
      <c r="I380" t="s">
        <v>17</v>
      </c>
      <c r="J380" t="s">
        <v>18</v>
      </c>
    </row>
    <row r="381" spans="1:10" hidden="1" x14ac:dyDescent="0.25">
      <c r="A381" t="s">
        <v>11</v>
      </c>
      <c r="B381" t="str">
        <f>"УТ-505-000036"</f>
        <v>УТ-505-000036</v>
      </c>
      <c r="C381" t="s">
        <v>106</v>
      </c>
      <c r="D381" t="s">
        <v>597</v>
      </c>
      <c r="E381" t="str">
        <f t="shared" si="20"/>
        <v>7839454551</v>
      </c>
      <c r="F381" t="s">
        <v>57</v>
      </c>
      <c r="G381" t="s">
        <v>784</v>
      </c>
      <c r="H381" t="s">
        <v>785</v>
      </c>
      <c r="I381" t="s">
        <v>17</v>
      </c>
      <c r="J381" t="s">
        <v>18</v>
      </c>
    </row>
    <row r="382" spans="1:10" hidden="1" x14ac:dyDescent="0.25">
      <c r="A382" t="s">
        <v>11</v>
      </c>
      <c r="B382" t="str">
        <f>"УТ-505-000035"</f>
        <v>УТ-505-000035</v>
      </c>
      <c r="C382" t="s">
        <v>106</v>
      </c>
      <c r="D382" t="s">
        <v>597</v>
      </c>
      <c r="E382" t="str">
        <f t="shared" si="20"/>
        <v>7839454551</v>
      </c>
      <c r="F382" t="s">
        <v>57</v>
      </c>
      <c r="G382" t="s">
        <v>786</v>
      </c>
      <c r="H382" t="s">
        <v>787</v>
      </c>
      <c r="I382" t="s">
        <v>17</v>
      </c>
      <c r="J382" t="s">
        <v>18</v>
      </c>
    </row>
    <row r="383" spans="1:10" hidden="1" x14ac:dyDescent="0.25">
      <c r="A383" t="s">
        <v>11</v>
      </c>
      <c r="B383" t="str">
        <f>"УТ-505-000034"</f>
        <v>УТ-505-000034</v>
      </c>
      <c r="C383" t="s">
        <v>106</v>
      </c>
      <c r="D383" t="s">
        <v>597</v>
      </c>
      <c r="E383" t="str">
        <f t="shared" si="20"/>
        <v>7839454551</v>
      </c>
      <c r="F383" t="s">
        <v>57</v>
      </c>
      <c r="G383" t="s">
        <v>788</v>
      </c>
      <c r="H383" t="s">
        <v>789</v>
      </c>
      <c r="I383" t="s">
        <v>17</v>
      </c>
      <c r="J383" t="s">
        <v>18</v>
      </c>
    </row>
    <row r="384" spans="1:10" hidden="1" x14ac:dyDescent="0.25">
      <c r="A384" t="s">
        <v>11</v>
      </c>
      <c r="B384" t="str">
        <f>"28372016"</f>
        <v>28372016</v>
      </c>
      <c r="C384" t="s">
        <v>100</v>
      </c>
      <c r="D384" t="s">
        <v>597</v>
      </c>
      <c r="E384" t="str">
        <f>"7721793895"</f>
        <v>7721793895</v>
      </c>
      <c r="F384" t="s">
        <v>109</v>
      </c>
      <c r="G384" t="s">
        <v>790</v>
      </c>
      <c r="H384" t="s">
        <v>791</v>
      </c>
      <c r="I384" t="s">
        <v>17</v>
      </c>
      <c r="J384" t="s">
        <v>18</v>
      </c>
    </row>
    <row r="385" spans="1:10" hidden="1" x14ac:dyDescent="0.25">
      <c r="A385" t="s">
        <v>11</v>
      </c>
      <c r="B385" t="str">
        <f>"28372026"</f>
        <v>28372026</v>
      </c>
      <c r="C385" t="s">
        <v>100</v>
      </c>
      <c r="D385" t="s">
        <v>597</v>
      </c>
      <c r="E385" t="str">
        <f>"7721793895"</f>
        <v>7721793895</v>
      </c>
      <c r="F385" t="s">
        <v>109</v>
      </c>
      <c r="G385" t="s">
        <v>792</v>
      </c>
      <c r="H385" t="s">
        <v>793</v>
      </c>
      <c r="I385" t="s">
        <v>17</v>
      </c>
      <c r="J385" t="s">
        <v>18</v>
      </c>
    </row>
    <row r="386" spans="1:10" hidden="1" x14ac:dyDescent="0.25">
      <c r="A386" t="s">
        <v>11</v>
      </c>
      <c r="B386" t="str">
        <f>"28373586"</f>
        <v>28373586</v>
      </c>
      <c r="C386" t="s">
        <v>100</v>
      </c>
      <c r="D386" t="s">
        <v>597</v>
      </c>
      <c r="E386" t="str">
        <f>"7721793895"</f>
        <v>7721793895</v>
      </c>
      <c r="F386" t="s">
        <v>109</v>
      </c>
      <c r="G386" t="s">
        <v>794</v>
      </c>
      <c r="H386" t="s">
        <v>795</v>
      </c>
      <c r="I386" t="s">
        <v>17</v>
      </c>
      <c r="J386" t="s">
        <v>18</v>
      </c>
    </row>
    <row r="387" spans="1:10" hidden="1" x14ac:dyDescent="0.25">
      <c r="A387" t="s">
        <v>11</v>
      </c>
      <c r="B387" t="str">
        <f>"УТ-605-000115"</f>
        <v>УТ-605-000115</v>
      </c>
      <c r="C387" t="s">
        <v>420</v>
      </c>
      <c r="D387" t="s">
        <v>597</v>
      </c>
      <c r="E387" t="str">
        <f>"7839454551"</f>
        <v>7839454551</v>
      </c>
      <c r="F387" t="s">
        <v>57</v>
      </c>
      <c r="G387" t="s">
        <v>614</v>
      </c>
      <c r="H387" t="s">
        <v>796</v>
      </c>
      <c r="I387" t="s">
        <v>17</v>
      </c>
      <c r="J387" t="s">
        <v>18</v>
      </c>
    </row>
    <row r="388" spans="1:10" hidden="1" x14ac:dyDescent="0.25">
      <c r="A388" t="s">
        <v>11</v>
      </c>
      <c r="B388" t="str">
        <f>"УТ-605-000114"</f>
        <v>УТ-605-000114</v>
      </c>
      <c r="C388" t="s">
        <v>420</v>
      </c>
      <c r="D388" t="s">
        <v>597</v>
      </c>
      <c r="E388" t="str">
        <f>"7839454551"</f>
        <v>7839454551</v>
      </c>
      <c r="F388" t="s">
        <v>57</v>
      </c>
      <c r="G388" t="s">
        <v>797</v>
      </c>
      <c r="H388" t="s">
        <v>798</v>
      </c>
      <c r="I388" t="s">
        <v>17</v>
      </c>
      <c r="J388" t="s">
        <v>18</v>
      </c>
    </row>
    <row r="389" spans="1:10" hidden="1" x14ac:dyDescent="0.25">
      <c r="A389" t="s">
        <v>11</v>
      </c>
      <c r="B389" t="str">
        <f>"SR110023901"</f>
        <v>SR110023901</v>
      </c>
      <c r="C389" t="s">
        <v>420</v>
      </c>
      <c r="D389" t="s">
        <v>597</v>
      </c>
      <c r="E389" t="str">
        <f>"4725006920"</f>
        <v>4725006920</v>
      </c>
      <c r="F389" t="s">
        <v>101</v>
      </c>
      <c r="G389" t="s">
        <v>799</v>
      </c>
      <c r="H389" t="s">
        <v>800</v>
      </c>
      <c r="I389" t="s">
        <v>17</v>
      </c>
      <c r="J389" t="s">
        <v>18</v>
      </c>
    </row>
    <row r="390" spans="1:10" hidden="1" x14ac:dyDescent="0.25">
      <c r="A390" t="s">
        <v>11</v>
      </c>
      <c r="B390" t="str">
        <f>"30/00161107-23"</f>
        <v>30/00161107-23</v>
      </c>
      <c r="C390" t="s">
        <v>420</v>
      </c>
      <c r="D390" t="s">
        <v>597</v>
      </c>
      <c r="E390" t="str">
        <f>"7705034202"</f>
        <v>7705034202</v>
      </c>
      <c r="F390" t="s">
        <v>407</v>
      </c>
      <c r="G390" t="s">
        <v>801</v>
      </c>
      <c r="H390" t="s">
        <v>802</v>
      </c>
      <c r="I390" t="s">
        <v>17</v>
      </c>
      <c r="J390" t="s">
        <v>18</v>
      </c>
    </row>
    <row r="391" spans="1:10" hidden="1" x14ac:dyDescent="0.25">
      <c r="A391" t="s">
        <v>11</v>
      </c>
      <c r="B391" t="str">
        <f>"30/00161925-23"</f>
        <v>30/00161925-23</v>
      </c>
      <c r="C391" t="s">
        <v>420</v>
      </c>
      <c r="D391" t="s">
        <v>597</v>
      </c>
      <c r="E391" t="str">
        <f>"7705034202"</f>
        <v>7705034202</v>
      </c>
      <c r="F391" t="s">
        <v>407</v>
      </c>
      <c r="G391" t="s">
        <v>803</v>
      </c>
      <c r="H391" t="s">
        <v>804</v>
      </c>
      <c r="I391" t="s">
        <v>17</v>
      </c>
      <c r="J391" t="s">
        <v>18</v>
      </c>
    </row>
    <row r="392" spans="1:10" hidden="1" x14ac:dyDescent="0.25">
      <c r="A392" t="s">
        <v>11</v>
      </c>
      <c r="B392" t="str">
        <f>"SR110024002"</f>
        <v>SR110024002</v>
      </c>
      <c r="C392" t="s">
        <v>420</v>
      </c>
      <c r="D392" t="s">
        <v>597</v>
      </c>
      <c r="E392" t="str">
        <f>"4725006920"</f>
        <v>4725006920</v>
      </c>
      <c r="F392" t="s">
        <v>101</v>
      </c>
      <c r="G392" t="s">
        <v>432</v>
      </c>
      <c r="H392" t="s">
        <v>805</v>
      </c>
      <c r="I392" t="s">
        <v>17</v>
      </c>
      <c r="J392" t="s">
        <v>18</v>
      </c>
    </row>
    <row r="393" spans="1:10" hidden="1" x14ac:dyDescent="0.25">
      <c r="A393" t="s">
        <v>11</v>
      </c>
      <c r="B393" t="str">
        <f>"UT-105364"</f>
        <v>UT-105364</v>
      </c>
      <c r="C393" t="s">
        <v>53</v>
      </c>
      <c r="D393" t="s">
        <v>806</v>
      </c>
      <c r="E393" t="str">
        <f>"7806385951"</f>
        <v>7806385951</v>
      </c>
      <c r="F393" t="s">
        <v>26</v>
      </c>
      <c r="G393" t="s">
        <v>807</v>
      </c>
      <c r="H393" t="s">
        <v>808</v>
      </c>
      <c r="I393" t="s">
        <v>17</v>
      </c>
      <c r="J393" t="s">
        <v>18</v>
      </c>
    </row>
    <row r="394" spans="1:10" hidden="1" x14ac:dyDescent="0.25">
      <c r="A394" t="s">
        <v>11</v>
      </c>
      <c r="B394" t="str">
        <f>"UT-105327"</f>
        <v>UT-105327</v>
      </c>
      <c r="C394" t="s">
        <v>53</v>
      </c>
      <c r="D394" t="s">
        <v>806</v>
      </c>
      <c r="E394" t="str">
        <f>"7806385951"</f>
        <v>7806385951</v>
      </c>
      <c r="F394" t="s">
        <v>26</v>
      </c>
      <c r="G394" t="s">
        <v>809</v>
      </c>
      <c r="H394" t="s">
        <v>810</v>
      </c>
      <c r="I394" t="s">
        <v>17</v>
      </c>
      <c r="J394" t="s">
        <v>18</v>
      </c>
    </row>
    <row r="395" spans="1:10" hidden="1" x14ac:dyDescent="0.25">
      <c r="A395" t="s">
        <v>11</v>
      </c>
      <c r="B395" t="str">
        <f>"UT-105332"</f>
        <v>UT-105332</v>
      </c>
      <c r="C395" t="s">
        <v>53</v>
      </c>
      <c r="D395" t="s">
        <v>806</v>
      </c>
      <c r="E395" t="str">
        <f>"7806385951"</f>
        <v>7806385951</v>
      </c>
      <c r="F395" t="s">
        <v>26</v>
      </c>
      <c r="G395" t="s">
        <v>811</v>
      </c>
      <c r="H395" t="s">
        <v>812</v>
      </c>
      <c r="I395" t="s">
        <v>17</v>
      </c>
      <c r="J395" t="s">
        <v>18</v>
      </c>
    </row>
    <row r="396" spans="1:10" hidden="1" x14ac:dyDescent="0.25">
      <c r="A396" t="s">
        <v>11</v>
      </c>
      <c r="B396" t="str">
        <f>"UT-105362"</f>
        <v>UT-105362</v>
      </c>
      <c r="C396" t="s">
        <v>53</v>
      </c>
      <c r="D396" t="s">
        <v>806</v>
      </c>
      <c r="E396" t="str">
        <f>"7806385951"</f>
        <v>7806385951</v>
      </c>
      <c r="F396" t="s">
        <v>26</v>
      </c>
      <c r="G396" t="s">
        <v>220</v>
      </c>
      <c r="H396" t="s">
        <v>813</v>
      </c>
      <c r="I396" t="s">
        <v>17</v>
      </c>
      <c r="J396" t="s">
        <v>18</v>
      </c>
    </row>
    <row r="397" spans="1:10" hidden="1" x14ac:dyDescent="0.25">
      <c r="A397" t="s">
        <v>11</v>
      </c>
      <c r="B397" t="str">
        <f>"28259063"</f>
        <v>28259063</v>
      </c>
      <c r="C397" t="s">
        <v>559</v>
      </c>
      <c r="D397" t="s">
        <v>806</v>
      </c>
      <c r="E397" t="str">
        <f t="shared" ref="E397:E403" si="21">"7721793895"</f>
        <v>7721793895</v>
      </c>
      <c r="F397" t="s">
        <v>109</v>
      </c>
      <c r="G397" t="s">
        <v>814</v>
      </c>
      <c r="H397" t="s">
        <v>815</v>
      </c>
      <c r="I397" t="s">
        <v>17</v>
      </c>
      <c r="J397" t="s">
        <v>18</v>
      </c>
    </row>
    <row r="398" spans="1:10" hidden="1" x14ac:dyDescent="0.25">
      <c r="A398" t="s">
        <v>11</v>
      </c>
      <c r="B398" t="str">
        <f>"28259037"</f>
        <v>28259037</v>
      </c>
      <c r="C398" t="s">
        <v>559</v>
      </c>
      <c r="D398" t="s">
        <v>806</v>
      </c>
      <c r="E398" t="str">
        <f t="shared" si="21"/>
        <v>7721793895</v>
      </c>
      <c r="F398" t="s">
        <v>109</v>
      </c>
      <c r="G398" t="s">
        <v>816</v>
      </c>
      <c r="H398" t="s">
        <v>817</v>
      </c>
      <c r="I398" t="s">
        <v>17</v>
      </c>
      <c r="J398" t="s">
        <v>18</v>
      </c>
    </row>
    <row r="399" spans="1:10" hidden="1" x14ac:dyDescent="0.25">
      <c r="A399" t="s">
        <v>11</v>
      </c>
      <c r="B399" t="str">
        <f>"28259048"</f>
        <v>28259048</v>
      </c>
      <c r="C399" t="s">
        <v>559</v>
      </c>
      <c r="D399" t="s">
        <v>806</v>
      </c>
      <c r="E399" t="str">
        <f t="shared" si="21"/>
        <v>7721793895</v>
      </c>
      <c r="F399" t="s">
        <v>109</v>
      </c>
      <c r="G399" t="s">
        <v>818</v>
      </c>
      <c r="H399" t="s">
        <v>819</v>
      </c>
      <c r="I399" t="s">
        <v>17</v>
      </c>
      <c r="J399" t="s">
        <v>18</v>
      </c>
    </row>
    <row r="400" spans="1:10" hidden="1" x14ac:dyDescent="0.25">
      <c r="A400" t="s">
        <v>11</v>
      </c>
      <c r="B400" t="str">
        <f>"28263493"</f>
        <v>28263493</v>
      </c>
      <c r="C400" t="s">
        <v>559</v>
      </c>
      <c r="D400" t="s">
        <v>806</v>
      </c>
      <c r="E400" t="str">
        <f t="shared" si="21"/>
        <v>7721793895</v>
      </c>
      <c r="F400" t="s">
        <v>109</v>
      </c>
      <c r="G400" t="s">
        <v>820</v>
      </c>
      <c r="H400" t="s">
        <v>821</v>
      </c>
      <c r="I400" t="s">
        <v>17</v>
      </c>
      <c r="J400" t="s">
        <v>18</v>
      </c>
    </row>
    <row r="401" spans="1:10" hidden="1" x14ac:dyDescent="0.25">
      <c r="A401" t="s">
        <v>11</v>
      </c>
      <c r="B401" t="str">
        <f>"28271910"</f>
        <v>28271910</v>
      </c>
      <c r="C401" t="s">
        <v>559</v>
      </c>
      <c r="D401" t="s">
        <v>806</v>
      </c>
      <c r="E401" t="str">
        <f t="shared" si="21"/>
        <v>7721793895</v>
      </c>
      <c r="F401" t="s">
        <v>109</v>
      </c>
      <c r="G401" t="s">
        <v>822</v>
      </c>
      <c r="H401" t="s">
        <v>823</v>
      </c>
      <c r="I401" t="s">
        <v>17</v>
      </c>
      <c r="J401" t="s">
        <v>18</v>
      </c>
    </row>
    <row r="402" spans="1:10" hidden="1" x14ac:dyDescent="0.25">
      <c r="A402" t="s">
        <v>11</v>
      </c>
      <c r="B402" t="str">
        <f>"28273762"</f>
        <v>28273762</v>
      </c>
      <c r="C402" t="s">
        <v>559</v>
      </c>
      <c r="D402" t="s">
        <v>806</v>
      </c>
      <c r="E402" t="str">
        <f t="shared" si="21"/>
        <v>7721793895</v>
      </c>
      <c r="F402" t="s">
        <v>109</v>
      </c>
      <c r="G402" t="s">
        <v>824</v>
      </c>
      <c r="H402" t="s">
        <v>825</v>
      </c>
      <c r="I402" t="s">
        <v>17</v>
      </c>
      <c r="J402" t="s">
        <v>18</v>
      </c>
    </row>
    <row r="403" spans="1:10" hidden="1" x14ac:dyDescent="0.25">
      <c r="A403" t="s">
        <v>11</v>
      </c>
      <c r="B403" t="str">
        <f>"28276571"</f>
        <v>28276571</v>
      </c>
      <c r="C403" t="s">
        <v>559</v>
      </c>
      <c r="D403" t="s">
        <v>806</v>
      </c>
      <c r="E403" t="str">
        <f t="shared" si="21"/>
        <v>7721793895</v>
      </c>
      <c r="F403" t="s">
        <v>109</v>
      </c>
      <c r="G403" t="s">
        <v>826</v>
      </c>
      <c r="H403" t="s">
        <v>827</v>
      </c>
      <c r="I403" t="s">
        <v>17</v>
      </c>
      <c r="J403" t="s">
        <v>18</v>
      </c>
    </row>
    <row r="404" spans="1:10" hidden="1" x14ac:dyDescent="0.25">
      <c r="A404" t="s">
        <v>290</v>
      </c>
      <c r="B404" t="str">
        <f>"16"</f>
        <v>16</v>
      </c>
      <c r="C404" t="s">
        <v>12</v>
      </c>
      <c r="D404" t="s">
        <v>806</v>
      </c>
      <c r="E404" t="str">
        <f>"781716864606"</f>
        <v>781716864606</v>
      </c>
      <c r="F404" t="s">
        <v>828</v>
      </c>
      <c r="G404" t="s">
        <v>829</v>
      </c>
      <c r="H404" t="s">
        <v>830</v>
      </c>
      <c r="I404" t="s">
        <v>17</v>
      </c>
      <c r="J404" t="s">
        <v>18</v>
      </c>
    </row>
    <row r="405" spans="1:10" hidden="1" x14ac:dyDescent="0.25">
      <c r="A405" t="s">
        <v>11</v>
      </c>
      <c r="B405" t="str">
        <f>"2023/40/03/0032268/06"</f>
        <v>2023/40/03/0032268/06</v>
      </c>
      <c r="C405" t="s">
        <v>53</v>
      </c>
      <c r="D405" t="s">
        <v>806</v>
      </c>
      <c r="E405" t="str">
        <f>"7718151150"</f>
        <v>7718151150</v>
      </c>
      <c r="F405" t="s">
        <v>54</v>
      </c>
      <c r="G405" t="s">
        <v>831</v>
      </c>
      <c r="H405" t="s">
        <v>832</v>
      </c>
      <c r="I405" t="s">
        <v>17</v>
      </c>
      <c r="J405" t="s">
        <v>18</v>
      </c>
    </row>
    <row r="406" spans="1:10" hidden="1" x14ac:dyDescent="0.25">
      <c r="A406" t="s">
        <v>11</v>
      </c>
      <c r="B406" t="str">
        <f>"2023/40/03/0032267/06"</f>
        <v>2023/40/03/0032267/06</v>
      </c>
      <c r="C406" t="s">
        <v>53</v>
      </c>
      <c r="D406" t="s">
        <v>806</v>
      </c>
      <c r="E406" t="str">
        <f>"7718151150"</f>
        <v>7718151150</v>
      </c>
      <c r="F406" t="s">
        <v>54</v>
      </c>
      <c r="G406" t="s">
        <v>410</v>
      </c>
      <c r="H406" t="s">
        <v>833</v>
      </c>
      <c r="I406" t="s">
        <v>17</v>
      </c>
      <c r="J406" t="s">
        <v>18</v>
      </c>
    </row>
    <row r="407" spans="1:10" hidden="1" x14ac:dyDescent="0.25">
      <c r="A407" t="s">
        <v>11</v>
      </c>
      <c r="B407" t="str">
        <f>"УТ-2804-000076"</f>
        <v>УТ-2804-000076</v>
      </c>
      <c r="C407" t="s">
        <v>559</v>
      </c>
      <c r="D407" t="s">
        <v>806</v>
      </c>
      <c r="E407" t="str">
        <f t="shared" ref="E407:E412" si="22">"7839454551"</f>
        <v>7839454551</v>
      </c>
      <c r="F407" t="s">
        <v>57</v>
      </c>
      <c r="G407" t="s">
        <v>834</v>
      </c>
      <c r="H407" t="s">
        <v>835</v>
      </c>
      <c r="I407" t="s">
        <v>17</v>
      </c>
      <c r="J407" t="s">
        <v>18</v>
      </c>
    </row>
    <row r="408" spans="1:10" hidden="1" x14ac:dyDescent="0.25">
      <c r="A408" t="s">
        <v>11</v>
      </c>
      <c r="B408" t="str">
        <f>"ОТ-3004-000011"</f>
        <v>ОТ-3004-000011</v>
      </c>
      <c r="C408" t="s">
        <v>49</v>
      </c>
      <c r="D408" t="s">
        <v>806</v>
      </c>
      <c r="E408" t="str">
        <f t="shared" si="22"/>
        <v>7839454551</v>
      </c>
      <c r="F408" t="s">
        <v>57</v>
      </c>
      <c r="G408" t="s">
        <v>58</v>
      </c>
      <c r="H408" t="s">
        <v>836</v>
      </c>
      <c r="I408" t="s">
        <v>17</v>
      </c>
      <c r="J408" t="s">
        <v>18</v>
      </c>
    </row>
    <row r="409" spans="1:10" hidden="1" x14ac:dyDescent="0.25">
      <c r="A409" t="s">
        <v>11</v>
      </c>
      <c r="B409" t="str">
        <f>"ОТ-3004-000001"</f>
        <v>ОТ-3004-000001</v>
      </c>
      <c r="C409" t="s">
        <v>49</v>
      </c>
      <c r="D409" t="s">
        <v>806</v>
      </c>
      <c r="E409" t="str">
        <f t="shared" si="22"/>
        <v>7839454551</v>
      </c>
      <c r="F409" t="s">
        <v>57</v>
      </c>
      <c r="G409" t="s">
        <v>837</v>
      </c>
      <c r="H409" t="s">
        <v>838</v>
      </c>
      <c r="I409" t="s">
        <v>17</v>
      </c>
      <c r="J409" t="s">
        <v>18</v>
      </c>
    </row>
    <row r="410" spans="1:10" hidden="1" x14ac:dyDescent="0.25">
      <c r="A410" t="s">
        <v>11</v>
      </c>
      <c r="B410" t="str">
        <f>"УТ-305-000051"</f>
        <v>УТ-305-000051</v>
      </c>
      <c r="C410" t="s">
        <v>65</v>
      </c>
      <c r="D410" t="s">
        <v>806</v>
      </c>
      <c r="E410" t="str">
        <f t="shared" si="22"/>
        <v>7839454551</v>
      </c>
      <c r="F410" t="s">
        <v>57</v>
      </c>
      <c r="G410" t="s">
        <v>839</v>
      </c>
      <c r="H410" t="s">
        <v>840</v>
      </c>
      <c r="I410" t="s">
        <v>17</v>
      </c>
      <c r="J410" t="s">
        <v>18</v>
      </c>
    </row>
    <row r="411" spans="1:10" hidden="1" x14ac:dyDescent="0.25">
      <c r="A411" t="s">
        <v>11</v>
      </c>
      <c r="B411" t="str">
        <f>"УТ-305-000049"</f>
        <v>УТ-305-000049</v>
      </c>
      <c r="C411" t="s">
        <v>65</v>
      </c>
      <c r="D411" t="s">
        <v>806</v>
      </c>
      <c r="E411" t="str">
        <f t="shared" si="22"/>
        <v>7839454551</v>
      </c>
      <c r="F411" t="s">
        <v>57</v>
      </c>
      <c r="G411" t="s">
        <v>614</v>
      </c>
      <c r="H411" t="s">
        <v>841</v>
      </c>
      <c r="I411" t="s">
        <v>17</v>
      </c>
      <c r="J411" t="s">
        <v>18</v>
      </c>
    </row>
    <row r="412" spans="1:10" hidden="1" x14ac:dyDescent="0.25">
      <c r="A412" t="s">
        <v>11</v>
      </c>
      <c r="B412" t="str">
        <f>"УТ-305-000048"</f>
        <v>УТ-305-000048</v>
      </c>
      <c r="C412" t="s">
        <v>65</v>
      </c>
      <c r="D412" t="s">
        <v>806</v>
      </c>
      <c r="E412" t="str">
        <f t="shared" si="22"/>
        <v>7839454551</v>
      </c>
      <c r="F412" t="s">
        <v>57</v>
      </c>
      <c r="G412" t="s">
        <v>842</v>
      </c>
      <c r="H412" t="s">
        <v>843</v>
      </c>
      <c r="I412" t="s">
        <v>17</v>
      </c>
      <c r="J412" t="s">
        <v>18</v>
      </c>
    </row>
    <row r="413" spans="1:10" hidden="1" x14ac:dyDescent="0.25">
      <c r="A413" t="s">
        <v>290</v>
      </c>
      <c r="B413" t="str">
        <f>"50"</f>
        <v>50</v>
      </c>
      <c r="C413" t="s">
        <v>49</v>
      </c>
      <c r="D413" t="s">
        <v>806</v>
      </c>
      <c r="E413" t="str">
        <f>"6950006259"</f>
        <v>6950006259</v>
      </c>
      <c r="F413" t="s">
        <v>626</v>
      </c>
      <c r="G413" t="s">
        <v>844</v>
      </c>
      <c r="H413" t="s">
        <v>845</v>
      </c>
      <c r="I413" t="s">
        <v>17</v>
      </c>
      <c r="J413" t="s">
        <v>18</v>
      </c>
    </row>
    <row r="414" spans="1:10" hidden="1" x14ac:dyDescent="0.25">
      <c r="A414" t="s">
        <v>846</v>
      </c>
      <c r="B414" t="s">
        <v>847</v>
      </c>
      <c r="C414" t="s">
        <v>847</v>
      </c>
      <c r="D414" t="s">
        <v>806</v>
      </c>
      <c r="E414" t="str">
        <f>"6950006259"</f>
        <v>6950006259</v>
      </c>
      <c r="F414" t="s">
        <v>626</v>
      </c>
      <c r="G414" t="s">
        <v>847</v>
      </c>
      <c r="H414" t="s">
        <v>848</v>
      </c>
      <c r="I414" t="s">
        <v>17</v>
      </c>
      <c r="J414" t="s">
        <v>18</v>
      </c>
    </row>
    <row r="415" spans="1:10" hidden="1" x14ac:dyDescent="0.25">
      <c r="A415" t="s">
        <v>11</v>
      </c>
      <c r="B415" t="str">
        <f>"150341/780E"</f>
        <v>150341/780E</v>
      </c>
      <c r="C415" t="s">
        <v>65</v>
      </c>
      <c r="D415" t="s">
        <v>806</v>
      </c>
      <c r="E415" t="str">
        <f t="shared" ref="E415:E425" si="23">"5003052454"</f>
        <v>5003052454</v>
      </c>
      <c r="F415" t="s">
        <v>14</v>
      </c>
      <c r="G415" t="s">
        <v>849</v>
      </c>
      <c r="H415" t="s">
        <v>850</v>
      </c>
      <c r="I415" t="s">
        <v>17</v>
      </c>
      <c r="J415" t="s">
        <v>18</v>
      </c>
    </row>
    <row r="416" spans="1:10" hidden="1" x14ac:dyDescent="0.25">
      <c r="A416" t="s">
        <v>11</v>
      </c>
      <c r="B416" t="str">
        <f>"150342/780E"</f>
        <v>150342/780E</v>
      </c>
      <c r="C416" t="s">
        <v>65</v>
      </c>
      <c r="D416" t="s">
        <v>806</v>
      </c>
      <c r="E416" t="str">
        <f t="shared" si="23"/>
        <v>5003052454</v>
      </c>
      <c r="F416" t="s">
        <v>14</v>
      </c>
      <c r="G416" t="s">
        <v>851</v>
      </c>
      <c r="H416" t="s">
        <v>852</v>
      </c>
      <c r="I416" t="s">
        <v>17</v>
      </c>
      <c r="J416" t="s">
        <v>18</v>
      </c>
    </row>
    <row r="417" spans="1:10" hidden="1" x14ac:dyDescent="0.25">
      <c r="A417" t="s">
        <v>11</v>
      </c>
      <c r="B417" t="str">
        <f>"150343/780E"</f>
        <v>150343/780E</v>
      </c>
      <c r="C417" t="s">
        <v>65</v>
      </c>
      <c r="D417" t="s">
        <v>806</v>
      </c>
      <c r="E417" t="str">
        <f t="shared" si="23"/>
        <v>5003052454</v>
      </c>
      <c r="F417" t="s">
        <v>14</v>
      </c>
      <c r="G417" t="s">
        <v>853</v>
      </c>
      <c r="H417" t="s">
        <v>854</v>
      </c>
      <c r="I417" t="s">
        <v>17</v>
      </c>
      <c r="J417" t="s">
        <v>18</v>
      </c>
    </row>
    <row r="418" spans="1:10" hidden="1" x14ac:dyDescent="0.25">
      <c r="A418" t="s">
        <v>11</v>
      </c>
      <c r="B418" t="str">
        <f>"150344/780E"</f>
        <v>150344/780E</v>
      </c>
      <c r="C418" t="s">
        <v>65</v>
      </c>
      <c r="D418" t="s">
        <v>806</v>
      </c>
      <c r="E418" t="str">
        <f t="shared" si="23"/>
        <v>5003052454</v>
      </c>
      <c r="F418" t="s">
        <v>14</v>
      </c>
      <c r="G418" t="s">
        <v>855</v>
      </c>
      <c r="H418" t="s">
        <v>856</v>
      </c>
      <c r="I418" t="s">
        <v>17</v>
      </c>
      <c r="J418" t="s">
        <v>18</v>
      </c>
    </row>
    <row r="419" spans="1:10" hidden="1" x14ac:dyDescent="0.25">
      <c r="A419" t="s">
        <v>11</v>
      </c>
      <c r="B419" t="str">
        <f>"150345/780E"</f>
        <v>150345/780E</v>
      </c>
      <c r="C419" t="s">
        <v>65</v>
      </c>
      <c r="D419" t="s">
        <v>806</v>
      </c>
      <c r="E419" t="str">
        <f t="shared" si="23"/>
        <v>5003052454</v>
      </c>
      <c r="F419" t="s">
        <v>14</v>
      </c>
      <c r="G419" t="s">
        <v>857</v>
      </c>
      <c r="H419" t="s">
        <v>858</v>
      </c>
      <c r="I419" t="s">
        <v>17</v>
      </c>
      <c r="J419" t="s">
        <v>18</v>
      </c>
    </row>
    <row r="420" spans="1:10" hidden="1" x14ac:dyDescent="0.25">
      <c r="A420" t="s">
        <v>11</v>
      </c>
      <c r="B420" t="str">
        <f>"150346/780E"</f>
        <v>150346/780E</v>
      </c>
      <c r="C420" t="s">
        <v>65</v>
      </c>
      <c r="D420" t="s">
        <v>806</v>
      </c>
      <c r="E420" t="str">
        <f t="shared" si="23"/>
        <v>5003052454</v>
      </c>
      <c r="F420" t="s">
        <v>14</v>
      </c>
      <c r="G420" t="s">
        <v>859</v>
      </c>
      <c r="H420" t="s">
        <v>860</v>
      </c>
      <c r="I420" t="s">
        <v>17</v>
      </c>
      <c r="J420" t="s">
        <v>18</v>
      </c>
    </row>
    <row r="421" spans="1:10" hidden="1" x14ac:dyDescent="0.25">
      <c r="A421" t="s">
        <v>11</v>
      </c>
      <c r="B421" t="str">
        <f>"150347/780E"</f>
        <v>150347/780E</v>
      </c>
      <c r="C421" t="s">
        <v>65</v>
      </c>
      <c r="D421" t="s">
        <v>806</v>
      </c>
      <c r="E421" t="str">
        <f t="shared" si="23"/>
        <v>5003052454</v>
      </c>
      <c r="F421" t="s">
        <v>14</v>
      </c>
      <c r="G421" t="s">
        <v>861</v>
      </c>
      <c r="H421" t="s">
        <v>862</v>
      </c>
      <c r="I421" t="s">
        <v>17</v>
      </c>
      <c r="J421" t="s">
        <v>18</v>
      </c>
    </row>
    <row r="422" spans="1:10" hidden="1" x14ac:dyDescent="0.25">
      <c r="A422" t="s">
        <v>11</v>
      </c>
      <c r="B422" t="str">
        <f>"150348/780E"</f>
        <v>150348/780E</v>
      </c>
      <c r="C422" t="s">
        <v>65</v>
      </c>
      <c r="D422" t="s">
        <v>806</v>
      </c>
      <c r="E422" t="str">
        <f t="shared" si="23"/>
        <v>5003052454</v>
      </c>
      <c r="F422" t="s">
        <v>14</v>
      </c>
      <c r="G422" t="s">
        <v>863</v>
      </c>
      <c r="H422" t="s">
        <v>864</v>
      </c>
      <c r="I422" t="s">
        <v>17</v>
      </c>
      <c r="J422" t="s">
        <v>18</v>
      </c>
    </row>
    <row r="423" spans="1:10" hidden="1" x14ac:dyDescent="0.25">
      <c r="A423" t="s">
        <v>11</v>
      </c>
      <c r="B423" t="str">
        <f>"150349/780E"</f>
        <v>150349/780E</v>
      </c>
      <c r="C423" t="s">
        <v>65</v>
      </c>
      <c r="D423" t="s">
        <v>806</v>
      </c>
      <c r="E423" t="str">
        <f t="shared" si="23"/>
        <v>5003052454</v>
      </c>
      <c r="F423" t="s">
        <v>14</v>
      </c>
      <c r="G423" t="s">
        <v>865</v>
      </c>
      <c r="H423" t="s">
        <v>866</v>
      </c>
      <c r="I423" t="s">
        <v>17</v>
      </c>
      <c r="J423" t="s">
        <v>18</v>
      </c>
    </row>
    <row r="424" spans="1:10" hidden="1" x14ac:dyDescent="0.25">
      <c r="A424" t="s">
        <v>11</v>
      </c>
      <c r="B424" t="str">
        <f>"150350/780E"</f>
        <v>150350/780E</v>
      </c>
      <c r="C424" t="s">
        <v>65</v>
      </c>
      <c r="D424" t="s">
        <v>806</v>
      </c>
      <c r="E424" t="str">
        <f t="shared" si="23"/>
        <v>5003052454</v>
      </c>
      <c r="F424" t="s">
        <v>14</v>
      </c>
      <c r="G424" t="s">
        <v>867</v>
      </c>
      <c r="H424" t="s">
        <v>868</v>
      </c>
      <c r="I424" t="s">
        <v>17</v>
      </c>
      <c r="J424" t="s">
        <v>18</v>
      </c>
    </row>
    <row r="425" spans="1:10" hidden="1" x14ac:dyDescent="0.25">
      <c r="A425" t="s">
        <v>11</v>
      </c>
      <c r="B425" t="str">
        <f>"150351/780E"</f>
        <v>150351/780E</v>
      </c>
      <c r="C425" t="s">
        <v>65</v>
      </c>
      <c r="D425" t="s">
        <v>806</v>
      </c>
      <c r="E425" t="str">
        <f t="shared" si="23"/>
        <v>5003052454</v>
      </c>
      <c r="F425" t="s">
        <v>14</v>
      </c>
      <c r="G425" t="s">
        <v>869</v>
      </c>
      <c r="H425" t="s">
        <v>870</v>
      </c>
      <c r="I425" t="s">
        <v>17</v>
      </c>
      <c r="J425" t="s">
        <v>18</v>
      </c>
    </row>
    <row r="426" spans="1:10" hidden="1" x14ac:dyDescent="0.25">
      <c r="A426" t="s">
        <v>11</v>
      </c>
      <c r="B426" t="str">
        <f>"UT-106968"</f>
        <v>UT-106968</v>
      </c>
      <c r="C426" t="s">
        <v>65</v>
      </c>
      <c r="D426" t="s">
        <v>806</v>
      </c>
      <c r="E426" t="str">
        <f>"7806385951"</f>
        <v>7806385951</v>
      </c>
      <c r="F426" t="s">
        <v>26</v>
      </c>
      <c r="G426" t="s">
        <v>871</v>
      </c>
      <c r="H426" t="s">
        <v>872</v>
      </c>
      <c r="I426" t="s">
        <v>17</v>
      </c>
      <c r="J426" t="s">
        <v>18</v>
      </c>
    </row>
    <row r="427" spans="1:10" hidden="1" x14ac:dyDescent="0.25">
      <c r="A427" t="s">
        <v>11</v>
      </c>
      <c r="B427" t="str">
        <f>"UT-107022"</f>
        <v>UT-107022</v>
      </c>
      <c r="C427" t="s">
        <v>65</v>
      </c>
      <c r="D427" t="s">
        <v>806</v>
      </c>
      <c r="E427" t="str">
        <f>"7806385951"</f>
        <v>7806385951</v>
      </c>
      <c r="F427" t="s">
        <v>26</v>
      </c>
      <c r="G427" t="s">
        <v>873</v>
      </c>
      <c r="H427" t="s">
        <v>874</v>
      </c>
      <c r="I427" t="s">
        <v>17</v>
      </c>
      <c r="J427" t="s">
        <v>18</v>
      </c>
    </row>
    <row r="428" spans="1:10" hidden="1" x14ac:dyDescent="0.25">
      <c r="A428" t="s">
        <v>11</v>
      </c>
      <c r="B428" t="str">
        <f>"UT-106629"</f>
        <v>UT-106629</v>
      </c>
      <c r="C428" t="s">
        <v>65</v>
      </c>
      <c r="D428" t="s">
        <v>806</v>
      </c>
      <c r="E428" t="str">
        <f>"7806385951"</f>
        <v>7806385951</v>
      </c>
      <c r="F428" t="s">
        <v>26</v>
      </c>
      <c r="G428" t="s">
        <v>875</v>
      </c>
      <c r="H428" t="s">
        <v>876</v>
      </c>
      <c r="I428" t="s">
        <v>17</v>
      </c>
      <c r="J428" t="s">
        <v>18</v>
      </c>
    </row>
    <row r="429" spans="1:10" hidden="1" x14ac:dyDescent="0.25">
      <c r="A429" t="s">
        <v>11</v>
      </c>
      <c r="B429" t="str">
        <f>"UT-106707"</f>
        <v>UT-106707</v>
      </c>
      <c r="C429" t="s">
        <v>65</v>
      </c>
      <c r="D429" t="s">
        <v>806</v>
      </c>
      <c r="E429" t="str">
        <f>"7806385951"</f>
        <v>7806385951</v>
      </c>
      <c r="F429" t="s">
        <v>26</v>
      </c>
      <c r="G429" t="s">
        <v>877</v>
      </c>
      <c r="H429" t="s">
        <v>878</v>
      </c>
      <c r="I429" t="s">
        <v>17</v>
      </c>
      <c r="J429" t="s">
        <v>18</v>
      </c>
    </row>
    <row r="430" spans="1:10" hidden="1" x14ac:dyDescent="0.25">
      <c r="A430" t="s">
        <v>11</v>
      </c>
      <c r="B430" t="str">
        <f>"SR110023025"</f>
        <v>SR110023025</v>
      </c>
      <c r="C430" t="s">
        <v>65</v>
      </c>
      <c r="D430" t="s">
        <v>806</v>
      </c>
      <c r="E430" t="str">
        <f>"4725006920"</f>
        <v>4725006920</v>
      </c>
      <c r="F430" t="s">
        <v>101</v>
      </c>
      <c r="G430" t="s">
        <v>879</v>
      </c>
      <c r="H430" t="s">
        <v>880</v>
      </c>
      <c r="I430" t="s">
        <v>17</v>
      </c>
      <c r="J430" t="s">
        <v>18</v>
      </c>
    </row>
    <row r="431" spans="1:10" hidden="1" x14ac:dyDescent="0.25">
      <c r="A431" t="s">
        <v>11</v>
      </c>
      <c r="B431" t="str">
        <f>"SR110022985"</f>
        <v>SR110022985</v>
      </c>
      <c r="C431" t="s">
        <v>65</v>
      </c>
      <c r="D431" t="s">
        <v>806</v>
      </c>
      <c r="E431" t="str">
        <f>"4725006920"</f>
        <v>4725006920</v>
      </c>
      <c r="F431" t="s">
        <v>101</v>
      </c>
      <c r="G431" t="s">
        <v>881</v>
      </c>
      <c r="H431" t="s">
        <v>882</v>
      </c>
      <c r="I431" t="s">
        <v>17</v>
      </c>
      <c r="J431" t="s">
        <v>18</v>
      </c>
    </row>
    <row r="432" spans="1:10" hidden="1" x14ac:dyDescent="0.25">
      <c r="A432" t="s">
        <v>11</v>
      </c>
      <c r="B432" t="str">
        <f>"7810/8174420533"</f>
        <v>7810/8174420533</v>
      </c>
      <c r="C432" t="s">
        <v>65</v>
      </c>
      <c r="D432" t="s">
        <v>806</v>
      </c>
      <c r="E432" t="str">
        <f>"5032260402"</f>
        <v>5032260402</v>
      </c>
      <c r="F432" t="s">
        <v>341</v>
      </c>
      <c r="G432" t="s">
        <v>883</v>
      </c>
      <c r="H432" t="s">
        <v>884</v>
      </c>
      <c r="I432" t="s">
        <v>17</v>
      </c>
      <c r="J432" t="s">
        <v>18</v>
      </c>
    </row>
    <row r="433" spans="1:10" hidden="1" x14ac:dyDescent="0.25">
      <c r="A433" t="s">
        <v>11</v>
      </c>
      <c r="B433" t="str">
        <f>"7810/8174420075"</f>
        <v>7810/8174420075</v>
      </c>
      <c r="C433" t="s">
        <v>65</v>
      </c>
      <c r="D433" t="s">
        <v>806</v>
      </c>
      <c r="E433" t="str">
        <f>"5032260402"</f>
        <v>5032260402</v>
      </c>
      <c r="F433" t="s">
        <v>341</v>
      </c>
      <c r="G433" t="s">
        <v>885</v>
      </c>
      <c r="H433" t="s">
        <v>886</v>
      </c>
      <c r="I433" t="s">
        <v>17</v>
      </c>
      <c r="J433" t="s">
        <v>18</v>
      </c>
    </row>
    <row r="434" spans="1:10" hidden="1" x14ac:dyDescent="0.25">
      <c r="A434" t="s">
        <v>11</v>
      </c>
      <c r="B434" t="str">
        <f>"852"</f>
        <v>852</v>
      </c>
      <c r="C434" t="s">
        <v>49</v>
      </c>
      <c r="D434" t="s">
        <v>806</v>
      </c>
      <c r="E434" t="str">
        <f>"7704340969"</f>
        <v>7704340969</v>
      </c>
      <c r="F434" t="s">
        <v>76</v>
      </c>
      <c r="G434" t="s">
        <v>77</v>
      </c>
      <c r="H434" t="s">
        <v>887</v>
      </c>
      <c r="I434" t="s">
        <v>17</v>
      </c>
      <c r="J434" t="s">
        <v>18</v>
      </c>
    </row>
    <row r="435" spans="1:10" hidden="1" x14ac:dyDescent="0.25">
      <c r="A435" t="s">
        <v>11</v>
      </c>
      <c r="B435" t="str">
        <f>"889"</f>
        <v>889</v>
      </c>
      <c r="C435" t="s">
        <v>49</v>
      </c>
      <c r="D435" t="s">
        <v>806</v>
      </c>
      <c r="E435" t="str">
        <f>"7704340969"</f>
        <v>7704340969</v>
      </c>
      <c r="F435" t="s">
        <v>76</v>
      </c>
      <c r="G435" t="s">
        <v>79</v>
      </c>
      <c r="H435" t="s">
        <v>888</v>
      </c>
      <c r="I435" t="s">
        <v>17</v>
      </c>
      <c r="J435" t="s">
        <v>18</v>
      </c>
    </row>
    <row r="436" spans="1:10" hidden="1" x14ac:dyDescent="0.25">
      <c r="A436" t="s">
        <v>11</v>
      </c>
      <c r="B436" t="str">
        <f>"916"</f>
        <v>916</v>
      </c>
      <c r="C436" t="s">
        <v>49</v>
      </c>
      <c r="D436" t="s">
        <v>806</v>
      </c>
      <c r="E436" t="str">
        <f>"7704340969"</f>
        <v>7704340969</v>
      </c>
      <c r="F436" t="s">
        <v>76</v>
      </c>
      <c r="G436" t="s">
        <v>81</v>
      </c>
      <c r="H436" t="s">
        <v>889</v>
      </c>
      <c r="I436" t="s">
        <v>17</v>
      </c>
      <c r="J436" t="s">
        <v>18</v>
      </c>
    </row>
    <row r="437" spans="1:10" hidden="1" x14ac:dyDescent="0.25">
      <c r="A437" t="s">
        <v>11</v>
      </c>
      <c r="B437" t="str">
        <f>"959"</f>
        <v>959</v>
      </c>
      <c r="C437" t="s">
        <v>49</v>
      </c>
      <c r="D437" t="s">
        <v>806</v>
      </c>
      <c r="E437" t="str">
        <f>"7704340969"</f>
        <v>7704340969</v>
      </c>
      <c r="F437" t="s">
        <v>76</v>
      </c>
      <c r="G437" t="s">
        <v>83</v>
      </c>
      <c r="H437" t="s">
        <v>890</v>
      </c>
      <c r="I437" t="s">
        <v>17</v>
      </c>
      <c r="J437" t="s">
        <v>18</v>
      </c>
    </row>
    <row r="438" spans="1:10" hidden="1" x14ac:dyDescent="0.25">
      <c r="A438" t="s">
        <v>11</v>
      </c>
      <c r="B438" t="str">
        <f>"2282"</f>
        <v>2282</v>
      </c>
      <c r="C438" t="s">
        <v>12</v>
      </c>
      <c r="D438" t="s">
        <v>806</v>
      </c>
      <c r="E438" t="str">
        <f>"7825076677"</f>
        <v>7825076677</v>
      </c>
      <c r="F438" t="s">
        <v>891</v>
      </c>
      <c r="G438" t="s">
        <v>892</v>
      </c>
      <c r="H438" t="s">
        <v>893</v>
      </c>
      <c r="I438" t="s">
        <v>17</v>
      </c>
      <c r="J438" t="s">
        <v>18</v>
      </c>
    </row>
    <row r="439" spans="1:10" hidden="1" x14ac:dyDescent="0.25">
      <c r="A439" t="s">
        <v>11</v>
      </c>
      <c r="B439" t="str">
        <f>"SR110023081"</f>
        <v>SR110023081</v>
      </c>
      <c r="C439" t="s">
        <v>65</v>
      </c>
      <c r="D439" t="s">
        <v>806</v>
      </c>
      <c r="E439" t="str">
        <f>"4725006920"</f>
        <v>4725006920</v>
      </c>
      <c r="F439" t="s">
        <v>101</v>
      </c>
      <c r="G439" t="s">
        <v>894</v>
      </c>
      <c r="H439" t="s">
        <v>895</v>
      </c>
      <c r="I439" t="s">
        <v>17</v>
      </c>
      <c r="J439" t="s">
        <v>18</v>
      </c>
    </row>
    <row r="440" spans="1:10" hidden="1" x14ac:dyDescent="0.25">
      <c r="A440" t="s">
        <v>11</v>
      </c>
      <c r="B440" t="str">
        <f>"2274"</f>
        <v>2274</v>
      </c>
      <c r="C440" t="s">
        <v>12</v>
      </c>
      <c r="D440" t="s">
        <v>806</v>
      </c>
      <c r="E440" t="str">
        <f>"7825076677"</f>
        <v>7825076677</v>
      </c>
      <c r="F440" t="s">
        <v>891</v>
      </c>
      <c r="G440" t="s">
        <v>896</v>
      </c>
      <c r="H440" t="s">
        <v>897</v>
      </c>
      <c r="I440" t="s">
        <v>17</v>
      </c>
      <c r="J440" t="s">
        <v>388</v>
      </c>
    </row>
    <row r="441" spans="1:10" hidden="1" x14ac:dyDescent="0.25">
      <c r="A441" t="s">
        <v>11</v>
      </c>
      <c r="B441" t="str">
        <f>"7810/8174420202"</f>
        <v>7810/8174420202</v>
      </c>
      <c r="C441" t="s">
        <v>65</v>
      </c>
      <c r="D441" t="s">
        <v>806</v>
      </c>
      <c r="E441" t="str">
        <f>"5032260402"</f>
        <v>5032260402</v>
      </c>
      <c r="F441" t="s">
        <v>341</v>
      </c>
      <c r="G441" t="s">
        <v>898</v>
      </c>
      <c r="H441" t="s">
        <v>899</v>
      </c>
      <c r="I441" t="s">
        <v>17</v>
      </c>
      <c r="J441" t="s">
        <v>18</v>
      </c>
    </row>
    <row r="442" spans="1:10" hidden="1" x14ac:dyDescent="0.25">
      <c r="A442" t="s">
        <v>11</v>
      </c>
      <c r="B442" t="str">
        <f>"2023/40/03/0034262/06"</f>
        <v>2023/40/03/0034262/06</v>
      </c>
      <c r="C442" t="s">
        <v>12</v>
      </c>
      <c r="D442" t="s">
        <v>806</v>
      </c>
      <c r="E442" t="str">
        <f>"7718151150"</f>
        <v>7718151150</v>
      </c>
      <c r="F442" t="s">
        <v>54</v>
      </c>
      <c r="G442" t="s">
        <v>258</v>
      </c>
      <c r="H442" t="s">
        <v>900</v>
      </c>
      <c r="I442" t="s">
        <v>17</v>
      </c>
      <c r="J442" t="s">
        <v>18</v>
      </c>
    </row>
    <row r="443" spans="1:10" hidden="1" x14ac:dyDescent="0.25">
      <c r="A443" t="s">
        <v>11</v>
      </c>
      <c r="B443" t="str">
        <f>"2023/40/03/0034414/06"</f>
        <v>2023/40/03/0034414/06</v>
      </c>
      <c r="C443" t="s">
        <v>12</v>
      </c>
      <c r="D443" t="s">
        <v>806</v>
      </c>
      <c r="E443" t="str">
        <f>"7718151150"</f>
        <v>7718151150</v>
      </c>
      <c r="F443" t="s">
        <v>54</v>
      </c>
      <c r="G443" t="s">
        <v>901</v>
      </c>
      <c r="H443" t="s">
        <v>902</v>
      </c>
      <c r="I443" t="s">
        <v>17</v>
      </c>
      <c r="J443" t="s">
        <v>18</v>
      </c>
    </row>
    <row r="444" spans="1:10" hidden="1" x14ac:dyDescent="0.25">
      <c r="A444" t="s">
        <v>11</v>
      </c>
      <c r="B444" t="str">
        <f>"УТР0165420"</f>
        <v>УТР0165420</v>
      </c>
      <c r="C444" t="s">
        <v>903</v>
      </c>
      <c r="D444" t="s">
        <v>806</v>
      </c>
      <c r="E444" t="str">
        <f>"7804044258"</f>
        <v>7804044258</v>
      </c>
      <c r="F444" t="s">
        <v>155</v>
      </c>
      <c r="G444" t="s">
        <v>904</v>
      </c>
      <c r="H444" t="s">
        <v>905</v>
      </c>
      <c r="I444" t="s">
        <v>17</v>
      </c>
      <c r="J444" t="s">
        <v>18</v>
      </c>
    </row>
    <row r="445" spans="1:10" hidden="1" x14ac:dyDescent="0.25">
      <c r="A445" t="s">
        <v>11</v>
      </c>
      <c r="B445" t="str">
        <f>"27868"</f>
        <v>27868</v>
      </c>
      <c r="C445" t="s">
        <v>12</v>
      </c>
      <c r="D445" t="s">
        <v>806</v>
      </c>
      <c r="E445" t="str">
        <f>"7729488999"</f>
        <v>7729488999</v>
      </c>
      <c r="F445" t="s">
        <v>85</v>
      </c>
      <c r="G445" t="s">
        <v>906</v>
      </c>
      <c r="H445" t="s">
        <v>907</v>
      </c>
      <c r="I445" t="s">
        <v>17</v>
      </c>
      <c r="J445" t="s">
        <v>18</v>
      </c>
    </row>
    <row r="446" spans="1:10" hidden="1" x14ac:dyDescent="0.25">
      <c r="A446" t="s">
        <v>11</v>
      </c>
      <c r="B446" t="str">
        <f>"27697"</f>
        <v>27697</v>
      </c>
      <c r="C446" t="s">
        <v>12</v>
      </c>
      <c r="D446" t="s">
        <v>806</v>
      </c>
      <c r="E446" t="str">
        <f>"7729488999"</f>
        <v>7729488999</v>
      </c>
      <c r="F446" t="s">
        <v>85</v>
      </c>
      <c r="G446" t="s">
        <v>908</v>
      </c>
      <c r="H446" t="s">
        <v>909</v>
      </c>
      <c r="I446" t="s">
        <v>17</v>
      </c>
      <c r="J446" t="s">
        <v>18</v>
      </c>
    </row>
    <row r="447" spans="1:10" hidden="1" x14ac:dyDescent="0.25">
      <c r="A447" t="s">
        <v>11</v>
      </c>
      <c r="B447" t="str">
        <f>"27696"</f>
        <v>27696</v>
      </c>
      <c r="C447" t="s">
        <v>12</v>
      </c>
      <c r="D447" t="s">
        <v>806</v>
      </c>
      <c r="E447" t="str">
        <f>"7729488999"</f>
        <v>7729488999</v>
      </c>
      <c r="F447" t="s">
        <v>85</v>
      </c>
      <c r="G447" t="s">
        <v>910</v>
      </c>
      <c r="H447" t="s">
        <v>911</v>
      </c>
      <c r="I447" t="s">
        <v>17</v>
      </c>
      <c r="J447" t="s">
        <v>18</v>
      </c>
    </row>
    <row r="448" spans="1:10" hidden="1" x14ac:dyDescent="0.25">
      <c r="A448" t="s">
        <v>11</v>
      </c>
      <c r="B448" t="str">
        <f>"26824"</f>
        <v>26824</v>
      </c>
      <c r="C448" t="s">
        <v>12</v>
      </c>
      <c r="D448" t="s">
        <v>806</v>
      </c>
      <c r="E448" t="str">
        <f>"7729488999"</f>
        <v>7729488999</v>
      </c>
      <c r="F448" t="s">
        <v>85</v>
      </c>
      <c r="G448" t="s">
        <v>90</v>
      </c>
      <c r="H448" t="s">
        <v>912</v>
      </c>
      <c r="I448" t="s">
        <v>17</v>
      </c>
      <c r="J448" t="s">
        <v>18</v>
      </c>
    </row>
    <row r="449" spans="1:10" hidden="1" x14ac:dyDescent="0.25">
      <c r="A449" t="s">
        <v>11</v>
      </c>
      <c r="B449" t="str">
        <f>"06085"</f>
        <v>06085</v>
      </c>
      <c r="C449" t="s">
        <v>65</v>
      </c>
      <c r="D449" t="s">
        <v>806</v>
      </c>
      <c r="E449" t="str">
        <f>"7811781414"</f>
        <v>7811781414</v>
      </c>
      <c r="F449" t="s">
        <v>913</v>
      </c>
      <c r="G449" t="s">
        <v>914</v>
      </c>
      <c r="H449" t="s">
        <v>915</v>
      </c>
      <c r="I449" t="s">
        <v>17</v>
      </c>
      <c r="J449" t="s">
        <v>18</v>
      </c>
    </row>
    <row r="450" spans="1:10" hidden="1" x14ac:dyDescent="0.25">
      <c r="A450" t="s">
        <v>11</v>
      </c>
      <c r="B450" t="str">
        <f>"УТ-2804-000103"</f>
        <v>УТ-2804-000103</v>
      </c>
      <c r="C450" t="s">
        <v>559</v>
      </c>
      <c r="D450" t="s">
        <v>806</v>
      </c>
      <c r="E450" t="str">
        <f>"7839454551"</f>
        <v>7839454551</v>
      </c>
      <c r="F450" t="s">
        <v>57</v>
      </c>
      <c r="G450" t="s">
        <v>916</v>
      </c>
      <c r="H450" t="s">
        <v>917</v>
      </c>
      <c r="I450" t="s">
        <v>17</v>
      </c>
      <c r="J450" t="s">
        <v>18</v>
      </c>
    </row>
    <row r="451" spans="1:10" x14ac:dyDescent="0.25">
      <c r="A451" t="s">
        <v>11</v>
      </c>
      <c r="B451" t="str">
        <f>"УТ-2804-000097"</f>
        <v>УТ-2804-000097</v>
      </c>
      <c r="C451" t="s">
        <v>559</v>
      </c>
      <c r="D451" t="s">
        <v>806</v>
      </c>
      <c r="E451" t="str">
        <f>"7839454551"</f>
        <v>7839454551</v>
      </c>
      <c r="F451" t="s">
        <v>57</v>
      </c>
      <c r="G451" t="s">
        <v>918</v>
      </c>
      <c r="H451" t="s">
        <v>919</v>
      </c>
      <c r="I451" t="s">
        <v>17</v>
      </c>
      <c r="J451" t="s">
        <v>166</v>
      </c>
    </row>
    <row r="452" spans="1:10" hidden="1" x14ac:dyDescent="0.25">
      <c r="A452" t="s">
        <v>11</v>
      </c>
      <c r="B452" t="str">
        <f>"УТ-2804-000090"</f>
        <v>УТ-2804-000090</v>
      </c>
      <c r="C452" t="s">
        <v>559</v>
      </c>
      <c r="D452" t="s">
        <v>806</v>
      </c>
      <c r="E452" t="str">
        <f>"7839454551"</f>
        <v>7839454551</v>
      </c>
      <c r="F452" t="s">
        <v>57</v>
      </c>
      <c r="G452" t="s">
        <v>920</v>
      </c>
      <c r="H452" t="s">
        <v>921</v>
      </c>
      <c r="I452" t="s">
        <v>17</v>
      </c>
      <c r="J452" t="s">
        <v>18</v>
      </c>
    </row>
    <row r="453" spans="1:10" hidden="1" x14ac:dyDescent="0.25">
      <c r="A453" t="s">
        <v>11</v>
      </c>
      <c r="B453" t="str">
        <f>"УТ-2804-000089"</f>
        <v>УТ-2804-000089</v>
      </c>
      <c r="C453" t="s">
        <v>559</v>
      </c>
      <c r="D453" t="s">
        <v>806</v>
      </c>
      <c r="E453" t="str">
        <f>"7839454551"</f>
        <v>7839454551</v>
      </c>
      <c r="F453" t="s">
        <v>57</v>
      </c>
      <c r="G453" t="s">
        <v>622</v>
      </c>
      <c r="H453" t="s">
        <v>922</v>
      </c>
      <c r="I453" t="s">
        <v>17</v>
      </c>
      <c r="J453" t="s">
        <v>18</v>
      </c>
    </row>
    <row r="454" spans="1:10" x14ac:dyDescent="0.25">
      <c r="A454" t="s">
        <v>923</v>
      </c>
      <c r="B454" t="str">
        <f>"1"</f>
        <v>1</v>
      </c>
      <c r="C454" t="s">
        <v>65</v>
      </c>
      <c r="D454" t="s">
        <v>806</v>
      </c>
      <c r="E454" t="str">
        <f>"7705034202"</f>
        <v>7705034202</v>
      </c>
      <c r="F454" t="s">
        <v>407</v>
      </c>
      <c r="G454" t="s">
        <v>801</v>
      </c>
      <c r="H454" t="s">
        <v>924</v>
      </c>
      <c r="I454" t="s">
        <v>17</v>
      </c>
      <c r="J454" t="s">
        <v>166</v>
      </c>
    </row>
    <row r="455" spans="1:10" hidden="1" x14ac:dyDescent="0.25">
      <c r="A455" t="s">
        <v>11</v>
      </c>
      <c r="B455" t="str">
        <f>"154"</f>
        <v>154</v>
      </c>
      <c r="C455" t="s">
        <v>49</v>
      </c>
      <c r="D455" t="s">
        <v>806</v>
      </c>
      <c r="E455" t="str">
        <f>"7702392168"</f>
        <v>7702392168</v>
      </c>
      <c r="F455" t="s">
        <v>97</v>
      </c>
      <c r="G455" t="s">
        <v>925</v>
      </c>
      <c r="H455" t="s">
        <v>926</v>
      </c>
      <c r="I455" t="s">
        <v>17</v>
      </c>
      <c r="J455" t="s">
        <v>18</v>
      </c>
    </row>
    <row r="456" spans="1:10" hidden="1" x14ac:dyDescent="0.25">
      <c r="A456" t="s">
        <v>11</v>
      </c>
      <c r="B456" t="str">
        <f>"28523"</f>
        <v>28523</v>
      </c>
      <c r="C456" t="s">
        <v>100</v>
      </c>
      <c r="D456" t="s">
        <v>806</v>
      </c>
      <c r="E456" t="str">
        <f>"7729488999"</f>
        <v>7729488999</v>
      </c>
      <c r="F456" t="s">
        <v>85</v>
      </c>
      <c r="G456" t="s">
        <v>927</v>
      </c>
      <c r="H456" t="s">
        <v>928</v>
      </c>
      <c r="I456" t="s">
        <v>17</v>
      </c>
      <c r="J456" t="s">
        <v>18</v>
      </c>
    </row>
    <row r="457" spans="1:10" hidden="1" x14ac:dyDescent="0.25">
      <c r="A457" t="s">
        <v>11</v>
      </c>
      <c r="B457" t="str">
        <f>"152588/780E"</f>
        <v>152588/780E</v>
      </c>
      <c r="C457" t="s">
        <v>100</v>
      </c>
      <c r="D457" t="s">
        <v>806</v>
      </c>
      <c r="E457" t="str">
        <f t="shared" ref="E457:E474" si="24">"5003052454"</f>
        <v>5003052454</v>
      </c>
      <c r="F457" t="s">
        <v>14</v>
      </c>
      <c r="G457" t="s">
        <v>929</v>
      </c>
      <c r="H457" t="s">
        <v>930</v>
      </c>
      <c r="I457" t="s">
        <v>17</v>
      </c>
      <c r="J457" t="s">
        <v>18</v>
      </c>
    </row>
    <row r="458" spans="1:10" hidden="1" x14ac:dyDescent="0.25">
      <c r="A458" t="s">
        <v>11</v>
      </c>
      <c r="B458" t="str">
        <f>"152590/780E"</f>
        <v>152590/780E</v>
      </c>
      <c r="C458" t="s">
        <v>100</v>
      </c>
      <c r="D458" t="s">
        <v>806</v>
      </c>
      <c r="E458" t="str">
        <f t="shared" si="24"/>
        <v>5003052454</v>
      </c>
      <c r="F458" t="s">
        <v>14</v>
      </c>
      <c r="G458" t="s">
        <v>931</v>
      </c>
      <c r="H458" t="s">
        <v>932</v>
      </c>
      <c r="I458" t="s">
        <v>17</v>
      </c>
      <c r="J458" t="s">
        <v>18</v>
      </c>
    </row>
    <row r="459" spans="1:10" hidden="1" x14ac:dyDescent="0.25">
      <c r="A459" t="s">
        <v>11</v>
      </c>
      <c r="B459" t="str">
        <f>"152591/780E"</f>
        <v>152591/780E</v>
      </c>
      <c r="C459" t="s">
        <v>100</v>
      </c>
      <c r="D459" t="s">
        <v>806</v>
      </c>
      <c r="E459" t="str">
        <f t="shared" si="24"/>
        <v>5003052454</v>
      </c>
      <c r="F459" t="s">
        <v>14</v>
      </c>
      <c r="G459" t="s">
        <v>933</v>
      </c>
      <c r="H459" t="s">
        <v>934</v>
      </c>
      <c r="I459" t="s">
        <v>17</v>
      </c>
      <c r="J459" t="s">
        <v>18</v>
      </c>
    </row>
    <row r="460" spans="1:10" hidden="1" x14ac:dyDescent="0.25">
      <c r="A460" t="s">
        <v>11</v>
      </c>
      <c r="B460" t="str">
        <f>"152589/780E"</f>
        <v>152589/780E</v>
      </c>
      <c r="C460" t="s">
        <v>100</v>
      </c>
      <c r="D460" t="s">
        <v>806</v>
      </c>
      <c r="E460" t="str">
        <f t="shared" si="24"/>
        <v>5003052454</v>
      </c>
      <c r="F460" t="s">
        <v>14</v>
      </c>
      <c r="G460" t="s">
        <v>935</v>
      </c>
      <c r="H460" t="s">
        <v>936</v>
      </c>
      <c r="I460" t="s">
        <v>17</v>
      </c>
      <c r="J460" t="s">
        <v>18</v>
      </c>
    </row>
    <row r="461" spans="1:10" hidden="1" x14ac:dyDescent="0.25">
      <c r="A461" t="s">
        <v>11</v>
      </c>
      <c r="B461" t="str">
        <f>"152592/780E"</f>
        <v>152592/780E</v>
      </c>
      <c r="C461" t="s">
        <v>100</v>
      </c>
      <c r="D461" t="s">
        <v>806</v>
      </c>
      <c r="E461" t="str">
        <f t="shared" si="24"/>
        <v>5003052454</v>
      </c>
      <c r="F461" t="s">
        <v>14</v>
      </c>
      <c r="G461" t="s">
        <v>937</v>
      </c>
      <c r="H461" t="s">
        <v>938</v>
      </c>
      <c r="I461" t="s">
        <v>17</v>
      </c>
      <c r="J461" t="s">
        <v>18</v>
      </c>
    </row>
    <row r="462" spans="1:10" hidden="1" x14ac:dyDescent="0.25">
      <c r="A462" t="s">
        <v>11</v>
      </c>
      <c r="B462" t="str">
        <f>"152593/780E"</f>
        <v>152593/780E</v>
      </c>
      <c r="C462" t="s">
        <v>100</v>
      </c>
      <c r="D462" t="s">
        <v>806</v>
      </c>
      <c r="E462" t="str">
        <f t="shared" si="24"/>
        <v>5003052454</v>
      </c>
      <c r="F462" t="s">
        <v>14</v>
      </c>
      <c r="G462" t="s">
        <v>939</v>
      </c>
      <c r="H462" t="s">
        <v>940</v>
      </c>
      <c r="I462" t="s">
        <v>17</v>
      </c>
      <c r="J462" t="s">
        <v>18</v>
      </c>
    </row>
    <row r="463" spans="1:10" hidden="1" x14ac:dyDescent="0.25">
      <c r="A463" t="s">
        <v>11</v>
      </c>
      <c r="B463" t="str">
        <f>"152594/780E"</f>
        <v>152594/780E</v>
      </c>
      <c r="C463" t="s">
        <v>100</v>
      </c>
      <c r="D463" t="s">
        <v>806</v>
      </c>
      <c r="E463" t="str">
        <f t="shared" si="24"/>
        <v>5003052454</v>
      </c>
      <c r="F463" t="s">
        <v>14</v>
      </c>
      <c r="G463" t="s">
        <v>941</v>
      </c>
      <c r="H463" t="s">
        <v>942</v>
      </c>
      <c r="I463" t="s">
        <v>17</v>
      </c>
      <c r="J463" t="s">
        <v>18</v>
      </c>
    </row>
    <row r="464" spans="1:10" hidden="1" x14ac:dyDescent="0.25">
      <c r="A464" t="s">
        <v>11</v>
      </c>
      <c r="B464" t="str">
        <f>"152595/780E"</f>
        <v>152595/780E</v>
      </c>
      <c r="C464" t="s">
        <v>100</v>
      </c>
      <c r="D464" t="s">
        <v>806</v>
      </c>
      <c r="E464" t="str">
        <f t="shared" si="24"/>
        <v>5003052454</v>
      </c>
      <c r="F464" t="s">
        <v>14</v>
      </c>
      <c r="G464" t="s">
        <v>200</v>
      </c>
      <c r="H464" t="s">
        <v>943</v>
      </c>
      <c r="I464" t="s">
        <v>17</v>
      </c>
      <c r="J464" t="s">
        <v>18</v>
      </c>
    </row>
    <row r="465" spans="1:10" hidden="1" x14ac:dyDescent="0.25">
      <c r="A465" t="s">
        <v>11</v>
      </c>
      <c r="B465" t="str">
        <f>"152597/780E"</f>
        <v>152597/780E</v>
      </c>
      <c r="C465" t="s">
        <v>100</v>
      </c>
      <c r="D465" t="s">
        <v>806</v>
      </c>
      <c r="E465" t="str">
        <f t="shared" si="24"/>
        <v>5003052454</v>
      </c>
      <c r="F465" t="s">
        <v>14</v>
      </c>
      <c r="G465" t="s">
        <v>944</v>
      </c>
      <c r="H465" t="s">
        <v>945</v>
      </c>
      <c r="I465" t="s">
        <v>17</v>
      </c>
      <c r="J465" t="s">
        <v>18</v>
      </c>
    </row>
    <row r="466" spans="1:10" hidden="1" x14ac:dyDescent="0.25">
      <c r="A466" t="s">
        <v>11</v>
      </c>
      <c r="B466" t="str">
        <f>"152596/780E"</f>
        <v>152596/780E</v>
      </c>
      <c r="C466" t="s">
        <v>100</v>
      </c>
      <c r="D466" t="s">
        <v>806</v>
      </c>
      <c r="E466" t="str">
        <f t="shared" si="24"/>
        <v>5003052454</v>
      </c>
      <c r="F466" t="s">
        <v>14</v>
      </c>
      <c r="G466" t="s">
        <v>946</v>
      </c>
      <c r="H466" t="s">
        <v>947</v>
      </c>
      <c r="I466" t="s">
        <v>17</v>
      </c>
      <c r="J466" t="s">
        <v>18</v>
      </c>
    </row>
    <row r="467" spans="1:10" hidden="1" x14ac:dyDescent="0.25">
      <c r="A467" t="s">
        <v>11</v>
      </c>
      <c r="B467" t="str">
        <f>"152599/780E"</f>
        <v>152599/780E</v>
      </c>
      <c r="C467" t="s">
        <v>100</v>
      </c>
      <c r="D467" t="s">
        <v>806</v>
      </c>
      <c r="E467" t="str">
        <f t="shared" si="24"/>
        <v>5003052454</v>
      </c>
      <c r="F467" t="s">
        <v>14</v>
      </c>
      <c r="G467" t="s">
        <v>948</v>
      </c>
      <c r="H467" t="s">
        <v>949</v>
      </c>
      <c r="I467" t="s">
        <v>17</v>
      </c>
      <c r="J467" t="s">
        <v>18</v>
      </c>
    </row>
    <row r="468" spans="1:10" hidden="1" x14ac:dyDescent="0.25">
      <c r="A468" t="s">
        <v>11</v>
      </c>
      <c r="B468" t="str">
        <f>"152598/780E"</f>
        <v>152598/780E</v>
      </c>
      <c r="C468" t="s">
        <v>100</v>
      </c>
      <c r="D468" t="s">
        <v>806</v>
      </c>
      <c r="E468" t="str">
        <f t="shared" si="24"/>
        <v>5003052454</v>
      </c>
      <c r="F468" t="s">
        <v>14</v>
      </c>
      <c r="G468" t="s">
        <v>950</v>
      </c>
      <c r="H468" t="s">
        <v>951</v>
      </c>
      <c r="I468" t="s">
        <v>17</v>
      </c>
      <c r="J468" t="s">
        <v>18</v>
      </c>
    </row>
    <row r="469" spans="1:10" hidden="1" x14ac:dyDescent="0.25">
      <c r="A469" t="s">
        <v>11</v>
      </c>
      <c r="B469" t="str">
        <f>"152600/780E"</f>
        <v>152600/780E</v>
      </c>
      <c r="C469" t="s">
        <v>100</v>
      </c>
      <c r="D469" t="s">
        <v>806</v>
      </c>
      <c r="E469" t="str">
        <f t="shared" si="24"/>
        <v>5003052454</v>
      </c>
      <c r="F469" t="s">
        <v>14</v>
      </c>
      <c r="G469" t="s">
        <v>200</v>
      </c>
      <c r="H469" t="s">
        <v>952</v>
      </c>
      <c r="I469" t="s">
        <v>17</v>
      </c>
      <c r="J469" t="s">
        <v>18</v>
      </c>
    </row>
    <row r="470" spans="1:10" hidden="1" x14ac:dyDescent="0.25">
      <c r="A470" t="s">
        <v>11</v>
      </c>
      <c r="B470" t="str">
        <f>"152601/780E"</f>
        <v>152601/780E</v>
      </c>
      <c r="C470" t="s">
        <v>100</v>
      </c>
      <c r="D470" t="s">
        <v>806</v>
      </c>
      <c r="E470" t="str">
        <f t="shared" si="24"/>
        <v>5003052454</v>
      </c>
      <c r="F470" t="s">
        <v>14</v>
      </c>
      <c r="G470" t="s">
        <v>953</v>
      </c>
      <c r="H470" t="s">
        <v>954</v>
      </c>
      <c r="I470" t="s">
        <v>17</v>
      </c>
      <c r="J470" t="s">
        <v>18</v>
      </c>
    </row>
    <row r="471" spans="1:10" hidden="1" x14ac:dyDescent="0.25">
      <c r="A471" t="s">
        <v>11</v>
      </c>
      <c r="B471" t="str">
        <f>"152603/780E"</f>
        <v>152603/780E</v>
      </c>
      <c r="C471" t="s">
        <v>100</v>
      </c>
      <c r="D471" t="s">
        <v>806</v>
      </c>
      <c r="E471" t="str">
        <f t="shared" si="24"/>
        <v>5003052454</v>
      </c>
      <c r="F471" t="s">
        <v>14</v>
      </c>
      <c r="G471" t="s">
        <v>955</v>
      </c>
      <c r="H471" t="s">
        <v>956</v>
      </c>
      <c r="I471" t="s">
        <v>17</v>
      </c>
      <c r="J471" t="s">
        <v>18</v>
      </c>
    </row>
    <row r="472" spans="1:10" hidden="1" x14ac:dyDescent="0.25">
      <c r="A472" t="s">
        <v>11</v>
      </c>
      <c r="B472" t="str">
        <f>"152602/780E"</f>
        <v>152602/780E</v>
      </c>
      <c r="C472" t="s">
        <v>100</v>
      </c>
      <c r="D472" t="s">
        <v>806</v>
      </c>
      <c r="E472" t="str">
        <f t="shared" si="24"/>
        <v>5003052454</v>
      </c>
      <c r="F472" t="s">
        <v>14</v>
      </c>
      <c r="G472" t="s">
        <v>957</v>
      </c>
      <c r="H472" t="s">
        <v>958</v>
      </c>
      <c r="I472" t="s">
        <v>17</v>
      </c>
      <c r="J472" t="s">
        <v>18</v>
      </c>
    </row>
    <row r="473" spans="1:10" hidden="1" x14ac:dyDescent="0.25">
      <c r="A473" t="s">
        <v>11</v>
      </c>
      <c r="B473" t="str">
        <f>"152638/780E"</f>
        <v>152638/780E</v>
      </c>
      <c r="C473" t="s">
        <v>100</v>
      </c>
      <c r="D473" t="s">
        <v>806</v>
      </c>
      <c r="E473" t="str">
        <f t="shared" si="24"/>
        <v>5003052454</v>
      </c>
      <c r="F473" t="s">
        <v>14</v>
      </c>
      <c r="G473" t="s">
        <v>959</v>
      </c>
      <c r="H473" t="s">
        <v>960</v>
      </c>
      <c r="I473" t="s">
        <v>17</v>
      </c>
      <c r="J473" t="s">
        <v>18</v>
      </c>
    </row>
    <row r="474" spans="1:10" hidden="1" x14ac:dyDescent="0.25">
      <c r="A474" t="s">
        <v>11</v>
      </c>
      <c r="B474" t="str">
        <f>"152637/780E"</f>
        <v>152637/780E</v>
      </c>
      <c r="C474" t="s">
        <v>100</v>
      </c>
      <c r="D474" t="s">
        <v>806</v>
      </c>
      <c r="E474" t="str">
        <f t="shared" si="24"/>
        <v>5003052454</v>
      </c>
      <c r="F474" t="s">
        <v>14</v>
      </c>
      <c r="G474" t="s">
        <v>961</v>
      </c>
      <c r="H474" t="s">
        <v>962</v>
      </c>
      <c r="I474" t="s">
        <v>17</v>
      </c>
      <c r="J474" t="s">
        <v>18</v>
      </c>
    </row>
    <row r="475" spans="1:10" hidden="1" x14ac:dyDescent="0.25">
      <c r="A475" t="s">
        <v>11</v>
      </c>
      <c r="B475" t="str">
        <f>"UT-108162"</f>
        <v>UT-108162</v>
      </c>
      <c r="C475" t="s">
        <v>100</v>
      </c>
      <c r="D475" t="s">
        <v>806</v>
      </c>
      <c r="E475" t="str">
        <f t="shared" ref="E475:E480" si="25">"7806385951"</f>
        <v>7806385951</v>
      </c>
      <c r="F475" t="s">
        <v>26</v>
      </c>
      <c r="G475" t="s">
        <v>963</v>
      </c>
      <c r="H475" t="s">
        <v>964</v>
      </c>
      <c r="I475" t="s">
        <v>17</v>
      </c>
      <c r="J475" t="s">
        <v>18</v>
      </c>
    </row>
    <row r="476" spans="1:10" hidden="1" x14ac:dyDescent="0.25">
      <c r="A476" t="s">
        <v>11</v>
      </c>
      <c r="B476" t="str">
        <f>"UT-108213"</f>
        <v>UT-108213</v>
      </c>
      <c r="C476" t="s">
        <v>100</v>
      </c>
      <c r="D476" t="s">
        <v>806</v>
      </c>
      <c r="E476" t="str">
        <f t="shared" si="25"/>
        <v>7806385951</v>
      </c>
      <c r="F476" t="s">
        <v>26</v>
      </c>
      <c r="G476" t="s">
        <v>965</v>
      </c>
      <c r="H476" t="s">
        <v>966</v>
      </c>
      <c r="I476" t="s">
        <v>17</v>
      </c>
      <c r="J476" t="s">
        <v>18</v>
      </c>
    </row>
    <row r="477" spans="1:10" hidden="1" x14ac:dyDescent="0.25">
      <c r="A477" t="s">
        <v>11</v>
      </c>
      <c r="B477" t="str">
        <f>"UT-108448"</f>
        <v>UT-108448</v>
      </c>
      <c r="C477" t="s">
        <v>100</v>
      </c>
      <c r="D477" t="s">
        <v>806</v>
      </c>
      <c r="E477" t="str">
        <f t="shared" si="25"/>
        <v>7806385951</v>
      </c>
      <c r="F477" t="s">
        <v>26</v>
      </c>
      <c r="G477" t="s">
        <v>967</v>
      </c>
      <c r="H477" t="s">
        <v>968</v>
      </c>
      <c r="I477" t="s">
        <v>17</v>
      </c>
      <c r="J477" t="s">
        <v>18</v>
      </c>
    </row>
    <row r="478" spans="1:10" hidden="1" x14ac:dyDescent="0.25">
      <c r="A478" t="s">
        <v>11</v>
      </c>
      <c r="B478" t="str">
        <f>"UT-108212"</f>
        <v>UT-108212</v>
      </c>
      <c r="C478" t="s">
        <v>100</v>
      </c>
      <c r="D478" t="s">
        <v>806</v>
      </c>
      <c r="E478" t="str">
        <f t="shared" si="25"/>
        <v>7806385951</v>
      </c>
      <c r="F478" t="s">
        <v>26</v>
      </c>
      <c r="G478" t="s">
        <v>969</v>
      </c>
      <c r="H478" t="s">
        <v>970</v>
      </c>
      <c r="I478" t="s">
        <v>17</v>
      </c>
      <c r="J478" t="s">
        <v>18</v>
      </c>
    </row>
    <row r="479" spans="1:10" hidden="1" x14ac:dyDescent="0.25">
      <c r="A479" t="s">
        <v>11</v>
      </c>
      <c r="B479" t="str">
        <f>"UT-108456"</f>
        <v>UT-108456</v>
      </c>
      <c r="C479" t="s">
        <v>100</v>
      </c>
      <c r="D479" t="s">
        <v>806</v>
      </c>
      <c r="E479" t="str">
        <f t="shared" si="25"/>
        <v>7806385951</v>
      </c>
      <c r="F479" t="s">
        <v>26</v>
      </c>
      <c r="G479" t="s">
        <v>971</v>
      </c>
      <c r="H479" t="s">
        <v>972</v>
      </c>
      <c r="I479" t="s">
        <v>17</v>
      </c>
      <c r="J479" t="s">
        <v>18</v>
      </c>
    </row>
    <row r="480" spans="1:10" hidden="1" x14ac:dyDescent="0.25">
      <c r="A480" t="s">
        <v>11</v>
      </c>
      <c r="B480" t="str">
        <f>"UT-108185"</f>
        <v>UT-108185</v>
      </c>
      <c r="C480" t="s">
        <v>100</v>
      </c>
      <c r="D480" t="s">
        <v>806</v>
      </c>
      <c r="E480" t="str">
        <f t="shared" si="25"/>
        <v>7806385951</v>
      </c>
      <c r="F480" t="s">
        <v>26</v>
      </c>
      <c r="G480" t="s">
        <v>973</v>
      </c>
      <c r="H480" t="s">
        <v>974</v>
      </c>
      <c r="I480" t="s">
        <v>17</v>
      </c>
      <c r="J480" t="s">
        <v>18</v>
      </c>
    </row>
    <row r="481" spans="1:10" hidden="1" x14ac:dyDescent="0.25">
      <c r="A481" t="s">
        <v>11</v>
      </c>
      <c r="B481" t="str">
        <f>"SR110023365"</f>
        <v>SR110023365</v>
      </c>
      <c r="C481" t="s">
        <v>100</v>
      </c>
      <c r="D481" t="s">
        <v>806</v>
      </c>
      <c r="E481" t="str">
        <f>"4725006920"</f>
        <v>4725006920</v>
      </c>
      <c r="F481" t="s">
        <v>101</v>
      </c>
      <c r="G481" t="s">
        <v>975</v>
      </c>
      <c r="H481" t="s">
        <v>976</v>
      </c>
      <c r="I481" t="s">
        <v>17</v>
      </c>
      <c r="J481" t="s">
        <v>18</v>
      </c>
    </row>
    <row r="482" spans="1:10" hidden="1" x14ac:dyDescent="0.25">
      <c r="A482" t="s">
        <v>11</v>
      </c>
      <c r="B482" t="str">
        <f>"SR110023364"</f>
        <v>SR110023364</v>
      </c>
      <c r="C482" t="s">
        <v>100</v>
      </c>
      <c r="D482" t="s">
        <v>806</v>
      </c>
      <c r="E482" t="str">
        <f>"4725006920"</f>
        <v>4725006920</v>
      </c>
      <c r="F482" t="s">
        <v>101</v>
      </c>
      <c r="G482" t="s">
        <v>977</v>
      </c>
      <c r="H482" t="s">
        <v>978</v>
      </c>
      <c r="I482" t="s">
        <v>17</v>
      </c>
      <c r="J482" t="s">
        <v>18</v>
      </c>
    </row>
    <row r="483" spans="1:10" x14ac:dyDescent="0.25">
      <c r="A483" t="s">
        <v>11</v>
      </c>
      <c r="B483" t="str">
        <f>"УТР0167141"</f>
        <v>УТР0167141</v>
      </c>
      <c r="C483" t="s">
        <v>100</v>
      </c>
      <c r="D483" t="s">
        <v>806</v>
      </c>
      <c r="E483" t="str">
        <f>"7804044258"</f>
        <v>7804044258</v>
      </c>
      <c r="F483" t="s">
        <v>155</v>
      </c>
      <c r="G483" t="s">
        <v>979</v>
      </c>
      <c r="H483" t="s">
        <v>980</v>
      </c>
      <c r="I483" t="s">
        <v>17</v>
      </c>
      <c r="J483" t="s">
        <v>166</v>
      </c>
    </row>
    <row r="484" spans="1:10" hidden="1" x14ac:dyDescent="0.25">
      <c r="A484" t="s">
        <v>11</v>
      </c>
      <c r="B484" t="str">
        <f>"УТР0167140"</f>
        <v>УТР0167140</v>
      </c>
      <c r="C484" t="s">
        <v>100</v>
      </c>
      <c r="D484" t="s">
        <v>806</v>
      </c>
      <c r="E484" t="str">
        <f>"7804044258"</f>
        <v>7804044258</v>
      </c>
      <c r="F484" t="s">
        <v>155</v>
      </c>
      <c r="G484" t="s">
        <v>981</v>
      </c>
      <c r="H484" t="s">
        <v>982</v>
      </c>
      <c r="I484" t="s">
        <v>17</v>
      </c>
      <c r="J484" t="s">
        <v>18</v>
      </c>
    </row>
    <row r="485" spans="1:10" hidden="1" x14ac:dyDescent="0.25">
      <c r="A485" t="s">
        <v>11</v>
      </c>
      <c r="B485" t="str">
        <f>"УТР0167073"</f>
        <v>УТР0167073</v>
      </c>
      <c r="C485" t="s">
        <v>100</v>
      </c>
      <c r="D485" t="s">
        <v>806</v>
      </c>
      <c r="E485" t="str">
        <f>"7804044258"</f>
        <v>7804044258</v>
      </c>
      <c r="F485" t="s">
        <v>155</v>
      </c>
      <c r="G485" t="s">
        <v>983</v>
      </c>
      <c r="H485" t="s">
        <v>984</v>
      </c>
      <c r="I485" t="s">
        <v>17</v>
      </c>
      <c r="J485" t="s">
        <v>18</v>
      </c>
    </row>
    <row r="486" spans="1:10" hidden="1" x14ac:dyDescent="0.25">
      <c r="A486" t="s">
        <v>11</v>
      </c>
      <c r="B486" t="str">
        <f>"УТР0167072"</f>
        <v>УТР0167072</v>
      </c>
      <c r="C486" t="s">
        <v>100</v>
      </c>
      <c r="D486" t="s">
        <v>806</v>
      </c>
      <c r="E486" t="str">
        <f>"7804044258"</f>
        <v>7804044258</v>
      </c>
      <c r="F486" t="s">
        <v>155</v>
      </c>
      <c r="G486" t="s">
        <v>985</v>
      </c>
      <c r="H486" t="s">
        <v>986</v>
      </c>
      <c r="I486" t="s">
        <v>17</v>
      </c>
      <c r="J486" t="s">
        <v>18</v>
      </c>
    </row>
    <row r="487" spans="1:10" hidden="1" x14ac:dyDescent="0.25">
      <c r="A487" t="s">
        <v>11</v>
      </c>
      <c r="B487" t="str">
        <f>"УТР0167364"</f>
        <v>УТР0167364</v>
      </c>
      <c r="C487" t="s">
        <v>100</v>
      </c>
      <c r="D487" t="s">
        <v>806</v>
      </c>
      <c r="E487" t="str">
        <f>"7804044258"</f>
        <v>7804044258</v>
      </c>
      <c r="F487" t="s">
        <v>155</v>
      </c>
      <c r="G487" t="s">
        <v>981</v>
      </c>
      <c r="H487" t="s">
        <v>987</v>
      </c>
      <c r="I487" t="s">
        <v>17</v>
      </c>
      <c r="J487" t="s">
        <v>18</v>
      </c>
    </row>
    <row r="488" spans="1:10" hidden="1" x14ac:dyDescent="0.25">
      <c r="A488" t="s">
        <v>11</v>
      </c>
      <c r="B488" t="str">
        <f>"7810/8174463755"</f>
        <v>7810/8174463755</v>
      </c>
      <c r="C488" t="s">
        <v>100</v>
      </c>
      <c r="D488" t="s">
        <v>806</v>
      </c>
      <c r="E488" t="str">
        <f>"5032260402"</f>
        <v>5032260402</v>
      </c>
      <c r="F488" t="s">
        <v>341</v>
      </c>
      <c r="G488" t="s">
        <v>988</v>
      </c>
      <c r="H488" t="s">
        <v>989</v>
      </c>
      <c r="I488" t="s">
        <v>17</v>
      </c>
      <c r="J488" t="s">
        <v>18</v>
      </c>
    </row>
    <row r="489" spans="1:10" hidden="1" x14ac:dyDescent="0.25">
      <c r="A489" t="s">
        <v>11</v>
      </c>
      <c r="B489" t="str">
        <f>"2023/40/03/0034886/06"</f>
        <v>2023/40/03/0034886/06</v>
      </c>
      <c r="C489" t="s">
        <v>65</v>
      </c>
      <c r="D489" t="s">
        <v>806</v>
      </c>
      <c r="E489" t="str">
        <f>"7718151150"</f>
        <v>7718151150</v>
      </c>
      <c r="F489" t="s">
        <v>54</v>
      </c>
      <c r="G489" t="s">
        <v>345</v>
      </c>
      <c r="H489" t="s">
        <v>990</v>
      </c>
      <c r="I489" t="s">
        <v>17</v>
      </c>
      <c r="J489" t="s">
        <v>18</v>
      </c>
    </row>
    <row r="490" spans="1:10" hidden="1" x14ac:dyDescent="0.25">
      <c r="A490" t="s">
        <v>11</v>
      </c>
      <c r="B490" t="str">
        <f>"2023/40/03/0034849/06"</f>
        <v>2023/40/03/0034849/06</v>
      </c>
      <c r="C490" t="s">
        <v>65</v>
      </c>
      <c r="D490" t="s">
        <v>806</v>
      </c>
      <c r="E490" t="str">
        <f>"7718151150"</f>
        <v>7718151150</v>
      </c>
      <c r="F490" t="s">
        <v>54</v>
      </c>
      <c r="G490" t="s">
        <v>770</v>
      </c>
      <c r="H490" t="s">
        <v>991</v>
      </c>
      <c r="I490" t="s">
        <v>17</v>
      </c>
      <c r="J490" t="s">
        <v>18</v>
      </c>
    </row>
    <row r="491" spans="1:10" hidden="1" x14ac:dyDescent="0.25">
      <c r="A491" t="s">
        <v>11</v>
      </c>
      <c r="B491" t="str">
        <f>"2023/40/03/0034887/06"</f>
        <v>2023/40/03/0034887/06</v>
      </c>
      <c r="C491" t="s">
        <v>65</v>
      </c>
      <c r="D491" t="s">
        <v>806</v>
      </c>
      <c r="E491" t="str">
        <f>"7718151150"</f>
        <v>7718151150</v>
      </c>
      <c r="F491" t="s">
        <v>54</v>
      </c>
      <c r="G491" t="s">
        <v>992</v>
      </c>
      <c r="H491" t="s">
        <v>993</v>
      </c>
      <c r="I491" t="s">
        <v>17</v>
      </c>
      <c r="J491" t="s">
        <v>18</v>
      </c>
    </row>
    <row r="492" spans="1:10" hidden="1" x14ac:dyDescent="0.25">
      <c r="A492" t="s">
        <v>11</v>
      </c>
      <c r="B492" t="str">
        <f>"28339435"</f>
        <v>28339435</v>
      </c>
      <c r="C492" t="s">
        <v>65</v>
      </c>
      <c r="D492" t="s">
        <v>806</v>
      </c>
      <c r="E492" t="str">
        <f>"7721793895"</f>
        <v>7721793895</v>
      </c>
      <c r="F492" t="s">
        <v>109</v>
      </c>
      <c r="G492" t="s">
        <v>994</v>
      </c>
      <c r="H492" t="s">
        <v>995</v>
      </c>
      <c r="I492" t="s">
        <v>17</v>
      </c>
      <c r="J492" t="s">
        <v>18</v>
      </c>
    </row>
    <row r="493" spans="1:10" hidden="1" x14ac:dyDescent="0.25">
      <c r="A493" t="s">
        <v>11</v>
      </c>
      <c r="B493" t="str">
        <f>"28341704"</f>
        <v>28341704</v>
      </c>
      <c r="C493" t="s">
        <v>65</v>
      </c>
      <c r="D493" t="s">
        <v>806</v>
      </c>
      <c r="E493" t="str">
        <f>"7721793895"</f>
        <v>7721793895</v>
      </c>
      <c r="F493" t="s">
        <v>109</v>
      </c>
      <c r="G493" t="s">
        <v>996</v>
      </c>
      <c r="H493" t="s">
        <v>997</v>
      </c>
      <c r="I493" t="s">
        <v>17</v>
      </c>
      <c r="J493" t="s">
        <v>18</v>
      </c>
    </row>
    <row r="494" spans="1:10" hidden="1" x14ac:dyDescent="0.25">
      <c r="A494" t="s">
        <v>11</v>
      </c>
      <c r="B494" t="str">
        <f>"ПОСА0504/07"</f>
        <v>ПОСА0504/07</v>
      </c>
      <c r="C494" t="s">
        <v>100</v>
      </c>
      <c r="D494" t="s">
        <v>806</v>
      </c>
      <c r="E494" t="str">
        <f>"7735126034"</f>
        <v>7735126034</v>
      </c>
      <c r="F494" t="s">
        <v>131</v>
      </c>
      <c r="G494" t="s">
        <v>998</v>
      </c>
      <c r="H494" t="s">
        <v>999</v>
      </c>
      <c r="I494" t="s">
        <v>17</v>
      </c>
      <c r="J494" t="s">
        <v>18</v>
      </c>
    </row>
    <row r="495" spans="1:10" hidden="1" x14ac:dyDescent="0.25">
      <c r="A495" t="s">
        <v>11</v>
      </c>
      <c r="B495" t="str">
        <f>"28342100"</f>
        <v>28342100</v>
      </c>
      <c r="C495" t="s">
        <v>65</v>
      </c>
      <c r="D495" t="s">
        <v>806</v>
      </c>
      <c r="E495" t="str">
        <f>"7721793895"</f>
        <v>7721793895</v>
      </c>
      <c r="F495" t="s">
        <v>109</v>
      </c>
      <c r="G495" t="s">
        <v>1000</v>
      </c>
      <c r="H495" t="s">
        <v>1001</v>
      </c>
      <c r="I495" t="s">
        <v>17</v>
      </c>
      <c r="J495" t="s">
        <v>18</v>
      </c>
    </row>
    <row r="496" spans="1:10" hidden="1" x14ac:dyDescent="0.25">
      <c r="A496" t="s">
        <v>11</v>
      </c>
      <c r="B496" t="str">
        <f>"06199"</f>
        <v>06199</v>
      </c>
      <c r="C496" t="s">
        <v>100</v>
      </c>
      <c r="D496" t="s">
        <v>806</v>
      </c>
      <c r="E496" t="str">
        <f>"7811781414"</f>
        <v>7811781414</v>
      </c>
      <c r="F496" t="s">
        <v>913</v>
      </c>
      <c r="G496" t="s">
        <v>1002</v>
      </c>
      <c r="H496" t="s">
        <v>1003</v>
      </c>
      <c r="I496" t="s">
        <v>17</v>
      </c>
      <c r="J496" t="s">
        <v>18</v>
      </c>
    </row>
    <row r="497" spans="1:10" hidden="1" x14ac:dyDescent="0.25">
      <c r="A497" t="s">
        <v>11</v>
      </c>
      <c r="B497" t="str">
        <f>"06200"</f>
        <v>06200</v>
      </c>
      <c r="C497" t="s">
        <v>100</v>
      </c>
      <c r="D497" t="s">
        <v>806</v>
      </c>
      <c r="E497" t="str">
        <f>"7811781414"</f>
        <v>7811781414</v>
      </c>
      <c r="F497" t="s">
        <v>913</v>
      </c>
      <c r="G497" t="s">
        <v>1004</v>
      </c>
      <c r="H497" t="s">
        <v>1005</v>
      </c>
      <c r="I497" t="s">
        <v>17</v>
      </c>
      <c r="J497" t="s">
        <v>18</v>
      </c>
    </row>
    <row r="498" spans="1:10" hidden="1" x14ac:dyDescent="0.25">
      <c r="A498" t="s">
        <v>11</v>
      </c>
      <c r="B498" t="str">
        <f>"28957"</f>
        <v>28957</v>
      </c>
      <c r="C498" t="s">
        <v>106</v>
      </c>
      <c r="D498" t="s">
        <v>806</v>
      </c>
      <c r="E498" t="str">
        <f>"7729488999"</f>
        <v>7729488999</v>
      </c>
      <c r="F498" t="s">
        <v>85</v>
      </c>
      <c r="G498" t="s">
        <v>1006</v>
      </c>
      <c r="H498" t="s">
        <v>1007</v>
      </c>
      <c r="I498" t="s">
        <v>17</v>
      </c>
      <c r="J498" t="s">
        <v>18</v>
      </c>
    </row>
    <row r="499" spans="1:10" hidden="1" x14ac:dyDescent="0.25">
      <c r="A499" t="s">
        <v>11</v>
      </c>
      <c r="B499" t="str">
        <f>"28953"</f>
        <v>28953</v>
      </c>
      <c r="C499" t="s">
        <v>106</v>
      </c>
      <c r="D499" t="s">
        <v>806</v>
      </c>
      <c r="E499" t="str">
        <f>"7729488999"</f>
        <v>7729488999</v>
      </c>
      <c r="F499" t="s">
        <v>85</v>
      </c>
      <c r="G499" t="s">
        <v>1008</v>
      </c>
      <c r="H499" t="s">
        <v>1009</v>
      </c>
      <c r="I499" t="s">
        <v>17</v>
      </c>
      <c r="J499" t="s">
        <v>18</v>
      </c>
    </row>
    <row r="500" spans="1:10" hidden="1" x14ac:dyDescent="0.25">
      <c r="A500" t="s">
        <v>11</v>
      </c>
      <c r="B500" t="str">
        <f>"28528"</f>
        <v>28528</v>
      </c>
      <c r="C500" t="s">
        <v>106</v>
      </c>
      <c r="D500" t="s">
        <v>806</v>
      </c>
      <c r="E500" t="str">
        <f>"7729488999"</f>
        <v>7729488999</v>
      </c>
      <c r="F500" t="s">
        <v>85</v>
      </c>
      <c r="G500" t="s">
        <v>1010</v>
      </c>
      <c r="H500" t="s">
        <v>1011</v>
      </c>
      <c r="I500" t="s">
        <v>17</v>
      </c>
      <c r="J500" t="s">
        <v>18</v>
      </c>
    </row>
    <row r="501" spans="1:10" hidden="1" x14ac:dyDescent="0.25">
      <c r="A501" t="s">
        <v>11</v>
      </c>
      <c r="B501" t="str">
        <f>"6345/780K"</f>
        <v>6345/780K</v>
      </c>
      <c r="C501" t="s">
        <v>106</v>
      </c>
      <c r="D501" t="s">
        <v>806</v>
      </c>
      <c r="E501" t="str">
        <f>"5003052454"</f>
        <v>5003052454</v>
      </c>
      <c r="F501" t="s">
        <v>14</v>
      </c>
      <c r="G501" t="s">
        <v>178</v>
      </c>
      <c r="H501" t="s">
        <v>1012</v>
      </c>
      <c r="I501" t="s">
        <v>17</v>
      </c>
      <c r="J501" t="s">
        <v>18</v>
      </c>
    </row>
    <row r="502" spans="1:10" hidden="1" x14ac:dyDescent="0.25">
      <c r="A502" t="s">
        <v>11</v>
      </c>
      <c r="B502" t="str">
        <f>"6346/780K"</f>
        <v>6346/780K</v>
      </c>
      <c r="C502" t="s">
        <v>106</v>
      </c>
      <c r="D502" t="s">
        <v>806</v>
      </c>
      <c r="E502" t="str">
        <f>"5003052454"</f>
        <v>5003052454</v>
      </c>
      <c r="F502" t="s">
        <v>14</v>
      </c>
      <c r="G502" t="s">
        <v>1013</v>
      </c>
      <c r="H502" t="s">
        <v>1014</v>
      </c>
      <c r="I502" t="s">
        <v>17</v>
      </c>
      <c r="J502" t="s">
        <v>18</v>
      </c>
    </row>
    <row r="503" spans="1:10" hidden="1" x14ac:dyDescent="0.25">
      <c r="A503" t="s">
        <v>11</v>
      </c>
      <c r="B503" t="str">
        <f>"6348/780K"</f>
        <v>6348/780K</v>
      </c>
      <c r="C503" t="s">
        <v>106</v>
      </c>
      <c r="D503" t="s">
        <v>806</v>
      </c>
      <c r="E503" t="str">
        <f>"5003052454"</f>
        <v>5003052454</v>
      </c>
      <c r="F503" t="s">
        <v>14</v>
      </c>
      <c r="G503" t="s">
        <v>1015</v>
      </c>
      <c r="H503" t="s">
        <v>1016</v>
      </c>
      <c r="I503" t="s">
        <v>17</v>
      </c>
      <c r="J503" t="s">
        <v>18</v>
      </c>
    </row>
    <row r="504" spans="1:10" hidden="1" x14ac:dyDescent="0.25">
      <c r="A504" t="s">
        <v>11</v>
      </c>
      <c r="B504" t="str">
        <f>"6347/780K"</f>
        <v>6347/780K</v>
      </c>
      <c r="C504" t="s">
        <v>106</v>
      </c>
      <c r="D504" t="s">
        <v>806</v>
      </c>
      <c r="E504" t="str">
        <f>"5003052454"</f>
        <v>5003052454</v>
      </c>
      <c r="F504" t="s">
        <v>14</v>
      </c>
      <c r="G504" t="s">
        <v>1017</v>
      </c>
      <c r="H504" t="s">
        <v>1018</v>
      </c>
      <c r="I504" t="s">
        <v>17</v>
      </c>
      <c r="J504" t="s">
        <v>18</v>
      </c>
    </row>
    <row r="505" spans="1:10" hidden="1" x14ac:dyDescent="0.25">
      <c r="A505" t="s">
        <v>11</v>
      </c>
      <c r="B505" t="str">
        <f>"UT-109533"</f>
        <v>UT-109533</v>
      </c>
      <c r="C505" t="s">
        <v>106</v>
      </c>
      <c r="D505" t="s">
        <v>806</v>
      </c>
      <c r="E505" t="str">
        <f>"7806385951"</f>
        <v>7806385951</v>
      </c>
      <c r="F505" t="s">
        <v>26</v>
      </c>
      <c r="G505" t="s">
        <v>1019</v>
      </c>
      <c r="H505" t="s">
        <v>1020</v>
      </c>
      <c r="I505" t="s">
        <v>17</v>
      </c>
      <c r="J505" t="s">
        <v>18</v>
      </c>
    </row>
    <row r="506" spans="1:10" hidden="1" x14ac:dyDescent="0.25">
      <c r="A506" t="s">
        <v>11</v>
      </c>
      <c r="B506" t="str">
        <f>"UT-109652"</f>
        <v>UT-109652</v>
      </c>
      <c r="C506" t="s">
        <v>106</v>
      </c>
      <c r="D506" t="s">
        <v>806</v>
      </c>
      <c r="E506" t="str">
        <f>"7806385951"</f>
        <v>7806385951</v>
      </c>
      <c r="F506" t="s">
        <v>26</v>
      </c>
      <c r="G506" t="s">
        <v>220</v>
      </c>
      <c r="H506" t="s">
        <v>1021</v>
      </c>
      <c r="I506" t="s">
        <v>17</v>
      </c>
      <c r="J506" t="s">
        <v>18</v>
      </c>
    </row>
    <row r="507" spans="1:10" hidden="1" x14ac:dyDescent="0.25">
      <c r="A507" t="s">
        <v>11</v>
      </c>
      <c r="B507" t="str">
        <f>"UT-109704"</f>
        <v>UT-109704</v>
      </c>
      <c r="C507" t="s">
        <v>106</v>
      </c>
      <c r="D507" t="s">
        <v>806</v>
      </c>
      <c r="E507" t="str">
        <f>"7806385951"</f>
        <v>7806385951</v>
      </c>
      <c r="F507" t="s">
        <v>26</v>
      </c>
      <c r="G507" t="s">
        <v>1022</v>
      </c>
      <c r="H507" t="s">
        <v>1023</v>
      </c>
      <c r="I507" t="s">
        <v>17</v>
      </c>
      <c r="J507" t="s">
        <v>18</v>
      </c>
    </row>
    <row r="508" spans="1:10" hidden="1" x14ac:dyDescent="0.25">
      <c r="A508" t="s">
        <v>11</v>
      </c>
      <c r="B508" t="str">
        <f>"UT-109653"</f>
        <v>UT-109653</v>
      </c>
      <c r="C508" t="s">
        <v>106</v>
      </c>
      <c r="D508" t="s">
        <v>806</v>
      </c>
      <c r="E508" t="str">
        <f>"7806385951"</f>
        <v>7806385951</v>
      </c>
      <c r="F508" t="s">
        <v>26</v>
      </c>
      <c r="G508" t="s">
        <v>1024</v>
      </c>
      <c r="H508" t="s">
        <v>1025</v>
      </c>
      <c r="I508" t="s">
        <v>17</v>
      </c>
      <c r="J508" t="s">
        <v>18</v>
      </c>
    </row>
    <row r="509" spans="1:10" hidden="1" x14ac:dyDescent="0.25">
      <c r="A509" t="s">
        <v>11</v>
      </c>
      <c r="B509" t="str">
        <f>"28348395"</f>
        <v>28348395</v>
      </c>
      <c r="C509" t="s">
        <v>100</v>
      </c>
      <c r="D509" t="s">
        <v>806</v>
      </c>
      <c r="E509" t="str">
        <f>"7721793895"</f>
        <v>7721793895</v>
      </c>
      <c r="F509" t="s">
        <v>109</v>
      </c>
      <c r="G509" t="s">
        <v>1026</v>
      </c>
      <c r="H509" t="s">
        <v>1027</v>
      </c>
      <c r="I509" t="s">
        <v>17</v>
      </c>
      <c r="J509" t="s">
        <v>18</v>
      </c>
    </row>
    <row r="510" spans="1:10" hidden="1" x14ac:dyDescent="0.25">
      <c r="A510" t="s">
        <v>11</v>
      </c>
      <c r="B510" t="str">
        <f>"UT-109825"</f>
        <v>UT-109825</v>
      </c>
      <c r="C510" t="s">
        <v>106</v>
      </c>
      <c r="D510" t="s">
        <v>806</v>
      </c>
      <c r="E510" t="str">
        <f>"7806385951"</f>
        <v>7806385951</v>
      </c>
      <c r="F510" t="s">
        <v>26</v>
      </c>
      <c r="G510" t="s">
        <v>1028</v>
      </c>
      <c r="H510" t="s">
        <v>1029</v>
      </c>
      <c r="I510" t="s">
        <v>17</v>
      </c>
      <c r="J510" t="s">
        <v>18</v>
      </c>
    </row>
    <row r="511" spans="1:10" hidden="1" x14ac:dyDescent="0.25">
      <c r="A511" t="s">
        <v>11</v>
      </c>
      <c r="B511" t="str">
        <f>"UT-109497"</f>
        <v>UT-109497</v>
      </c>
      <c r="C511" t="s">
        <v>106</v>
      </c>
      <c r="D511" t="s">
        <v>806</v>
      </c>
      <c r="E511" t="str">
        <f>"7806385951"</f>
        <v>7806385951</v>
      </c>
      <c r="F511" t="s">
        <v>26</v>
      </c>
      <c r="G511" t="s">
        <v>1030</v>
      </c>
      <c r="H511" t="s">
        <v>1031</v>
      </c>
      <c r="I511" t="s">
        <v>17</v>
      </c>
      <c r="J511" t="s">
        <v>18</v>
      </c>
    </row>
    <row r="512" spans="1:10" hidden="1" x14ac:dyDescent="0.25">
      <c r="A512" t="s">
        <v>11</v>
      </c>
      <c r="B512" t="str">
        <f>"UT-109498"</f>
        <v>UT-109498</v>
      </c>
      <c r="C512" t="s">
        <v>106</v>
      </c>
      <c r="D512" t="s">
        <v>806</v>
      </c>
      <c r="E512" t="str">
        <f>"7806385951"</f>
        <v>7806385951</v>
      </c>
      <c r="F512" t="s">
        <v>26</v>
      </c>
      <c r="G512" t="s">
        <v>1032</v>
      </c>
      <c r="H512" t="s">
        <v>1033</v>
      </c>
      <c r="I512" t="s">
        <v>17</v>
      </c>
      <c r="J512" t="s">
        <v>18</v>
      </c>
    </row>
    <row r="513" spans="1:10" hidden="1" x14ac:dyDescent="0.25">
      <c r="A513" t="s">
        <v>11</v>
      </c>
      <c r="B513" t="str">
        <f>"UT-109799"</f>
        <v>UT-109799</v>
      </c>
      <c r="C513" t="s">
        <v>106</v>
      </c>
      <c r="D513" t="s">
        <v>806</v>
      </c>
      <c r="E513" t="str">
        <f>"7806385951"</f>
        <v>7806385951</v>
      </c>
      <c r="F513" t="s">
        <v>26</v>
      </c>
      <c r="G513" t="s">
        <v>1034</v>
      </c>
      <c r="H513" t="s">
        <v>1035</v>
      </c>
      <c r="I513" t="s">
        <v>17</v>
      </c>
      <c r="J513" t="s">
        <v>18</v>
      </c>
    </row>
    <row r="514" spans="1:10" hidden="1" x14ac:dyDescent="0.25">
      <c r="A514" t="s">
        <v>11</v>
      </c>
      <c r="B514" t="str">
        <f>"30/00159218-23"</f>
        <v>30/00159218-23</v>
      </c>
      <c r="C514" t="s">
        <v>106</v>
      </c>
      <c r="D514" t="s">
        <v>806</v>
      </c>
      <c r="E514" t="str">
        <f>"7705034202"</f>
        <v>7705034202</v>
      </c>
      <c r="F514" t="s">
        <v>407</v>
      </c>
      <c r="G514" t="s">
        <v>1036</v>
      </c>
      <c r="H514" t="s">
        <v>1037</v>
      </c>
      <c r="I514" t="s">
        <v>17</v>
      </c>
      <c r="J514" t="s">
        <v>18</v>
      </c>
    </row>
    <row r="515" spans="1:10" hidden="1" x14ac:dyDescent="0.25">
      <c r="A515" t="s">
        <v>11</v>
      </c>
      <c r="B515" t="str">
        <f>"30/00159261-23"</f>
        <v>30/00159261-23</v>
      </c>
      <c r="C515" t="s">
        <v>106</v>
      </c>
      <c r="D515" t="s">
        <v>806</v>
      </c>
      <c r="E515" t="str">
        <f>"7705034202"</f>
        <v>7705034202</v>
      </c>
      <c r="F515" t="s">
        <v>407</v>
      </c>
      <c r="G515" t="s">
        <v>1038</v>
      </c>
      <c r="H515" t="s">
        <v>1039</v>
      </c>
      <c r="I515" t="s">
        <v>17</v>
      </c>
      <c r="J515" t="s">
        <v>18</v>
      </c>
    </row>
    <row r="516" spans="1:10" hidden="1" x14ac:dyDescent="0.25">
      <c r="A516" t="s">
        <v>11</v>
      </c>
      <c r="B516" t="str">
        <f>"2023/40/03/0035344/06"</f>
        <v>2023/40/03/0035344/06</v>
      </c>
      <c r="C516" t="s">
        <v>100</v>
      </c>
      <c r="D516" t="s">
        <v>806</v>
      </c>
      <c r="E516" t="str">
        <f>"7718151150"</f>
        <v>7718151150</v>
      </c>
      <c r="F516" t="s">
        <v>54</v>
      </c>
      <c r="G516" t="s">
        <v>745</v>
      </c>
      <c r="H516" t="s">
        <v>1040</v>
      </c>
      <c r="I516" t="s">
        <v>17</v>
      </c>
      <c r="J516" t="s">
        <v>18</v>
      </c>
    </row>
    <row r="517" spans="1:10" hidden="1" x14ac:dyDescent="0.25">
      <c r="A517" t="s">
        <v>11</v>
      </c>
      <c r="B517" t="str">
        <f>"7810/8174518013"</f>
        <v>7810/8174518013</v>
      </c>
      <c r="C517" t="s">
        <v>106</v>
      </c>
      <c r="D517" t="s">
        <v>806</v>
      </c>
      <c r="E517" t="str">
        <f>"5032260402"</f>
        <v>5032260402</v>
      </c>
      <c r="F517" t="s">
        <v>341</v>
      </c>
      <c r="G517" t="s">
        <v>1041</v>
      </c>
      <c r="H517" t="s">
        <v>1042</v>
      </c>
      <c r="I517" t="s">
        <v>17</v>
      </c>
      <c r="J517" t="s">
        <v>18</v>
      </c>
    </row>
    <row r="518" spans="1:10" hidden="1" x14ac:dyDescent="0.25">
      <c r="A518" t="s">
        <v>11</v>
      </c>
      <c r="B518" t="str">
        <f>"УТ-505-000042"</f>
        <v>УТ-505-000042</v>
      </c>
      <c r="C518" t="s">
        <v>106</v>
      </c>
      <c r="D518" t="s">
        <v>806</v>
      </c>
      <c r="E518" t="str">
        <f>"7839454551"</f>
        <v>7839454551</v>
      </c>
      <c r="F518" t="s">
        <v>57</v>
      </c>
      <c r="G518" t="s">
        <v>1043</v>
      </c>
      <c r="H518" t="s">
        <v>1044</v>
      </c>
      <c r="I518" t="s">
        <v>17</v>
      </c>
      <c r="J518" t="s">
        <v>18</v>
      </c>
    </row>
    <row r="519" spans="1:10" hidden="1" x14ac:dyDescent="0.25">
      <c r="A519" t="s">
        <v>11</v>
      </c>
      <c r="B519" t="str">
        <f>"УТ-505-000040"</f>
        <v>УТ-505-000040</v>
      </c>
      <c r="C519" t="s">
        <v>106</v>
      </c>
      <c r="D519" t="s">
        <v>806</v>
      </c>
      <c r="E519" t="str">
        <f>"7839454551"</f>
        <v>7839454551</v>
      </c>
      <c r="F519" t="s">
        <v>57</v>
      </c>
      <c r="G519" t="s">
        <v>1043</v>
      </c>
      <c r="H519" t="s">
        <v>1045</v>
      </c>
      <c r="I519" t="s">
        <v>17</v>
      </c>
      <c r="J519" t="s">
        <v>18</v>
      </c>
    </row>
    <row r="520" spans="1:10" hidden="1" x14ac:dyDescent="0.25">
      <c r="A520" t="s">
        <v>11</v>
      </c>
      <c r="B520" t="str">
        <f>"УТ-505-000038"</f>
        <v>УТ-505-000038</v>
      </c>
      <c r="C520" t="s">
        <v>106</v>
      </c>
      <c r="D520" t="s">
        <v>806</v>
      </c>
      <c r="E520" t="str">
        <f>"7839454551"</f>
        <v>7839454551</v>
      </c>
      <c r="F520" t="s">
        <v>57</v>
      </c>
      <c r="G520" t="s">
        <v>1046</v>
      </c>
      <c r="H520" t="s">
        <v>1047</v>
      </c>
      <c r="I520" t="s">
        <v>17</v>
      </c>
      <c r="J520" t="s">
        <v>18</v>
      </c>
    </row>
    <row r="521" spans="1:10" hidden="1" x14ac:dyDescent="0.25">
      <c r="A521" t="s">
        <v>11</v>
      </c>
      <c r="B521" t="str">
        <f>"УТ-505-000037"</f>
        <v>УТ-505-000037</v>
      </c>
      <c r="C521" t="s">
        <v>106</v>
      </c>
      <c r="D521" t="s">
        <v>806</v>
      </c>
      <c r="E521" t="str">
        <f>"7839454551"</f>
        <v>7839454551</v>
      </c>
      <c r="F521" t="s">
        <v>57</v>
      </c>
      <c r="G521" t="s">
        <v>1048</v>
      </c>
      <c r="H521" t="s">
        <v>1049</v>
      </c>
      <c r="I521" t="s">
        <v>17</v>
      </c>
      <c r="J521" t="s">
        <v>18</v>
      </c>
    </row>
    <row r="522" spans="1:10" hidden="1" x14ac:dyDescent="0.25">
      <c r="A522" t="s">
        <v>11</v>
      </c>
      <c r="B522" t="str">
        <f>"УТ-505-000033"</f>
        <v>УТ-505-000033</v>
      </c>
      <c r="C522" t="s">
        <v>106</v>
      </c>
      <c r="D522" t="s">
        <v>806</v>
      </c>
      <c r="E522" t="str">
        <f>"7839454551"</f>
        <v>7839454551</v>
      </c>
      <c r="F522" t="s">
        <v>57</v>
      </c>
      <c r="G522" t="s">
        <v>1050</v>
      </c>
      <c r="H522" t="s">
        <v>1051</v>
      </c>
      <c r="I522" t="s">
        <v>17</v>
      </c>
      <c r="J522" t="s">
        <v>18</v>
      </c>
    </row>
    <row r="523" spans="1:10" hidden="1" x14ac:dyDescent="0.25">
      <c r="A523" t="s">
        <v>11</v>
      </c>
      <c r="B523" t="str">
        <f>"SR110023976"</f>
        <v>SR110023976</v>
      </c>
      <c r="C523" t="s">
        <v>420</v>
      </c>
      <c r="D523" t="s">
        <v>806</v>
      </c>
      <c r="E523" t="str">
        <f>"4725006920"</f>
        <v>4725006920</v>
      </c>
      <c r="F523" t="s">
        <v>101</v>
      </c>
      <c r="G523" t="s">
        <v>1052</v>
      </c>
      <c r="H523" t="s">
        <v>1053</v>
      </c>
      <c r="I523" t="s">
        <v>17</v>
      </c>
      <c r="J523" t="s">
        <v>18</v>
      </c>
    </row>
    <row r="524" spans="1:10" hidden="1" x14ac:dyDescent="0.25">
      <c r="A524" t="s">
        <v>11</v>
      </c>
      <c r="B524" t="str">
        <f>"SR110023973"</f>
        <v>SR110023973</v>
      </c>
      <c r="C524" t="s">
        <v>420</v>
      </c>
      <c r="D524" t="s">
        <v>806</v>
      </c>
      <c r="E524" t="str">
        <f>"4725006920"</f>
        <v>4725006920</v>
      </c>
      <c r="F524" t="s">
        <v>101</v>
      </c>
      <c r="G524" t="s">
        <v>427</v>
      </c>
      <c r="H524" t="s">
        <v>1054</v>
      </c>
      <c r="I524" t="s">
        <v>17</v>
      </c>
      <c r="J524" t="s">
        <v>18</v>
      </c>
    </row>
    <row r="525" spans="1:10" hidden="1" x14ac:dyDescent="0.25">
      <c r="A525" t="s">
        <v>11</v>
      </c>
      <c r="B525" t="str">
        <f>"SR110023925"</f>
        <v>SR110023925</v>
      </c>
      <c r="C525" t="s">
        <v>420</v>
      </c>
      <c r="D525" t="s">
        <v>806</v>
      </c>
      <c r="E525" t="str">
        <f>"4725006920"</f>
        <v>4725006920</v>
      </c>
      <c r="F525" t="s">
        <v>101</v>
      </c>
      <c r="G525" t="s">
        <v>1055</v>
      </c>
      <c r="H525" t="s">
        <v>1056</v>
      </c>
      <c r="I525" t="s">
        <v>17</v>
      </c>
      <c r="J525" t="s">
        <v>18</v>
      </c>
    </row>
    <row r="526" spans="1:10" hidden="1" x14ac:dyDescent="0.25">
      <c r="A526" t="s">
        <v>11</v>
      </c>
      <c r="B526" t="str">
        <f>"SR110023922"</f>
        <v>SR110023922</v>
      </c>
      <c r="C526" t="s">
        <v>420</v>
      </c>
      <c r="D526" t="s">
        <v>806</v>
      </c>
      <c r="E526" t="str">
        <f>"4725006920"</f>
        <v>4725006920</v>
      </c>
      <c r="F526" t="s">
        <v>101</v>
      </c>
      <c r="G526" t="s">
        <v>1057</v>
      </c>
      <c r="H526" t="s">
        <v>1058</v>
      </c>
      <c r="I526" t="s">
        <v>17</v>
      </c>
      <c r="J526" t="s">
        <v>18</v>
      </c>
    </row>
    <row r="527" spans="1:10" hidden="1" x14ac:dyDescent="0.25">
      <c r="A527" t="s">
        <v>11</v>
      </c>
      <c r="B527" t="str">
        <f>"SR110023993"</f>
        <v>SR110023993</v>
      </c>
      <c r="C527" t="s">
        <v>420</v>
      </c>
      <c r="D527" t="s">
        <v>806</v>
      </c>
      <c r="E527" t="str">
        <f>"4725006920"</f>
        <v>4725006920</v>
      </c>
      <c r="F527" t="s">
        <v>101</v>
      </c>
      <c r="G527" t="s">
        <v>1059</v>
      </c>
      <c r="H527" t="s">
        <v>1060</v>
      </c>
      <c r="I527" t="s">
        <v>17</v>
      </c>
      <c r="J527" t="s">
        <v>18</v>
      </c>
    </row>
    <row r="528" spans="1:10" hidden="1" x14ac:dyDescent="0.25">
      <c r="A528" t="s">
        <v>11</v>
      </c>
      <c r="B528" t="str">
        <f>"ПЕВЛ0501/04"</f>
        <v>ПЕВЛ0501/04</v>
      </c>
      <c r="C528" t="s">
        <v>53</v>
      </c>
      <c r="D528" t="s">
        <v>1061</v>
      </c>
      <c r="E528" t="str">
        <f>"7735126034"</f>
        <v>7735126034</v>
      </c>
      <c r="F528" t="s">
        <v>131</v>
      </c>
      <c r="G528" t="s">
        <v>1062</v>
      </c>
      <c r="H528" t="s">
        <v>1063</v>
      </c>
      <c r="I528" t="s">
        <v>17</v>
      </c>
      <c r="J528" t="s">
        <v>18</v>
      </c>
    </row>
    <row r="529" spans="1:10" hidden="1" x14ac:dyDescent="0.25">
      <c r="A529" t="s">
        <v>11</v>
      </c>
      <c r="B529" t="str">
        <f>"56428/160E"</f>
        <v>56428/160E</v>
      </c>
      <c r="C529" t="s">
        <v>12</v>
      </c>
      <c r="D529" t="s">
        <v>1061</v>
      </c>
      <c r="E529" t="str">
        <f>"5003052454"</f>
        <v>5003052454</v>
      </c>
      <c r="F529" t="s">
        <v>14</v>
      </c>
      <c r="G529" t="s">
        <v>1064</v>
      </c>
      <c r="H529" t="s">
        <v>1065</v>
      </c>
      <c r="I529" t="s">
        <v>17</v>
      </c>
      <c r="J529" t="s">
        <v>18</v>
      </c>
    </row>
    <row r="530" spans="1:10" hidden="1" x14ac:dyDescent="0.25">
      <c r="A530" t="s">
        <v>11</v>
      </c>
      <c r="B530" t="str">
        <f>"56429/160E"</f>
        <v>56429/160E</v>
      </c>
      <c r="C530" t="s">
        <v>12</v>
      </c>
      <c r="D530" t="s">
        <v>1061</v>
      </c>
      <c r="E530" t="str">
        <f>"5003052454"</f>
        <v>5003052454</v>
      </c>
      <c r="F530" t="s">
        <v>14</v>
      </c>
      <c r="G530" t="s">
        <v>1066</v>
      </c>
      <c r="H530" t="s">
        <v>1067</v>
      </c>
      <c r="I530" t="s">
        <v>17</v>
      </c>
      <c r="J530" t="s">
        <v>18</v>
      </c>
    </row>
    <row r="531" spans="1:10" hidden="1" x14ac:dyDescent="0.25">
      <c r="A531" t="s">
        <v>11</v>
      </c>
      <c r="B531" t="str">
        <f>"56431/160E"</f>
        <v>56431/160E</v>
      </c>
      <c r="C531" t="s">
        <v>12</v>
      </c>
      <c r="D531" t="s">
        <v>1061</v>
      </c>
      <c r="E531" t="str">
        <f>"5003052454"</f>
        <v>5003052454</v>
      </c>
      <c r="F531" t="s">
        <v>14</v>
      </c>
      <c r="G531" t="s">
        <v>1068</v>
      </c>
      <c r="H531" t="s">
        <v>1069</v>
      </c>
      <c r="I531" t="s">
        <v>17</v>
      </c>
      <c r="J531" t="s">
        <v>18</v>
      </c>
    </row>
    <row r="532" spans="1:10" hidden="1" x14ac:dyDescent="0.25">
      <c r="A532" t="s">
        <v>11</v>
      </c>
      <c r="B532" t="str">
        <f>"UT-104977"</f>
        <v>UT-104977</v>
      </c>
      <c r="C532" t="s">
        <v>12</v>
      </c>
      <c r="D532" t="s">
        <v>1061</v>
      </c>
      <c r="E532" t="str">
        <f t="shared" ref="E532:E549" si="26">"7806385951"</f>
        <v>7806385951</v>
      </c>
      <c r="F532" t="s">
        <v>26</v>
      </c>
      <c r="G532" t="s">
        <v>1070</v>
      </c>
      <c r="H532" t="s">
        <v>1071</v>
      </c>
      <c r="I532" t="s">
        <v>17</v>
      </c>
      <c r="J532" t="s">
        <v>18</v>
      </c>
    </row>
    <row r="533" spans="1:10" hidden="1" x14ac:dyDescent="0.25">
      <c r="A533" t="s">
        <v>11</v>
      </c>
      <c r="B533" t="str">
        <f>"UT-104947"</f>
        <v>UT-104947</v>
      </c>
      <c r="C533" t="s">
        <v>12</v>
      </c>
      <c r="D533" t="s">
        <v>1061</v>
      </c>
      <c r="E533" t="str">
        <f t="shared" si="26"/>
        <v>7806385951</v>
      </c>
      <c r="F533" t="s">
        <v>26</v>
      </c>
      <c r="G533" t="s">
        <v>1072</v>
      </c>
      <c r="H533" t="s">
        <v>1073</v>
      </c>
      <c r="I533" t="s">
        <v>17</v>
      </c>
      <c r="J533" t="s">
        <v>18</v>
      </c>
    </row>
    <row r="534" spans="1:10" hidden="1" x14ac:dyDescent="0.25">
      <c r="A534" t="s">
        <v>11</v>
      </c>
      <c r="B534" t="str">
        <f>"UT-104953"</f>
        <v>UT-104953</v>
      </c>
      <c r="C534" t="s">
        <v>12</v>
      </c>
      <c r="D534" t="s">
        <v>1061</v>
      </c>
      <c r="E534" t="str">
        <f t="shared" si="26"/>
        <v>7806385951</v>
      </c>
      <c r="F534" t="s">
        <v>26</v>
      </c>
      <c r="G534" t="s">
        <v>1074</v>
      </c>
      <c r="H534" t="s">
        <v>1075</v>
      </c>
      <c r="I534" t="s">
        <v>17</v>
      </c>
      <c r="J534" t="s">
        <v>18</v>
      </c>
    </row>
    <row r="535" spans="1:10" hidden="1" x14ac:dyDescent="0.25">
      <c r="A535" t="s">
        <v>11</v>
      </c>
      <c r="B535" t="str">
        <f>"UT-104955"</f>
        <v>UT-104955</v>
      </c>
      <c r="C535" t="s">
        <v>12</v>
      </c>
      <c r="D535" t="s">
        <v>1061</v>
      </c>
      <c r="E535" t="str">
        <f t="shared" si="26"/>
        <v>7806385951</v>
      </c>
      <c r="F535" t="s">
        <v>26</v>
      </c>
      <c r="G535" t="s">
        <v>220</v>
      </c>
      <c r="H535" t="s">
        <v>1076</v>
      </c>
      <c r="I535" t="s">
        <v>17</v>
      </c>
      <c r="J535" t="s">
        <v>18</v>
      </c>
    </row>
    <row r="536" spans="1:10" hidden="1" x14ac:dyDescent="0.25">
      <c r="A536" t="s">
        <v>11</v>
      </c>
      <c r="B536" t="str">
        <f>"UT-104957"</f>
        <v>UT-104957</v>
      </c>
      <c r="C536" t="s">
        <v>12</v>
      </c>
      <c r="D536" t="s">
        <v>1061</v>
      </c>
      <c r="E536" t="str">
        <f t="shared" si="26"/>
        <v>7806385951</v>
      </c>
      <c r="F536" t="s">
        <v>26</v>
      </c>
      <c r="G536" t="s">
        <v>1077</v>
      </c>
      <c r="H536" t="s">
        <v>1078</v>
      </c>
      <c r="I536" t="s">
        <v>17</v>
      </c>
      <c r="J536" t="s">
        <v>18</v>
      </c>
    </row>
    <row r="537" spans="1:10" hidden="1" x14ac:dyDescent="0.25">
      <c r="A537" t="s">
        <v>11</v>
      </c>
      <c r="B537" t="str">
        <f>"UT-104960"</f>
        <v>UT-104960</v>
      </c>
      <c r="C537" t="s">
        <v>12</v>
      </c>
      <c r="D537" t="s">
        <v>1061</v>
      </c>
      <c r="E537" t="str">
        <f t="shared" si="26"/>
        <v>7806385951</v>
      </c>
      <c r="F537" t="s">
        <v>26</v>
      </c>
      <c r="G537" t="s">
        <v>1079</v>
      </c>
      <c r="H537" t="s">
        <v>1080</v>
      </c>
      <c r="I537" t="s">
        <v>17</v>
      </c>
      <c r="J537" t="s">
        <v>18</v>
      </c>
    </row>
    <row r="538" spans="1:10" hidden="1" x14ac:dyDescent="0.25">
      <c r="A538" t="s">
        <v>11</v>
      </c>
      <c r="B538" t="str">
        <f>"UT-104961"</f>
        <v>UT-104961</v>
      </c>
      <c r="C538" t="s">
        <v>12</v>
      </c>
      <c r="D538" t="s">
        <v>1061</v>
      </c>
      <c r="E538" t="str">
        <f t="shared" si="26"/>
        <v>7806385951</v>
      </c>
      <c r="F538" t="s">
        <v>26</v>
      </c>
      <c r="G538" t="s">
        <v>1081</v>
      </c>
      <c r="H538" t="s">
        <v>1082</v>
      </c>
      <c r="I538" t="s">
        <v>17</v>
      </c>
      <c r="J538" t="s">
        <v>18</v>
      </c>
    </row>
    <row r="539" spans="1:10" hidden="1" x14ac:dyDescent="0.25">
      <c r="A539" t="s">
        <v>11</v>
      </c>
      <c r="B539" t="str">
        <f>"UT-104962"</f>
        <v>UT-104962</v>
      </c>
      <c r="C539" t="s">
        <v>12</v>
      </c>
      <c r="D539" t="s">
        <v>1061</v>
      </c>
      <c r="E539" t="str">
        <f t="shared" si="26"/>
        <v>7806385951</v>
      </c>
      <c r="F539" t="s">
        <v>26</v>
      </c>
      <c r="G539" t="s">
        <v>368</v>
      </c>
      <c r="H539" t="s">
        <v>1083</v>
      </c>
      <c r="I539" t="s">
        <v>17</v>
      </c>
      <c r="J539" t="s">
        <v>18</v>
      </c>
    </row>
    <row r="540" spans="1:10" hidden="1" x14ac:dyDescent="0.25">
      <c r="A540" t="s">
        <v>11</v>
      </c>
      <c r="B540" t="str">
        <f>"UT-104963"</f>
        <v>UT-104963</v>
      </c>
      <c r="C540" t="s">
        <v>12</v>
      </c>
      <c r="D540" t="s">
        <v>1061</v>
      </c>
      <c r="E540" t="str">
        <f t="shared" si="26"/>
        <v>7806385951</v>
      </c>
      <c r="F540" t="s">
        <v>26</v>
      </c>
      <c r="G540" t="s">
        <v>1084</v>
      </c>
      <c r="H540" t="s">
        <v>1085</v>
      </c>
      <c r="I540" t="s">
        <v>17</v>
      </c>
      <c r="J540" t="s">
        <v>18</v>
      </c>
    </row>
    <row r="541" spans="1:10" hidden="1" x14ac:dyDescent="0.25">
      <c r="A541" t="s">
        <v>11</v>
      </c>
      <c r="B541" t="str">
        <f>"UT-104966"</f>
        <v>UT-104966</v>
      </c>
      <c r="C541" t="s">
        <v>12</v>
      </c>
      <c r="D541" t="s">
        <v>1061</v>
      </c>
      <c r="E541" t="str">
        <f t="shared" si="26"/>
        <v>7806385951</v>
      </c>
      <c r="F541" t="s">
        <v>26</v>
      </c>
      <c r="G541" t="s">
        <v>1086</v>
      </c>
      <c r="H541" t="s">
        <v>1087</v>
      </c>
      <c r="I541" t="s">
        <v>17</v>
      </c>
      <c r="J541" t="s">
        <v>18</v>
      </c>
    </row>
    <row r="542" spans="1:10" hidden="1" x14ac:dyDescent="0.25">
      <c r="A542" t="s">
        <v>11</v>
      </c>
      <c r="B542" t="str">
        <f>"UT-104969"</f>
        <v>UT-104969</v>
      </c>
      <c r="C542" t="s">
        <v>12</v>
      </c>
      <c r="D542" t="s">
        <v>1061</v>
      </c>
      <c r="E542" t="str">
        <f t="shared" si="26"/>
        <v>7806385951</v>
      </c>
      <c r="F542" t="s">
        <v>26</v>
      </c>
      <c r="G542" t="s">
        <v>1088</v>
      </c>
      <c r="H542" t="s">
        <v>1089</v>
      </c>
      <c r="I542" t="s">
        <v>17</v>
      </c>
      <c r="J542" t="s">
        <v>18</v>
      </c>
    </row>
    <row r="543" spans="1:10" hidden="1" x14ac:dyDescent="0.25">
      <c r="A543" t="s">
        <v>11</v>
      </c>
      <c r="B543" t="str">
        <f>"UT-104971"</f>
        <v>UT-104971</v>
      </c>
      <c r="C543" t="s">
        <v>12</v>
      </c>
      <c r="D543" t="s">
        <v>1061</v>
      </c>
      <c r="E543" t="str">
        <f t="shared" si="26"/>
        <v>7806385951</v>
      </c>
      <c r="F543" t="s">
        <v>26</v>
      </c>
      <c r="G543" t="s">
        <v>1090</v>
      </c>
      <c r="H543" t="s">
        <v>1091</v>
      </c>
      <c r="I543" t="s">
        <v>17</v>
      </c>
      <c r="J543" t="s">
        <v>18</v>
      </c>
    </row>
    <row r="544" spans="1:10" hidden="1" x14ac:dyDescent="0.25">
      <c r="A544" t="s">
        <v>11</v>
      </c>
      <c r="B544" t="str">
        <f>"UT-104975"</f>
        <v>UT-104975</v>
      </c>
      <c r="C544" t="s">
        <v>12</v>
      </c>
      <c r="D544" t="s">
        <v>1061</v>
      </c>
      <c r="E544" t="str">
        <f t="shared" si="26"/>
        <v>7806385951</v>
      </c>
      <c r="F544" t="s">
        <v>26</v>
      </c>
      <c r="G544" t="s">
        <v>1092</v>
      </c>
      <c r="H544" t="s">
        <v>1093</v>
      </c>
      <c r="I544" t="s">
        <v>17</v>
      </c>
      <c r="J544" t="s">
        <v>18</v>
      </c>
    </row>
    <row r="545" spans="1:10" hidden="1" x14ac:dyDescent="0.25">
      <c r="A545" t="s">
        <v>11</v>
      </c>
      <c r="B545" t="str">
        <f>"UT-104976"</f>
        <v>UT-104976</v>
      </c>
      <c r="C545" t="s">
        <v>12</v>
      </c>
      <c r="D545" t="s">
        <v>1061</v>
      </c>
      <c r="E545" t="str">
        <f t="shared" si="26"/>
        <v>7806385951</v>
      </c>
      <c r="F545" t="s">
        <v>26</v>
      </c>
      <c r="G545" t="s">
        <v>1094</v>
      </c>
      <c r="H545" t="s">
        <v>1095</v>
      </c>
      <c r="I545" t="s">
        <v>17</v>
      </c>
      <c r="J545" t="s">
        <v>18</v>
      </c>
    </row>
    <row r="546" spans="1:10" hidden="1" x14ac:dyDescent="0.25">
      <c r="A546" t="s">
        <v>11</v>
      </c>
      <c r="B546" t="str">
        <f>"UT-105398"</f>
        <v>UT-105398</v>
      </c>
      <c r="C546" t="s">
        <v>12</v>
      </c>
      <c r="D546" t="s">
        <v>1061</v>
      </c>
      <c r="E546" t="str">
        <f t="shared" si="26"/>
        <v>7806385951</v>
      </c>
      <c r="F546" t="s">
        <v>26</v>
      </c>
      <c r="G546" t="s">
        <v>1096</v>
      </c>
      <c r="H546" t="s">
        <v>1097</v>
      </c>
      <c r="I546" t="s">
        <v>17</v>
      </c>
      <c r="J546" t="s">
        <v>18</v>
      </c>
    </row>
    <row r="547" spans="1:10" hidden="1" x14ac:dyDescent="0.25">
      <c r="A547" t="s">
        <v>11</v>
      </c>
      <c r="B547" t="str">
        <f>"UT-105399"</f>
        <v>UT-105399</v>
      </c>
      <c r="C547" t="s">
        <v>12</v>
      </c>
      <c r="D547" t="s">
        <v>1061</v>
      </c>
      <c r="E547" t="str">
        <f t="shared" si="26"/>
        <v>7806385951</v>
      </c>
      <c r="F547" t="s">
        <v>26</v>
      </c>
      <c r="G547" t="s">
        <v>1098</v>
      </c>
      <c r="H547" t="s">
        <v>1099</v>
      </c>
      <c r="I547" t="s">
        <v>17</v>
      </c>
      <c r="J547" t="s">
        <v>18</v>
      </c>
    </row>
    <row r="548" spans="1:10" hidden="1" x14ac:dyDescent="0.25">
      <c r="A548" t="s">
        <v>11</v>
      </c>
      <c r="B548" t="str">
        <f>"UT-105400"</f>
        <v>UT-105400</v>
      </c>
      <c r="C548" t="s">
        <v>12</v>
      </c>
      <c r="D548" t="s">
        <v>1061</v>
      </c>
      <c r="E548" t="str">
        <f t="shared" si="26"/>
        <v>7806385951</v>
      </c>
      <c r="F548" t="s">
        <v>26</v>
      </c>
      <c r="G548" t="s">
        <v>1100</v>
      </c>
      <c r="H548" t="s">
        <v>1101</v>
      </c>
      <c r="I548" t="s">
        <v>17</v>
      </c>
      <c r="J548" t="s">
        <v>18</v>
      </c>
    </row>
    <row r="549" spans="1:10" hidden="1" x14ac:dyDescent="0.25">
      <c r="A549" t="s">
        <v>11</v>
      </c>
      <c r="B549" t="str">
        <f>"UT-105416"</f>
        <v>UT-105416</v>
      </c>
      <c r="C549" t="s">
        <v>12</v>
      </c>
      <c r="D549" t="s">
        <v>1061</v>
      </c>
      <c r="E549" t="str">
        <f t="shared" si="26"/>
        <v>7806385951</v>
      </c>
      <c r="F549" t="s">
        <v>26</v>
      </c>
      <c r="G549" t="s">
        <v>1102</v>
      </c>
      <c r="H549" t="s">
        <v>1103</v>
      </c>
      <c r="I549" t="s">
        <v>17</v>
      </c>
      <c r="J549" t="s">
        <v>18</v>
      </c>
    </row>
    <row r="550" spans="1:10" hidden="1" x14ac:dyDescent="0.25">
      <c r="A550" t="s">
        <v>11</v>
      </c>
      <c r="B550" t="str">
        <f>"56430/160E"</f>
        <v>56430/160E</v>
      </c>
      <c r="C550" t="s">
        <v>12</v>
      </c>
      <c r="D550" t="s">
        <v>1061</v>
      </c>
      <c r="E550" t="str">
        <f t="shared" ref="E550:E555" si="27">"5003052454"</f>
        <v>5003052454</v>
      </c>
      <c r="F550" t="s">
        <v>14</v>
      </c>
      <c r="G550" t="s">
        <v>1104</v>
      </c>
      <c r="H550" t="s">
        <v>1105</v>
      </c>
      <c r="I550" t="s">
        <v>17</v>
      </c>
      <c r="J550" t="s">
        <v>18</v>
      </c>
    </row>
    <row r="551" spans="1:10" hidden="1" x14ac:dyDescent="0.25">
      <c r="A551" t="s">
        <v>11</v>
      </c>
      <c r="B551" t="str">
        <f>"56185/160E"</f>
        <v>56185/160E</v>
      </c>
      <c r="C551" t="s">
        <v>12</v>
      </c>
      <c r="D551" t="s">
        <v>1061</v>
      </c>
      <c r="E551" t="str">
        <f t="shared" si="27"/>
        <v>5003052454</v>
      </c>
      <c r="F551" t="s">
        <v>14</v>
      </c>
      <c r="G551" t="s">
        <v>1106</v>
      </c>
      <c r="H551" t="s">
        <v>1107</v>
      </c>
      <c r="I551" t="s">
        <v>17</v>
      </c>
      <c r="J551" t="s">
        <v>18</v>
      </c>
    </row>
    <row r="552" spans="1:10" hidden="1" x14ac:dyDescent="0.25">
      <c r="A552" t="s">
        <v>11</v>
      </c>
      <c r="B552" t="str">
        <f>"56187/160E"</f>
        <v>56187/160E</v>
      </c>
      <c r="C552" t="s">
        <v>12</v>
      </c>
      <c r="D552" t="s">
        <v>1061</v>
      </c>
      <c r="E552" t="str">
        <f t="shared" si="27"/>
        <v>5003052454</v>
      </c>
      <c r="F552" t="s">
        <v>14</v>
      </c>
      <c r="G552" t="s">
        <v>476</v>
      </c>
      <c r="H552" t="s">
        <v>1108</v>
      </c>
      <c r="I552" t="s">
        <v>17</v>
      </c>
      <c r="J552" t="s">
        <v>18</v>
      </c>
    </row>
    <row r="553" spans="1:10" hidden="1" x14ac:dyDescent="0.25">
      <c r="A553" t="s">
        <v>11</v>
      </c>
      <c r="B553" t="str">
        <f>"56183/160E"</f>
        <v>56183/160E</v>
      </c>
      <c r="C553" t="s">
        <v>12</v>
      </c>
      <c r="D553" t="s">
        <v>1061</v>
      </c>
      <c r="E553" t="str">
        <f t="shared" si="27"/>
        <v>5003052454</v>
      </c>
      <c r="F553" t="s">
        <v>14</v>
      </c>
      <c r="G553" t="s">
        <v>1109</v>
      </c>
      <c r="H553" t="s">
        <v>1110</v>
      </c>
      <c r="I553" t="s">
        <v>17</v>
      </c>
      <c r="J553" t="s">
        <v>18</v>
      </c>
    </row>
    <row r="554" spans="1:10" hidden="1" x14ac:dyDescent="0.25">
      <c r="A554" t="s">
        <v>11</v>
      </c>
      <c r="B554" t="str">
        <f>"56184/160E"</f>
        <v>56184/160E</v>
      </c>
      <c r="C554" t="s">
        <v>12</v>
      </c>
      <c r="D554" t="s">
        <v>1061</v>
      </c>
      <c r="E554" t="str">
        <f t="shared" si="27"/>
        <v>5003052454</v>
      </c>
      <c r="F554" t="s">
        <v>14</v>
      </c>
      <c r="G554" t="s">
        <v>1111</v>
      </c>
      <c r="H554" t="s">
        <v>1112</v>
      </c>
      <c r="I554" t="s">
        <v>17</v>
      </c>
      <c r="J554" t="s">
        <v>18</v>
      </c>
    </row>
    <row r="555" spans="1:10" hidden="1" x14ac:dyDescent="0.25">
      <c r="A555" t="s">
        <v>11</v>
      </c>
      <c r="B555" t="str">
        <f>"56186/160E"</f>
        <v>56186/160E</v>
      </c>
      <c r="C555" t="s">
        <v>12</v>
      </c>
      <c r="D555" t="s">
        <v>1061</v>
      </c>
      <c r="E555" t="str">
        <f t="shared" si="27"/>
        <v>5003052454</v>
      </c>
      <c r="F555" t="s">
        <v>14</v>
      </c>
      <c r="G555" t="s">
        <v>1113</v>
      </c>
      <c r="H555" t="s">
        <v>1114</v>
      </c>
      <c r="I555" t="s">
        <v>17</v>
      </c>
      <c r="J555" t="s">
        <v>18</v>
      </c>
    </row>
    <row r="556" spans="1:10" hidden="1" x14ac:dyDescent="0.25">
      <c r="A556" t="s">
        <v>11</v>
      </c>
      <c r="B556" t="str">
        <f>"1610/8174351804"</f>
        <v>1610/8174351804</v>
      </c>
      <c r="C556" t="s">
        <v>12</v>
      </c>
      <c r="D556" t="s">
        <v>1061</v>
      </c>
      <c r="E556" t="str">
        <f>"5032260402"</f>
        <v>5032260402</v>
      </c>
      <c r="F556" t="s">
        <v>341</v>
      </c>
      <c r="G556" t="s">
        <v>1115</v>
      </c>
      <c r="H556" t="s">
        <v>1116</v>
      </c>
      <c r="I556" t="s">
        <v>17</v>
      </c>
      <c r="J556" t="s">
        <v>18</v>
      </c>
    </row>
    <row r="557" spans="1:10" hidden="1" x14ac:dyDescent="0.25">
      <c r="A557" t="s">
        <v>11</v>
      </c>
      <c r="B557" t="str">
        <f>"1610/8174351703"</f>
        <v>1610/8174351703</v>
      </c>
      <c r="C557" t="s">
        <v>12</v>
      </c>
      <c r="D557" t="s">
        <v>1061</v>
      </c>
      <c r="E557" t="str">
        <f>"5032260402"</f>
        <v>5032260402</v>
      </c>
      <c r="F557" t="s">
        <v>341</v>
      </c>
      <c r="G557" t="s">
        <v>1117</v>
      </c>
      <c r="H557" t="s">
        <v>1118</v>
      </c>
      <c r="I557" t="s">
        <v>17</v>
      </c>
      <c r="J557" t="s">
        <v>18</v>
      </c>
    </row>
    <row r="558" spans="1:10" hidden="1" x14ac:dyDescent="0.25">
      <c r="A558" t="s">
        <v>11</v>
      </c>
      <c r="B558" t="str">
        <f>"1610/8174351785"</f>
        <v>1610/8174351785</v>
      </c>
      <c r="C558" t="s">
        <v>12</v>
      </c>
      <c r="D558" t="s">
        <v>1061</v>
      </c>
      <c r="E558" t="str">
        <f>"5032260402"</f>
        <v>5032260402</v>
      </c>
      <c r="F558" t="s">
        <v>341</v>
      </c>
      <c r="G558" t="s">
        <v>1119</v>
      </c>
      <c r="H558" t="s">
        <v>1120</v>
      </c>
      <c r="I558" t="s">
        <v>17</v>
      </c>
      <c r="J558" t="s">
        <v>18</v>
      </c>
    </row>
    <row r="559" spans="1:10" hidden="1" x14ac:dyDescent="0.25">
      <c r="A559" t="s">
        <v>11</v>
      </c>
      <c r="B559" t="str">
        <f>"ПЕВЛ0502/01"</f>
        <v>ПЕВЛ0502/01</v>
      </c>
      <c r="C559" t="s">
        <v>12</v>
      </c>
      <c r="D559" t="s">
        <v>1061</v>
      </c>
      <c r="E559" t="str">
        <f>"7735126034"</f>
        <v>7735126034</v>
      </c>
      <c r="F559" t="s">
        <v>131</v>
      </c>
      <c r="G559" t="s">
        <v>1121</v>
      </c>
      <c r="H559" t="s">
        <v>1122</v>
      </c>
      <c r="I559" t="s">
        <v>17</v>
      </c>
      <c r="J559" t="s">
        <v>18</v>
      </c>
    </row>
    <row r="560" spans="1:10" hidden="1" x14ac:dyDescent="0.25">
      <c r="A560" t="s">
        <v>11</v>
      </c>
      <c r="B560" t="str">
        <f>"8622"</f>
        <v>8622</v>
      </c>
      <c r="C560" t="s">
        <v>508</v>
      </c>
      <c r="D560" t="s">
        <v>1061</v>
      </c>
      <c r="E560" t="str">
        <f>"1658037114"</f>
        <v>1658037114</v>
      </c>
      <c r="F560" t="s">
        <v>509</v>
      </c>
      <c r="G560" t="s">
        <v>1123</v>
      </c>
      <c r="H560" t="s">
        <v>1124</v>
      </c>
      <c r="I560" t="s">
        <v>17</v>
      </c>
      <c r="J560" t="s">
        <v>18</v>
      </c>
    </row>
    <row r="561" spans="1:10" hidden="1" x14ac:dyDescent="0.25">
      <c r="A561" t="s">
        <v>11</v>
      </c>
      <c r="B561" t="str">
        <f>"21308/160F"</f>
        <v>21308/160F</v>
      </c>
      <c r="C561" t="s">
        <v>65</v>
      </c>
      <c r="D561" t="s">
        <v>1061</v>
      </c>
      <c r="E561" t="str">
        <f>"5003052454"</f>
        <v>5003052454</v>
      </c>
      <c r="F561" t="s">
        <v>14</v>
      </c>
      <c r="G561" t="s">
        <v>1125</v>
      </c>
      <c r="H561" t="s">
        <v>1126</v>
      </c>
      <c r="I561" t="s">
        <v>17</v>
      </c>
      <c r="J561" t="s">
        <v>18</v>
      </c>
    </row>
    <row r="562" spans="1:10" hidden="1" x14ac:dyDescent="0.25">
      <c r="A562" t="s">
        <v>11</v>
      </c>
      <c r="B562" t="str">
        <f>"21309/160F"</f>
        <v>21309/160F</v>
      </c>
      <c r="C562" t="s">
        <v>65</v>
      </c>
      <c r="D562" t="s">
        <v>1061</v>
      </c>
      <c r="E562" t="str">
        <f>"5003052454"</f>
        <v>5003052454</v>
      </c>
      <c r="F562" t="s">
        <v>14</v>
      </c>
      <c r="G562" t="s">
        <v>1127</v>
      </c>
      <c r="H562" t="s">
        <v>1128</v>
      </c>
      <c r="I562" t="s">
        <v>17</v>
      </c>
      <c r="J562" t="s">
        <v>18</v>
      </c>
    </row>
    <row r="563" spans="1:10" hidden="1" x14ac:dyDescent="0.25">
      <c r="A563" t="s">
        <v>11</v>
      </c>
      <c r="B563" t="str">
        <f>"57303/160E"</f>
        <v>57303/160E</v>
      </c>
      <c r="C563" t="s">
        <v>65</v>
      </c>
      <c r="D563" t="s">
        <v>1061</v>
      </c>
      <c r="E563" t="str">
        <f>"5003052454"</f>
        <v>5003052454</v>
      </c>
      <c r="F563" t="s">
        <v>14</v>
      </c>
      <c r="G563" t="s">
        <v>1129</v>
      </c>
      <c r="H563" t="s">
        <v>1130</v>
      </c>
      <c r="I563" t="s">
        <v>17</v>
      </c>
      <c r="J563" t="s">
        <v>18</v>
      </c>
    </row>
    <row r="564" spans="1:10" hidden="1" x14ac:dyDescent="0.25">
      <c r="A564" t="s">
        <v>11</v>
      </c>
      <c r="B564" t="str">
        <f>"57302/160E"</f>
        <v>57302/160E</v>
      </c>
      <c r="C564" t="s">
        <v>65</v>
      </c>
      <c r="D564" t="s">
        <v>1061</v>
      </c>
      <c r="E564" t="str">
        <f>"5003052454"</f>
        <v>5003052454</v>
      </c>
      <c r="F564" t="s">
        <v>14</v>
      </c>
      <c r="G564" t="s">
        <v>1131</v>
      </c>
      <c r="H564" t="s">
        <v>1132</v>
      </c>
      <c r="I564" t="s">
        <v>17</v>
      </c>
      <c r="J564" t="s">
        <v>18</v>
      </c>
    </row>
    <row r="565" spans="1:10" hidden="1" x14ac:dyDescent="0.25">
      <c r="A565" t="s">
        <v>11</v>
      </c>
      <c r="B565" t="str">
        <f>"5-228469"</f>
        <v>5-228469</v>
      </c>
      <c r="C565" t="s">
        <v>65</v>
      </c>
      <c r="D565" t="s">
        <v>1061</v>
      </c>
      <c r="E565" t="str">
        <f>"7326030557"</f>
        <v>7326030557</v>
      </c>
      <c r="F565" t="s">
        <v>528</v>
      </c>
      <c r="G565" t="s">
        <v>1133</v>
      </c>
      <c r="H565" t="s">
        <v>1134</v>
      </c>
      <c r="I565" t="s">
        <v>17</v>
      </c>
      <c r="J565" t="s">
        <v>18</v>
      </c>
    </row>
    <row r="566" spans="1:10" hidden="1" x14ac:dyDescent="0.25">
      <c r="A566" t="s">
        <v>11</v>
      </c>
      <c r="B566" t="str">
        <f>"5-228436"</f>
        <v>5-228436</v>
      </c>
      <c r="C566" t="s">
        <v>65</v>
      </c>
      <c r="D566" t="s">
        <v>1061</v>
      </c>
      <c r="E566" t="str">
        <f>"7326030557"</f>
        <v>7326030557</v>
      </c>
      <c r="F566" t="s">
        <v>528</v>
      </c>
      <c r="G566" t="s">
        <v>1135</v>
      </c>
      <c r="H566" t="s">
        <v>1136</v>
      </c>
      <c r="I566" t="s">
        <v>17</v>
      </c>
      <c r="J566" t="s">
        <v>18</v>
      </c>
    </row>
    <row r="567" spans="1:10" hidden="1" x14ac:dyDescent="0.25">
      <c r="A567" t="s">
        <v>11</v>
      </c>
      <c r="B567" t="str">
        <f>"5-228403"</f>
        <v>5-228403</v>
      </c>
      <c r="C567" t="s">
        <v>65</v>
      </c>
      <c r="D567" t="s">
        <v>1061</v>
      </c>
      <c r="E567" t="str">
        <f>"7326030557"</f>
        <v>7326030557</v>
      </c>
      <c r="F567" t="s">
        <v>528</v>
      </c>
      <c r="G567" t="s">
        <v>1137</v>
      </c>
      <c r="H567" t="s">
        <v>1138</v>
      </c>
      <c r="I567" t="s">
        <v>17</v>
      </c>
      <c r="J567" t="s">
        <v>18</v>
      </c>
    </row>
    <row r="568" spans="1:10" hidden="1" x14ac:dyDescent="0.25">
      <c r="A568" t="s">
        <v>11</v>
      </c>
      <c r="B568" t="str">
        <f>"853"</f>
        <v>853</v>
      </c>
      <c r="C568" t="s">
        <v>49</v>
      </c>
      <c r="D568" t="s">
        <v>1061</v>
      </c>
      <c r="E568" t="str">
        <f>"7704340969"</f>
        <v>7704340969</v>
      </c>
      <c r="F568" t="s">
        <v>76</v>
      </c>
      <c r="G568" t="s">
        <v>77</v>
      </c>
      <c r="H568" t="s">
        <v>1139</v>
      </c>
      <c r="I568" t="s">
        <v>17</v>
      </c>
      <c r="J568" t="s">
        <v>18</v>
      </c>
    </row>
    <row r="569" spans="1:10" hidden="1" x14ac:dyDescent="0.25">
      <c r="A569" t="s">
        <v>11</v>
      </c>
      <c r="B569" t="str">
        <f>"890"</f>
        <v>890</v>
      </c>
      <c r="C569" t="s">
        <v>49</v>
      </c>
      <c r="D569" t="s">
        <v>1061</v>
      </c>
      <c r="E569" t="str">
        <f>"7704340969"</f>
        <v>7704340969</v>
      </c>
      <c r="F569" t="s">
        <v>76</v>
      </c>
      <c r="G569" t="s">
        <v>79</v>
      </c>
      <c r="H569" t="s">
        <v>1140</v>
      </c>
      <c r="I569" t="s">
        <v>17</v>
      </c>
      <c r="J569" t="s">
        <v>18</v>
      </c>
    </row>
    <row r="570" spans="1:10" hidden="1" x14ac:dyDescent="0.25">
      <c r="A570" t="s">
        <v>11</v>
      </c>
      <c r="B570" t="str">
        <f>"917"</f>
        <v>917</v>
      </c>
      <c r="C570" t="s">
        <v>49</v>
      </c>
      <c r="D570" t="s">
        <v>1061</v>
      </c>
      <c r="E570" t="str">
        <f>"7704340969"</f>
        <v>7704340969</v>
      </c>
      <c r="F570" t="s">
        <v>76</v>
      </c>
      <c r="G570" t="s">
        <v>81</v>
      </c>
      <c r="H570" t="s">
        <v>1141</v>
      </c>
      <c r="I570" t="s">
        <v>17</v>
      </c>
      <c r="J570" t="s">
        <v>18</v>
      </c>
    </row>
    <row r="571" spans="1:10" hidden="1" x14ac:dyDescent="0.25">
      <c r="A571" t="s">
        <v>11</v>
      </c>
      <c r="B571" t="str">
        <f>"960"</f>
        <v>960</v>
      </c>
      <c r="C571" t="s">
        <v>49</v>
      </c>
      <c r="D571" t="s">
        <v>1061</v>
      </c>
      <c r="E571" t="str">
        <f>"7704340969"</f>
        <v>7704340969</v>
      </c>
      <c r="F571" t="s">
        <v>76</v>
      </c>
      <c r="G571" t="s">
        <v>83</v>
      </c>
      <c r="H571" t="s">
        <v>1142</v>
      </c>
      <c r="I571" t="s">
        <v>17</v>
      </c>
      <c r="J571" t="s">
        <v>18</v>
      </c>
    </row>
    <row r="572" spans="1:10" x14ac:dyDescent="0.25">
      <c r="A572" t="s">
        <v>290</v>
      </c>
      <c r="B572" t="str">
        <f>"1800001472"</f>
        <v>1800001472</v>
      </c>
      <c r="C572" t="s">
        <v>100</v>
      </c>
      <c r="D572" t="s">
        <v>1061</v>
      </c>
      <c r="E572" t="str">
        <f>"5032260402"</f>
        <v>5032260402</v>
      </c>
      <c r="F572" t="s">
        <v>341</v>
      </c>
      <c r="G572" t="s">
        <v>847</v>
      </c>
      <c r="H572" t="s">
        <v>1143</v>
      </c>
      <c r="I572" t="s">
        <v>17</v>
      </c>
      <c r="J572" t="s">
        <v>166</v>
      </c>
    </row>
    <row r="573" spans="1:10" hidden="1" x14ac:dyDescent="0.25">
      <c r="A573" t="s">
        <v>11</v>
      </c>
      <c r="B573" t="str">
        <f>"60/00098101-23"</f>
        <v>60/00098101-23</v>
      </c>
      <c r="C573" t="s">
        <v>100</v>
      </c>
      <c r="D573" t="s">
        <v>1061</v>
      </c>
      <c r="E573" t="str">
        <f>"7705034202"</f>
        <v>7705034202</v>
      </c>
      <c r="F573" t="s">
        <v>407</v>
      </c>
      <c r="G573" t="s">
        <v>1144</v>
      </c>
      <c r="H573" t="s">
        <v>1145</v>
      </c>
      <c r="I573" t="s">
        <v>17</v>
      </c>
      <c r="J573" t="s">
        <v>18</v>
      </c>
    </row>
    <row r="574" spans="1:10" hidden="1" x14ac:dyDescent="0.25">
      <c r="A574" t="s">
        <v>11</v>
      </c>
      <c r="B574" t="str">
        <f>"5-229172"</f>
        <v>5-229172</v>
      </c>
      <c r="C574" t="s">
        <v>100</v>
      </c>
      <c r="D574" t="s">
        <v>1061</v>
      </c>
      <c r="E574" t="str">
        <f>"7326030557"</f>
        <v>7326030557</v>
      </c>
      <c r="F574" t="s">
        <v>528</v>
      </c>
      <c r="G574" t="s">
        <v>1146</v>
      </c>
      <c r="H574" t="s">
        <v>1147</v>
      </c>
      <c r="I574" t="s">
        <v>17</v>
      </c>
      <c r="J574" t="s">
        <v>18</v>
      </c>
    </row>
    <row r="575" spans="1:10" hidden="1" x14ac:dyDescent="0.25">
      <c r="A575" t="s">
        <v>11</v>
      </c>
      <c r="B575" t="str">
        <f>"5-229155"</f>
        <v>5-229155</v>
      </c>
      <c r="C575" t="s">
        <v>100</v>
      </c>
      <c r="D575" t="s">
        <v>1061</v>
      </c>
      <c r="E575" t="str">
        <f>"7326030557"</f>
        <v>7326030557</v>
      </c>
      <c r="F575" t="s">
        <v>528</v>
      </c>
      <c r="G575" t="s">
        <v>1148</v>
      </c>
      <c r="H575" t="s">
        <v>1149</v>
      </c>
      <c r="I575" t="s">
        <v>17</v>
      </c>
      <c r="J575" t="s">
        <v>18</v>
      </c>
    </row>
    <row r="576" spans="1:10" hidden="1" x14ac:dyDescent="0.25">
      <c r="A576" t="s">
        <v>11</v>
      </c>
      <c r="B576" t="str">
        <f>"1610/8174446150"</f>
        <v>1610/8174446150</v>
      </c>
      <c r="C576" t="s">
        <v>100</v>
      </c>
      <c r="D576" t="s">
        <v>1061</v>
      </c>
      <c r="E576" t="str">
        <f>"5032260402"</f>
        <v>5032260402</v>
      </c>
      <c r="F576" t="s">
        <v>341</v>
      </c>
      <c r="G576" t="s">
        <v>1150</v>
      </c>
      <c r="H576" t="s">
        <v>1151</v>
      </c>
      <c r="I576" t="s">
        <v>17</v>
      </c>
      <c r="J576" t="s">
        <v>18</v>
      </c>
    </row>
    <row r="577" spans="1:10" hidden="1" x14ac:dyDescent="0.25">
      <c r="A577" t="s">
        <v>11</v>
      </c>
      <c r="B577" t="str">
        <f>"1610/8174446266"</f>
        <v>1610/8174446266</v>
      </c>
      <c r="C577" t="s">
        <v>100</v>
      </c>
      <c r="D577" t="s">
        <v>1061</v>
      </c>
      <c r="E577" t="str">
        <f>"5032260402"</f>
        <v>5032260402</v>
      </c>
      <c r="F577" t="s">
        <v>341</v>
      </c>
      <c r="G577" t="s">
        <v>1152</v>
      </c>
      <c r="H577" t="s">
        <v>1153</v>
      </c>
      <c r="I577" t="s">
        <v>17</v>
      </c>
      <c r="J577" t="s">
        <v>18</v>
      </c>
    </row>
    <row r="578" spans="1:10" hidden="1" x14ac:dyDescent="0.25">
      <c r="A578" t="s">
        <v>11</v>
      </c>
      <c r="B578" t="str">
        <f>"1610/8174446280"</f>
        <v>1610/8174446280</v>
      </c>
      <c r="C578" t="s">
        <v>100</v>
      </c>
      <c r="D578" t="s">
        <v>1061</v>
      </c>
      <c r="E578" t="str">
        <f>"5032260402"</f>
        <v>5032260402</v>
      </c>
      <c r="F578" t="s">
        <v>341</v>
      </c>
      <c r="G578" t="s">
        <v>1154</v>
      </c>
      <c r="H578" t="s">
        <v>1155</v>
      </c>
      <c r="I578" t="s">
        <v>17</v>
      </c>
      <c r="J578" t="s">
        <v>18</v>
      </c>
    </row>
    <row r="579" spans="1:10" hidden="1" x14ac:dyDescent="0.25">
      <c r="A579" t="s">
        <v>11</v>
      </c>
      <c r="B579" t="str">
        <f>"Б-1258"</f>
        <v>Б-1258</v>
      </c>
      <c r="C579" t="s">
        <v>100</v>
      </c>
      <c r="D579" t="s">
        <v>1061</v>
      </c>
      <c r="E579" t="str">
        <f>"1655341959"</f>
        <v>1655341959</v>
      </c>
      <c r="F579" t="s">
        <v>536</v>
      </c>
      <c r="G579" t="s">
        <v>1156</v>
      </c>
      <c r="H579" t="s">
        <v>1157</v>
      </c>
      <c r="I579" t="s">
        <v>17</v>
      </c>
      <c r="J579" t="s">
        <v>388</v>
      </c>
    </row>
    <row r="580" spans="1:10" hidden="1" x14ac:dyDescent="0.25">
      <c r="A580" t="s">
        <v>11</v>
      </c>
      <c r="B580" t="str">
        <f>"8859"</f>
        <v>8859</v>
      </c>
      <c r="C580" t="s">
        <v>100</v>
      </c>
      <c r="D580" t="s">
        <v>1061</v>
      </c>
      <c r="E580" t="str">
        <f>"1658037114"</f>
        <v>1658037114</v>
      </c>
      <c r="F580" t="s">
        <v>509</v>
      </c>
      <c r="G580" t="s">
        <v>1158</v>
      </c>
      <c r="H580" t="s">
        <v>1159</v>
      </c>
      <c r="I580" t="s">
        <v>17</v>
      </c>
      <c r="J580" t="s">
        <v>18</v>
      </c>
    </row>
    <row r="581" spans="1:10" hidden="1" x14ac:dyDescent="0.25">
      <c r="A581" t="s">
        <v>11</v>
      </c>
      <c r="B581" t="str">
        <f>"ПЕВЛ0504/12"</f>
        <v>ПЕВЛ0504/12</v>
      </c>
      <c r="C581" t="s">
        <v>100</v>
      </c>
      <c r="D581" t="s">
        <v>1061</v>
      </c>
      <c r="E581" t="str">
        <f>"7735126034"</f>
        <v>7735126034</v>
      </c>
      <c r="F581" t="s">
        <v>131</v>
      </c>
      <c r="G581" t="s">
        <v>1160</v>
      </c>
      <c r="H581" t="s">
        <v>1161</v>
      </c>
      <c r="I581" t="s">
        <v>17</v>
      </c>
      <c r="J581" t="s">
        <v>21</v>
      </c>
    </row>
    <row r="582" spans="1:10" hidden="1" x14ac:dyDescent="0.25">
      <c r="A582" t="s">
        <v>11</v>
      </c>
      <c r="B582" t="str">
        <f>"ПЕВЛ0504/13"</f>
        <v>ПЕВЛ0504/13</v>
      </c>
      <c r="C582" t="s">
        <v>100</v>
      </c>
      <c r="D582" t="s">
        <v>1061</v>
      </c>
      <c r="E582" t="str">
        <f>"7735126034"</f>
        <v>7735126034</v>
      </c>
      <c r="F582" t="s">
        <v>131</v>
      </c>
      <c r="G582" t="s">
        <v>1160</v>
      </c>
      <c r="H582" t="s">
        <v>1162</v>
      </c>
      <c r="I582" t="s">
        <v>17</v>
      </c>
      <c r="J582" t="s">
        <v>18</v>
      </c>
    </row>
    <row r="583" spans="1:10" hidden="1" x14ac:dyDescent="0.25">
      <c r="A583" t="s">
        <v>11</v>
      </c>
      <c r="B583" t="str">
        <f>"5-229811"</f>
        <v>5-229811</v>
      </c>
      <c r="C583" t="s">
        <v>106</v>
      </c>
      <c r="D583" t="s">
        <v>1061</v>
      </c>
      <c r="E583" t="str">
        <f>"7326030557"</f>
        <v>7326030557</v>
      </c>
      <c r="F583" t="s">
        <v>528</v>
      </c>
      <c r="G583" t="s">
        <v>1163</v>
      </c>
      <c r="H583" t="s">
        <v>1164</v>
      </c>
      <c r="I583" t="s">
        <v>17</v>
      </c>
      <c r="J583" t="s">
        <v>18</v>
      </c>
    </row>
    <row r="584" spans="1:10" hidden="1" x14ac:dyDescent="0.25">
      <c r="A584" t="s">
        <v>11</v>
      </c>
      <c r="B584" t="str">
        <f>"9013"</f>
        <v>9013</v>
      </c>
      <c r="C584" t="s">
        <v>106</v>
      </c>
      <c r="D584" t="s">
        <v>1061</v>
      </c>
      <c r="E584" t="str">
        <f>"1658037114"</f>
        <v>1658037114</v>
      </c>
      <c r="F584" t="s">
        <v>509</v>
      </c>
      <c r="G584" t="s">
        <v>1165</v>
      </c>
      <c r="H584" t="s">
        <v>1166</v>
      </c>
      <c r="I584" t="s">
        <v>17</v>
      </c>
      <c r="J584" t="s">
        <v>18</v>
      </c>
    </row>
    <row r="585" spans="1:10" hidden="1" x14ac:dyDescent="0.25">
      <c r="A585" t="s">
        <v>11</v>
      </c>
      <c r="B585" t="str">
        <f>"9015"</f>
        <v>9015</v>
      </c>
      <c r="C585" t="s">
        <v>106</v>
      </c>
      <c r="D585" t="s">
        <v>1061</v>
      </c>
      <c r="E585" t="str">
        <f>"1658037114"</f>
        <v>1658037114</v>
      </c>
      <c r="F585" t="s">
        <v>509</v>
      </c>
      <c r="G585" t="s">
        <v>1167</v>
      </c>
      <c r="H585" t="s">
        <v>1168</v>
      </c>
      <c r="I585" t="s">
        <v>17</v>
      </c>
      <c r="J585" t="s">
        <v>18</v>
      </c>
    </row>
    <row r="586" spans="1:10" hidden="1" x14ac:dyDescent="0.25">
      <c r="A586" t="s">
        <v>11</v>
      </c>
      <c r="B586" t="str">
        <f>"9016"</f>
        <v>9016</v>
      </c>
      <c r="C586" t="s">
        <v>106</v>
      </c>
      <c r="D586" t="s">
        <v>1061</v>
      </c>
      <c r="E586" t="str">
        <f>"1658037114"</f>
        <v>1658037114</v>
      </c>
      <c r="F586" t="s">
        <v>509</v>
      </c>
      <c r="G586" t="s">
        <v>1169</v>
      </c>
      <c r="H586" t="s">
        <v>1170</v>
      </c>
      <c r="I586" t="s">
        <v>17</v>
      </c>
      <c r="J586" t="s">
        <v>18</v>
      </c>
    </row>
    <row r="587" spans="1:10" hidden="1" x14ac:dyDescent="0.25">
      <c r="A587" t="s">
        <v>11</v>
      </c>
      <c r="B587" t="str">
        <f>"9017"</f>
        <v>9017</v>
      </c>
      <c r="C587" t="s">
        <v>106</v>
      </c>
      <c r="D587" t="s">
        <v>1061</v>
      </c>
      <c r="E587" t="str">
        <f>"1658037114"</f>
        <v>1658037114</v>
      </c>
      <c r="F587" t="s">
        <v>509</v>
      </c>
      <c r="G587" t="s">
        <v>1171</v>
      </c>
      <c r="H587" t="s">
        <v>1172</v>
      </c>
      <c r="I587" t="s">
        <v>17</v>
      </c>
      <c r="J587" t="s">
        <v>18</v>
      </c>
    </row>
    <row r="588" spans="1:10" hidden="1" x14ac:dyDescent="0.25">
      <c r="A588" t="s">
        <v>11</v>
      </c>
      <c r="B588" t="str">
        <f>"5-230013"</f>
        <v>5-230013</v>
      </c>
      <c r="C588" t="s">
        <v>1173</v>
      </c>
      <c r="D588" t="s">
        <v>1061</v>
      </c>
      <c r="E588" t="str">
        <f>"7326030557"</f>
        <v>7326030557</v>
      </c>
      <c r="F588" t="s">
        <v>528</v>
      </c>
      <c r="G588" t="s">
        <v>1174</v>
      </c>
      <c r="H588" t="s">
        <v>1175</v>
      </c>
      <c r="I588" t="s">
        <v>17</v>
      </c>
      <c r="J588" t="s">
        <v>21</v>
      </c>
    </row>
    <row r="589" spans="1:10" hidden="1" x14ac:dyDescent="0.25">
      <c r="A589" t="s">
        <v>11</v>
      </c>
      <c r="B589" t="str">
        <f>"5-230006"</f>
        <v>5-230006</v>
      </c>
      <c r="C589" t="s">
        <v>1173</v>
      </c>
      <c r="D589" t="s">
        <v>1061</v>
      </c>
      <c r="E589" t="str">
        <f>"7326030557"</f>
        <v>7326030557</v>
      </c>
      <c r="F589" t="s">
        <v>528</v>
      </c>
      <c r="G589" t="s">
        <v>576</v>
      </c>
      <c r="H589" t="s">
        <v>1176</v>
      </c>
      <c r="I589" t="s">
        <v>17</v>
      </c>
      <c r="J589" t="s">
        <v>18</v>
      </c>
    </row>
    <row r="590" spans="1:10" hidden="1" x14ac:dyDescent="0.25">
      <c r="A590" t="s">
        <v>11</v>
      </c>
      <c r="B590" t="str">
        <f>"60/00101044-23"</f>
        <v>60/00101044-23</v>
      </c>
      <c r="C590" t="s">
        <v>420</v>
      </c>
      <c r="D590" t="s">
        <v>1061</v>
      </c>
      <c r="E590" t="str">
        <f>"7705034202"</f>
        <v>7705034202</v>
      </c>
      <c r="F590" t="s">
        <v>407</v>
      </c>
      <c r="G590" t="s">
        <v>1177</v>
      </c>
      <c r="H590" t="s">
        <v>1178</v>
      </c>
      <c r="I590" t="s">
        <v>17</v>
      </c>
      <c r="J590" t="s">
        <v>18</v>
      </c>
    </row>
    <row r="591" spans="1:10" hidden="1" x14ac:dyDescent="0.25">
      <c r="A591" t="s">
        <v>11</v>
      </c>
      <c r="B591" t="str">
        <f>"01-01-116308"</f>
        <v>01-01-116308</v>
      </c>
      <c r="C591" t="s">
        <v>559</v>
      </c>
      <c r="D591" t="s">
        <v>1179</v>
      </c>
      <c r="E591" t="str">
        <f>"352500101378"</f>
        <v>352500101378</v>
      </c>
      <c r="F591" t="s">
        <v>1180</v>
      </c>
      <c r="G591" t="s">
        <v>1181</v>
      </c>
      <c r="H591" t="s">
        <v>1182</v>
      </c>
      <c r="I591" t="s">
        <v>17</v>
      </c>
      <c r="J591" t="s">
        <v>18</v>
      </c>
    </row>
    <row r="592" spans="1:10" hidden="1" x14ac:dyDescent="0.25">
      <c r="A592" t="s">
        <v>11</v>
      </c>
      <c r="B592" t="str">
        <f>"28262455"</f>
        <v>28262455</v>
      </c>
      <c r="C592" t="s">
        <v>559</v>
      </c>
      <c r="D592" t="s">
        <v>1179</v>
      </c>
      <c r="E592" t="str">
        <f>"7721793895"</f>
        <v>7721793895</v>
      </c>
      <c r="F592" t="s">
        <v>109</v>
      </c>
      <c r="G592" t="s">
        <v>1183</v>
      </c>
      <c r="H592" t="s">
        <v>1184</v>
      </c>
      <c r="I592" t="s">
        <v>17</v>
      </c>
      <c r="J592" t="s">
        <v>18</v>
      </c>
    </row>
    <row r="593" spans="1:10" hidden="1" x14ac:dyDescent="0.25">
      <c r="A593" t="s">
        <v>11</v>
      </c>
      <c r="B593" t="str">
        <f>"28271408"</f>
        <v>28271408</v>
      </c>
      <c r="C593" t="s">
        <v>559</v>
      </c>
      <c r="D593" t="s">
        <v>1179</v>
      </c>
      <c r="E593" t="str">
        <f>"7721793895"</f>
        <v>7721793895</v>
      </c>
      <c r="F593" t="s">
        <v>109</v>
      </c>
      <c r="G593" t="s">
        <v>1185</v>
      </c>
      <c r="H593" t="s">
        <v>1186</v>
      </c>
      <c r="I593" t="s">
        <v>17</v>
      </c>
      <c r="J593" t="s">
        <v>21</v>
      </c>
    </row>
    <row r="594" spans="1:10" hidden="1" x14ac:dyDescent="0.25">
      <c r="A594" t="s">
        <v>11</v>
      </c>
      <c r="B594" t="str">
        <f>"28277715"</f>
        <v>28277715</v>
      </c>
      <c r="C594" t="s">
        <v>559</v>
      </c>
      <c r="D594" t="s">
        <v>1179</v>
      </c>
      <c r="E594" t="str">
        <f>"7721793895"</f>
        <v>7721793895</v>
      </c>
      <c r="F594" t="s">
        <v>109</v>
      </c>
      <c r="G594" t="s">
        <v>1187</v>
      </c>
      <c r="H594" t="s">
        <v>1188</v>
      </c>
      <c r="I594" t="s">
        <v>17</v>
      </c>
      <c r="J594" t="s">
        <v>18</v>
      </c>
    </row>
    <row r="595" spans="1:10" hidden="1" x14ac:dyDescent="0.25">
      <c r="A595" t="s">
        <v>11</v>
      </c>
      <c r="B595" t="str">
        <f>"3520/8174387922"</f>
        <v>3520/8174387922</v>
      </c>
      <c r="C595" t="s">
        <v>12</v>
      </c>
      <c r="D595" t="s">
        <v>1179</v>
      </c>
      <c r="E595" t="str">
        <f>"5032260402"</f>
        <v>5032260402</v>
      </c>
      <c r="F595" t="s">
        <v>341</v>
      </c>
      <c r="G595" t="s">
        <v>1189</v>
      </c>
      <c r="H595" t="s">
        <v>1190</v>
      </c>
      <c r="I595" t="s">
        <v>17</v>
      </c>
      <c r="J595" t="s">
        <v>18</v>
      </c>
    </row>
    <row r="596" spans="1:10" hidden="1" x14ac:dyDescent="0.25">
      <c r="A596" t="s">
        <v>11</v>
      </c>
      <c r="B596" t="str">
        <f>"1468"</f>
        <v>1468</v>
      </c>
      <c r="C596" t="s">
        <v>12</v>
      </c>
      <c r="D596" t="s">
        <v>1179</v>
      </c>
      <c r="E596" t="str">
        <f>"3525468034"</f>
        <v>3525468034</v>
      </c>
      <c r="F596" t="s">
        <v>1191</v>
      </c>
      <c r="G596" t="s">
        <v>1192</v>
      </c>
      <c r="H596" t="s">
        <v>1193</v>
      </c>
      <c r="I596" t="s">
        <v>17</v>
      </c>
      <c r="J596" t="s">
        <v>18</v>
      </c>
    </row>
    <row r="597" spans="1:10" hidden="1" x14ac:dyDescent="0.25">
      <c r="A597" t="s">
        <v>11</v>
      </c>
      <c r="B597" t="str">
        <f>"23-0667833"</f>
        <v>23-0667833</v>
      </c>
      <c r="C597" t="s">
        <v>12</v>
      </c>
      <c r="D597" t="s">
        <v>1179</v>
      </c>
      <c r="E597" t="str">
        <f>"7730533854"</f>
        <v>7730533854</v>
      </c>
      <c r="F597" t="s">
        <v>1194</v>
      </c>
      <c r="G597" t="s">
        <v>1195</v>
      </c>
      <c r="H597" t="s">
        <v>1196</v>
      </c>
      <c r="I597" t="s">
        <v>17</v>
      </c>
      <c r="J597" t="s">
        <v>18</v>
      </c>
    </row>
    <row r="598" spans="1:10" hidden="1" x14ac:dyDescent="0.25">
      <c r="A598" t="s">
        <v>11</v>
      </c>
      <c r="B598" t="str">
        <f>"1469"</f>
        <v>1469</v>
      </c>
      <c r="C598" t="s">
        <v>12</v>
      </c>
      <c r="D598" t="s">
        <v>1179</v>
      </c>
      <c r="E598" t="str">
        <f>"3525468034"</f>
        <v>3525468034</v>
      </c>
      <c r="F598" t="s">
        <v>1191</v>
      </c>
      <c r="G598" t="s">
        <v>1197</v>
      </c>
      <c r="H598" t="s">
        <v>1198</v>
      </c>
      <c r="I598" t="s">
        <v>17</v>
      </c>
      <c r="J598" t="s">
        <v>18</v>
      </c>
    </row>
    <row r="599" spans="1:10" hidden="1" x14ac:dyDescent="0.25">
      <c r="A599" t="s">
        <v>11</v>
      </c>
      <c r="B599" t="str">
        <f>"28284131"</f>
        <v>28284131</v>
      </c>
      <c r="C599" t="s">
        <v>508</v>
      </c>
      <c r="D599" t="s">
        <v>1179</v>
      </c>
      <c r="E599" t="str">
        <f>"7721793895"</f>
        <v>7721793895</v>
      </c>
      <c r="F599" t="s">
        <v>109</v>
      </c>
      <c r="G599" t="s">
        <v>1199</v>
      </c>
      <c r="H599" t="s">
        <v>1200</v>
      </c>
      <c r="I599" t="s">
        <v>17</v>
      </c>
      <c r="J599" t="s">
        <v>21</v>
      </c>
    </row>
    <row r="600" spans="1:10" hidden="1" x14ac:dyDescent="0.25">
      <c r="A600" t="s">
        <v>846</v>
      </c>
      <c r="B600" t="s">
        <v>847</v>
      </c>
      <c r="C600" t="s">
        <v>847</v>
      </c>
      <c r="D600" t="s">
        <v>1179</v>
      </c>
      <c r="E600" t="str">
        <f>"6950006259"</f>
        <v>6950006259</v>
      </c>
      <c r="F600" t="s">
        <v>626</v>
      </c>
      <c r="G600" t="s">
        <v>847</v>
      </c>
      <c r="H600" t="s">
        <v>1201</v>
      </c>
      <c r="I600" t="s">
        <v>17</v>
      </c>
      <c r="J600" t="s">
        <v>18</v>
      </c>
    </row>
    <row r="601" spans="1:10" hidden="1" x14ac:dyDescent="0.25">
      <c r="A601" t="s">
        <v>290</v>
      </c>
      <c r="B601" t="str">
        <f>"51"</f>
        <v>51</v>
      </c>
      <c r="C601" t="s">
        <v>49</v>
      </c>
      <c r="D601" t="s">
        <v>1179</v>
      </c>
      <c r="E601" t="str">
        <f>"6950006259"</f>
        <v>6950006259</v>
      </c>
      <c r="F601" t="s">
        <v>626</v>
      </c>
      <c r="G601" t="s">
        <v>1202</v>
      </c>
      <c r="H601" t="s">
        <v>1203</v>
      </c>
      <c r="I601" t="s">
        <v>17</v>
      </c>
      <c r="J601" t="s">
        <v>18</v>
      </c>
    </row>
    <row r="602" spans="1:10" hidden="1" x14ac:dyDescent="0.25">
      <c r="A602" t="s">
        <v>11</v>
      </c>
      <c r="B602" t="str">
        <f>"10581/350E"</f>
        <v>10581/350E</v>
      </c>
      <c r="C602" t="s">
        <v>65</v>
      </c>
      <c r="D602" t="s">
        <v>1179</v>
      </c>
      <c r="E602" t="str">
        <f>"5003052454"</f>
        <v>5003052454</v>
      </c>
      <c r="F602" t="s">
        <v>14</v>
      </c>
      <c r="G602" t="s">
        <v>1204</v>
      </c>
      <c r="H602" t="s">
        <v>1205</v>
      </c>
      <c r="I602" t="s">
        <v>17</v>
      </c>
      <c r="J602" t="s">
        <v>18</v>
      </c>
    </row>
    <row r="603" spans="1:10" hidden="1" x14ac:dyDescent="0.25">
      <c r="A603" t="s">
        <v>11</v>
      </c>
      <c r="B603" t="str">
        <f>"10582/350E"</f>
        <v>10582/350E</v>
      </c>
      <c r="C603" t="s">
        <v>65</v>
      </c>
      <c r="D603" t="s">
        <v>1179</v>
      </c>
      <c r="E603" t="str">
        <f>"5003052454"</f>
        <v>5003052454</v>
      </c>
      <c r="F603" t="s">
        <v>14</v>
      </c>
      <c r="G603" t="s">
        <v>1206</v>
      </c>
      <c r="H603" t="s">
        <v>1207</v>
      </c>
      <c r="I603" t="s">
        <v>17</v>
      </c>
      <c r="J603" t="s">
        <v>18</v>
      </c>
    </row>
    <row r="604" spans="1:10" hidden="1" x14ac:dyDescent="0.25">
      <c r="A604" t="s">
        <v>11</v>
      </c>
      <c r="B604" t="str">
        <f>"1482"</f>
        <v>1482</v>
      </c>
      <c r="C604" t="s">
        <v>65</v>
      </c>
      <c r="D604" t="s">
        <v>1179</v>
      </c>
      <c r="E604" t="str">
        <f>"3525468034"</f>
        <v>3525468034</v>
      </c>
      <c r="F604" t="s">
        <v>1191</v>
      </c>
      <c r="G604" t="s">
        <v>1208</v>
      </c>
      <c r="H604" t="s">
        <v>1209</v>
      </c>
      <c r="I604" t="s">
        <v>17</v>
      </c>
      <c r="J604" t="s">
        <v>18</v>
      </c>
    </row>
    <row r="605" spans="1:10" hidden="1" x14ac:dyDescent="0.25">
      <c r="A605" t="s">
        <v>11</v>
      </c>
      <c r="B605" t="str">
        <f>"3510/8174428473"</f>
        <v>3510/8174428473</v>
      </c>
      <c r="C605" t="s">
        <v>65</v>
      </c>
      <c r="D605" t="s">
        <v>1179</v>
      </c>
      <c r="E605" t="str">
        <f>"5032260402"</f>
        <v>5032260402</v>
      </c>
      <c r="F605" t="s">
        <v>341</v>
      </c>
      <c r="G605" t="s">
        <v>1210</v>
      </c>
      <c r="H605" t="s">
        <v>1211</v>
      </c>
      <c r="I605" t="s">
        <v>17</v>
      </c>
      <c r="J605" t="s">
        <v>18</v>
      </c>
    </row>
    <row r="606" spans="1:10" hidden="1" x14ac:dyDescent="0.25">
      <c r="A606" t="s">
        <v>11</v>
      </c>
      <c r="B606" t="str">
        <f>"856"</f>
        <v>856</v>
      </c>
      <c r="C606" t="s">
        <v>49</v>
      </c>
      <c r="D606" t="s">
        <v>1179</v>
      </c>
      <c r="E606" t="str">
        <f>"7704340969"</f>
        <v>7704340969</v>
      </c>
      <c r="F606" t="s">
        <v>76</v>
      </c>
      <c r="G606" t="s">
        <v>1212</v>
      </c>
      <c r="H606" t="s">
        <v>1213</v>
      </c>
      <c r="I606" t="s">
        <v>17</v>
      </c>
      <c r="J606" t="s">
        <v>18</v>
      </c>
    </row>
    <row r="607" spans="1:10" hidden="1" x14ac:dyDescent="0.25">
      <c r="A607" t="s">
        <v>11</v>
      </c>
      <c r="B607" t="str">
        <f>"891"</f>
        <v>891</v>
      </c>
      <c r="C607" t="s">
        <v>49</v>
      </c>
      <c r="D607" t="s">
        <v>1179</v>
      </c>
      <c r="E607" t="str">
        <f>"7704340969"</f>
        <v>7704340969</v>
      </c>
      <c r="F607" t="s">
        <v>76</v>
      </c>
      <c r="G607" t="s">
        <v>1214</v>
      </c>
      <c r="H607" t="s">
        <v>1215</v>
      </c>
      <c r="I607" t="s">
        <v>17</v>
      </c>
      <c r="J607" t="s">
        <v>18</v>
      </c>
    </row>
    <row r="608" spans="1:10" hidden="1" x14ac:dyDescent="0.25">
      <c r="A608" t="s">
        <v>11</v>
      </c>
      <c r="B608" t="str">
        <f>"918"</f>
        <v>918</v>
      </c>
      <c r="C608" t="s">
        <v>49</v>
      </c>
      <c r="D608" t="s">
        <v>1179</v>
      </c>
      <c r="E608" t="str">
        <f>"7704340969"</f>
        <v>7704340969</v>
      </c>
      <c r="F608" t="s">
        <v>76</v>
      </c>
      <c r="G608" t="s">
        <v>1216</v>
      </c>
      <c r="H608" t="s">
        <v>1217</v>
      </c>
      <c r="I608" t="s">
        <v>17</v>
      </c>
      <c r="J608" t="s">
        <v>18</v>
      </c>
    </row>
    <row r="609" spans="1:10" hidden="1" x14ac:dyDescent="0.25">
      <c r="A609" t="s">
        <v>11</v>
      </c>
      <c r="B609" t="str">
        <f>"961"</f>
        <v>961</v>
      </c>
      <c r="C609" t="s">
        <v>49</v>
      </c>
      <c r="D609" t="s">
        <v>1179</v>
      </c>
      <c r="E609" t="str">
        <f>"7704340969"</f>
        <v>7704340969</v>
      </c>
      <c r="F609" t="s">
        <v>76</v>
      </c>
      <c r="G609" t="s">
        <v>1218</v>
      </c>
      <c r="H609" t="s">
        <v>1219</v>
      </c>
      <c r="I609" t="s">
        <v>17</v>
      </c>
      <c r="J609" t="s">
        <v>18</v>
      </c>
    </row>
    <row r="610" spans="1:10" hidden="1" x14ac:dyDescent="0.25">
      <c r="A610" t="s">
        <v>11</v>
      </c>
      <c r="B610" t="str">
        <f>"2280"</f>
        <v>2280</v>
      </c>
      <c r="C610" t="s">
        <v>12</v>
      </c>
      <c r="D610" t="s">
        <v>1179</v>
      </c>
      <c r="E610" t="str">
        <f>"7825076677"</f>
        <v>7825076677</v>
      </c>
      <c r="F610" t="s">
        <v>891</v>
      </c>
      <c r="G610" t="s">
        <v>1220</v>
      </c>
      <c r="H610" t="s">
        <v>1221</v>
      </c>
      <c r="I610" t="s">
        <v>17</v>
      </c>
      <c r="J610" t="s">
        <v>18</v>
      </c>
    </row>
    <row r="611" spans="1:10" hidden="1" x14ac:dyDescent="0.25">
      <c r="A611" t="s">
        <v>11</v>
      </c>
      <c r="B611" t="str">
        <f>"UT-106894"</f>
        <v>UT-106894</v>
      </c>
      <c r="C611" t="s">
        <v>65</v>
      </c>
      <c r="D611" t="s">
        <v>1179</v>
      </c>
      <c r="E611" t="str">
        <f t="shared" ref="E611:E628" si="28">"7806385951"</f>
        <v>7806385951</v>
      </c>
      <c r="F611" t="s">
        <v>26</v>
      </c>
      <c r="G611" t="s">
        <v>1222</v>
      </c>
      <c r="H611" t="s">
        <v>1223</v>
      </c>
      <c r="I611" t="s">
        <v>17</v>
      </c>
      <c r="J611" t="s">
        <v>18</v>
      </c>
    </row>
    <row r="612" spans="1:10" hidden="1" x14ac:dyDescent="0.25">
      <c r="A612" t="s">
        <v>11</v>
      </c>
      <c r="B612" t="str">
        <f>"UT-106954"</f>
        <v>UT-106954</v>
      </c>
      <c r="C612" t="s">
        <v>65</v>
      </c>
      <c r="D612" t="s">
        <v>1179</v>
      </c>
      <c r="E612" t="str">
        <f t="shared" si="28"/>
        <v>7806385951</v>
      </c>
      <c r="F612" t="s">
        <v>26</v>
      </c>
      <c r="G612" t="s">
        <v>1224</v>
      </c>
      <c r="H612" t="s">
        <v>1225</v>
      </c>
      <c r="I612" t="s">
        <v>17</v>
      </c>
      <c r="J612" t="s">
        <v>18</v>
      </c>
    </row>
    <row r="613" spans="1:10" hidden="1" x14ac:dyDescent="0.25">
      <c r="A613" t="s">
        <v>11</v>
      </c>
      <c r="B613" t="str">
        <f>"UT-106866"</f>
        <v>UT-106866</v>
      </c>
      <c r="C613" t="s">
        <v>65</v>
      </c>
      <c r="D613" t="s">
        <v>1179</v>
      </c>
      <c r="E613" t="str">
        <f t="shared" si="28"/>
        <v>7806385951</v>
      </c>
      <c r="F613" t="s">
        <v>26</v>
      </c>
      <c r="G613" t="s">
        <v>1226</v>
      </c>
      <c r="H613" t="s">
        <v>1227</v>
      </c>
      <c r="I613" t="s">
        <v>17</v>
      </c>
      <c r="J613" t="s">
        <v>18</v>
      </c>
    </row>
    <row r="614" spans="1:10" hidden="1" x14ac:dyDescent="0.25">
      <c r="A614" t="s">
        <v>11</v>
      </c>
      <c r="B614" t="str">
        <f>"UT-106867"</f>
        <v>UT-106867</v>
      </c>
      <c r="C614" t="s">
        <v>65</v>
      </c>
      <c r="D614" t="s">
        <v>1179</v>
      </c>
      <c r="E614" t="str">
        <f t="shared" si="28"/>
        <v>7806385951</v>
      </c>
      <c r="F614" t="s">
        <v>26</v>
      </c>
      <c r="G614" t="s">
        <v>1228</v>
      </c>
      <c r="H614" t="s">
        <v>1229</v>
      </c>
      <c r="I614" t="s">
        <v>17</v>
      </c>
      <c r="J614" t="s">
        <v>18</v>
      </c>
    </row>
    <row r="615" spans="1:10" hidden="1" x14ac:dyDescent="0.25">
      <c r="A615" t="s">
        <v>11</v>
      </c>
      <c r="B615" t="str">
        <f>"UT-106893"</f>
        <v>UT-106893</v>
      </c>
      <c r="C615" t="s">
        <v>65</v>
      </c>
      <c r="D615" t="s">
        <v>1179</v>
      </c>
      <c r="E615" t="str">
        <f t="shared" si="28"/>
        <v>7806385951</v>
      </c>
      <c r="F615" t="s">
        <v>26</v>
      </c>
      <c r="G615" t="s">
        <v>1230</v>
      </c>
      <c r="H615" t="s">
        <v>1231</v>
      </c>
      <c r="I615" t="s">
        <v>17</v>
      </c>
      <c r="J615" t="s">
        <v>18</v>
      </c>
    </row>
    <row r="616" spans="1:10" hidden="1" x14ac:dyDescent="0.25">
      <c r="A616" t="s">
        <v>11</v>
      </c>
      <c r="B616" t="str">
        <f>"UT-106915"</f>
        <v>UT-106915</v>
      </c>
      <c r="C616" t="s">
        <v>65</v>
      </c>
      <c r="D616" t="s">
        <v>1179</v>
      </c>
      <c r="E616" t="str">
        <f t="shared" si="28"/>
        <v>7806385951</v>
      </c>
      <c r="F616" t="s">
        <v>26</v>
      </c>
      <c r="G616" t="s">
        <v>1232</v>
      </c>
      <c r="H616" t="s">
        <v>1233</v>
      </c>
      <c r="I616" t="s">
        <v>17</v>
      </c>
      <c r="J616" t="s">
        <v>18</v>
      </c>
    </row>
    <row r="617" spans="1:10" hidden="1" x14ac:dyDescent="0.25">
      <c r="A617" t="s">
        <v>11</v>
      </c>
      <c r="B617" t="str">
        <f>"UT-106916"</f>
        <v>UT-106916</v>
      </c>
      <c r="C617" t="s">
        <v>65</v>
      </c>
      <c r="D617" t="s">
        <v>1179</v>
      </c>
      <c r="E617" t="str">
        <f t="shared" si="28"/>
        <v>7806385951</v>
      </c>
      <c r="F617" t="s">
        <v>26</v>
      </c>
      <c r="G617" t="s">
        <v>1234</v>
      </c>
      <c r="H617" t="s">
        <v>1235</v>
      </c>
      <c r="I617" t="s">
        <v>17</v>
      </c>
      <c r="J617" t="s">
        <v>18</v>
      </c>
    </row>
    <row r="618" spans="1:10" hidden="1" x14ac:dyDescent="0.25">
      <c r="A618" t="s">
        <v>11</v>
      </c>
      <c r="B618" t="str">
        <f>"UT-106917"</f>
        <v>UT-106917</v>
      </c>
      <c r="C618" t="s">
        <v>65</v>
      </c>
      <c r="D618" t="s">
        <v>1179</v>
      </c>
      <c r="E618" t="str">
        <f t="shared" si="28"/>
        <v>7806385951</v>
      </c>
      <c r="F618" t="s">
        <v>26</v>
      </c>
      <c r="G618" t="s">
        <v>1236</v>
      </c>
      <c r="H618" t="s">
        <v>1237</v>
      </c>
      <c r="I618" t="s">
        <v>17</v>
      </c>
      <c r="J618" t="s">
        <v>18</v>
      </c>
    </row>
    <row r="619" spans="1:10" hidden="1" x14ac:dyDescent="0.25">
      <c r="A619" t="s">
        <v>11</v>
      </c>
      <c r="B619" t="str">
        <f>"UT-106919"</f>
        <v>UT-106919</v>
      </c>
      <c r="C619" t="s">
        <v>65</v>
      </c>
      <c r="D619" t="s">
        <v>1179</v>
      </c>
      <c r="E619" t="str">
        <f t="shared" si="28"/>
        <v>7806385951</v>
      </c>
      <c r="F619" t="s">
        <v>26</v>
      </c>
      <c r="G619" t="s">
        <v>1238</v>
      </c>
      <c r="H619" t="s">
        <v>1239</v>
      </c>
      <c r="I619" t="s">
        <v>17</v>
      </c>
      <c r="J619" t="s">
        <v>18</v>
      </c>
    </row>
    <row r="620" spans="1:10" hidden="1" x14ac:dyDescent="0.25">
      <c r="A620" t="s">
        <v>11</v>
      </c>
      <c r="B620" t="str">
        <f>"UT-106921"</f>
        <v>UT-106921</v>
      </c>
      <c r="C620" t="s">
        <v>65</v>
      </c>
      <c r="D620" t="s">
        <v>1179</v>
      </c>
      <c r="E620" t="str">
        <f t="shared" si="28"/>
        <v>7806385951</v>
      </c>
      <c r="F620" t="s">
        <v>26</v>
      </c>
      <c r="G620" t="s">
        <v>1240</v>
      </c>
      <c r="H620" t="s">
        <v>1241</v>
      </c>
      <c r="I620" t="s">
        <v>17</v>
      </c>
      <c r="J620" t="s">
        <v>18</v>
      </c>
    </row>
    <row r="621" spans="1:10" hidden="1" x14ac:dyDescent="0.25">
      <c r="A621" t="s">
        <v>11</v>
      </c>
      <c r="B621" t="str">
        <f>"UT-106953"</f>
        <v>UT-106953</v>
      </c>
      <c r="C621" t="s">
        <v>65</v>
      </c>
      <c r="D621" t="s">
        <v>1179</v>
      </c>
      <c r="E621" t="str">
        <f t="shared" si="28"/>
        <v>7806385951</v>
      </c>
      <c r="F621" t="s">
        <v>26</v>
      </c>
      <c r="G621" t="s">
        <v>1242</v>
      </c>
      <c r="H621" t="s">
        <v>1243</v>
      </c>
      <c r="I621" t="s">
        <v>17</v>
      </c>
      <c r="J621" t="s">
        <v>18</v>
      </c>
    </row>
    <row r="622" spans="1:10" hidden="1" x14ac:dyDescent="0.25">
      <c r="A622" t="s">
        <v>11</v>
      </c>
      <c r="B622" t="str">
        <f>"UT-106956"</f>
        <v>UT-106956</v>
      </c>
      <c r="C622" t="s">
        <v>65</v>
      </c>
      <c r="D622" t="s">
        <v>1179</v>
      </c>
      <c r="E622" t="str">
        <f t="shared" si="28"/>
        <v>7806385951</v>
      </c>
      <c r="F622" t="s">
        <v>26</v>
      </c>
      <c r="G622" t="s">
        <v>1244</v>
      </c>
      <c r="H622" t="s">
        <v>1245</v>
      </c>
      <c r="I622" t="s">
        <v>17</v>
      </c>
      <c r="J622" t="s">
        <v>18</v>
      </c>
    </row>
    <row r="623" spans="1:10" hidden="1" x14ac:dyDescent="0.25">
      <c r="A623" t="s">
        <v>11</v>
      </c>
      <c r="B623" t="str">
        <f>"UT-106976"</f>
        <v>UT-106976</v>
      </c>
      <c r="C623" t="s">
        <v>65</v>
      </c>
      <c r="D623" t="s">
        <v>1179</v>
      </c>
      <c r="E623" t="str">
        <f t="shared" si="28"/>
        <v>7806385951</v>
      </c>
      <c r="F623" t="s">
        <v>26</v>
      </c>
      <c r="G623" t="s">
        <v>1246</v>
      </c>
      <c r="H623" t="s">
        <v>1247</v>
      </c>
      <c r="I623" t="s">
        <v>17</v>
      </c>
      <c r="J623" t="s">
        <v>18</v>
      </c>
    </row>
    <row r="624" spans="1:10" hidden="1" x14ac:dyDescent="0.25">
      <c r="A624" t="s">
        <v>11</v>
      </c>
      <c r="B624" t="str">
        <f>"UT-107040"</f>
        <v>UT-107040</v>
      </c>
      <c r="C624" t="s">
        <v>65</v>
      </c>
      <c r="D624" t="s">
        <v>1179</v>
      </c>
      <c r="E624" t="str">
        <f t="shared" si="28"/>
        <v>7806385951</v>
      </c>
      <c r="F624" t="s">
        <v>26</v>
      </c>
      <c r="G624" t="s">
        <v>1248</v>
      </c>
      <c r="H624" t="s">
        <v>1249</v>
      </c>
      <c r="I624" t="s">
        <v>17</v>
      </c>
      <c r="J624" t="s">
        <v>18</v>
      </c>
    </row>
    <row r="625" spans="1:10" hidden="1" x14ac:dyDescent="0.25">
      <c r="A625" t="s">
        <v>11</v>
      </c>
      <c r="B625" t="str">
        <f>"UT-107070"</f>
        <v>UT-107070</v>
      </c>
      <c r="C625" t="s">
        <v>65</v>
      </c>
      <c r="D625" t="s">
        <v>1179</v>
      </c>
      <c r="E625" t="str">
        <f t="shared" si="28"/>
        <v>7806385951</v>
      </c>
      <c r="F625" t="s">
        <v>26</v>
      </c>
      <c r="G625" t="s">
        <v>1250</v>
      </c>
      <c r="H625" t="s">
        <v>1251</v>
      </c>
      <c r="I625" t="s">
        <v>17</v>
      </c>
      <c r="J625" t="s">
        <v>18</v>
      </c>
    </row>
    <row r="626" spans="1:10" hidden="1" x14ac:dyDescent="0.25">
      <c r="A626" t="s">
        <v>11</v>
      </c>
      <c r="B626" t="str">
        <f>"UT-107097"</f>
        <v>UT-107097</v>
      </c>
      <c r="C626" t="s">
        <v>65</v>
      </c>
      <c r="D626" t="s">
        <v>1179</v>
      </c>
      <c r="E626" t="str">
        <f t="shared" si="28"/>
        <v>7806385951</v>
      </c>
      <c r="F626" t="s">
        <v>26</v>
      </c>
      <c r="G626" t="s">
        <v>1252</v>
      </c>
      <c r="H626" t="s">
        <v>1253</v>
      </c>
      <c r="I626" t="s">
        <v>17</v>
      </c>
      <c r="J626" t="s">
        <v>18</v>
      </c>
    </row>
    <row r="627" spans="1:10" hidden="1" x14ac:dyDescent="0.25">
      <c r="A627" t="s">
        <v>11</v>
      </c>
      <c r="B627" t="str">
        <f>"UT-107109"</f>
        <v>UT-107109</v>
      </c>
      <c r="C627" t="s">
        <v>65</v>
      </c>
      <c r="D627" t="s">
        <v>1179</v>
      </c>
      <c r="E627" t="str">
        <f t="shared" si="28"/>
        <v>7806385951</v>
      </c>
      <c r="F627" t="s">
        <v>26</v>
      </c>
      <c r="G627" t="s">
        <v>1254</v>
      </c>
      <c r="H627" t="s">
        <v>1255</v>
      </c>
      <c r="I627" t="s">
        <v>17</v>
      </c>
      <c r="J627" t="s">
        <v>18</v>
      </c>
    </row>
    <row r="628" spans="1:10" hidden="1" x14ac:dyDescent="0.25">
      <c r="A628" t="s">
        <v>11</v>
      </c>
      <c r="B628" t="str">
        <f>"UT-107110"</f>
        <v>UT-107110</v>
      </c>
      <c r="C628" t="s">
        <v>65</v>
      </c>
      <c r="D628" t="s">
        <v>1179</v>
      </c>
      <c r="E628" t="str">
        <f t="shared" si="28"/>
        <v>7806385951</v>
      </c>
      <c r="F628" t="s">
        <v>26</v>
      </c>
      <c r="G628" t="s">
        <v>1256</v>
      </c>
      <c r="H628" t="s">
        <v>1257</v>
      </c>
      <c r="I628" t="s">
        <v>17</v>
      </c>
      <c r="J628" t="s">
        <v>18</v>
      </c>
    </row>
    <row r="629" spans="1:10" hidden="1" x14ac:dyDescent="0.25">
      <c r="A629" t="s">
        <v>11</v>
      </c>
      <c r="B629" t="str">
        <f>"2873"</f>
        <v>2873</v>
      </c>
      <c r="C629" t="s">
        <v>12</v>
      </c>
      <c r="D629" t="s">
        <v>1179</v>
      </c>
      <c r="E629" t="str">
        <f>"3528267022"</f>
        <v>3528267022</v>
      </c>
      <c r="F629" t="s">
        <v>1258</v>
      </c>
      <c r="G629" t="s">
        <v>622</v>
      </c>
      <c r="H629" t="s">
        <v>1259</v>
      </c>
      <c r="I629" t="s">
        <v>17</v>
      </c>
      <c r="J629" t="s">
        <v>18</v>
      </c>
    </row>
    <row r="630" spans="1:10" hidden="1" x14ac:dyDescent="0.25">
      <c r="A630" t="s">
        <v>11</v>
      </c>
      <c r="B630" t="str">
        <f>"UT-106865"</f>
        <v>UT-106865</v>
      </c>
      <c r="C630" t="s">
        <v>65</v>
      </c>
      <c r="D630" t="s">
        <v>1179</v>
      </c>
      <c r="E630" t="str">
        <f>"7806385951"</f>
        <v>7806385951</v>
      </c>
      <c r="F630" t="s">
        <v>26</v>
      </c>
      <c r="G630" t="s">
        <v>1260</v>
      </c>
      <c r="H630" t="s">
        <v>1261</v>
      </c>
      <c r="I630" t="s">
        <v>17</v>
      </c>
      <c r="J630" t="s">
        <v>18</v>
      </c>
    </row>
    <row r="631" spans="1:10" hidden="1" x14ac:dyDescent="0.25">
      <c r="A631" t="s">
        <v>11</v>
      </c>
      <c r="B631" t="str">
        <f>"UT-106920"</f>
        <v>UT-106920</v>
      </c>
      <c r="C631" t="s">
        <v>65</v>
      </c>
      <c r="D631" t="s">
        <v>1179</v>
      </c>
      <c r="E631" t="str">
        <f>"7806385951"</f>
        <v>7806385951</v>
      </c>
      <c r="F631" t="s">
        <v>26</v>
      </c>
      <c r="G631" t="s">
        <v>1262</v>
      </c>
      <c r="H631" t="s">
        <v>1263</v>
      </c>
      <c r="I631" t="s">
        <v>17</v>
      </c>
      <c r="J631" t="s">
        <v>18</v>
      </c>
    </row>
    <row r="632" spans="1:10" hidden="1" x14ac:dyDescent="0.25">
      <c r="A632" t="s">
        <v>11</v>
      </c>
      <c r="B632" t="str">
        <f>"UT-106868"</f>
        <v>UT-106868</v>
      </c>
      <c r="C632" t="s">
        <v>65</v>
      </c>
      <c r="D632" t="s">
        <v>1179</v>
      </c>
      <c r="E632" t="str">
        <f>"7806385951"</f>
        <v>7806385951</v>
      </c>
      <c r="F632" t="s">
        <v>26</v>
      </c>
      <c r="G632" t="s">
        <v>1264</v>
      </c>
      <c r="H632" t="s">
        <v>1265</v>
      </c>
      <c r="I632" t="s">
        <v>17</v>
      </c>
      <c r="J632" t="s">
        <v>18</v>
      </c>
    </row>
    <row r="633" spans="1:10" x14ac:dyDescent="0.25">
      <c r="A633" t="s">
        <v>1266</v>
      </c>
      <c r="B633" t="str">
        <f>"38949"</f>
        <v>38949</v>
      </c>
      <c r="C633" t="s">
        <v>65</v>
      </c>
      <c r="D633" t="s">
        <v>1179</v>
      </c>
      <c r="E633" t="str">
        <f>"352500101378"</f>
        <v>352500101378</v>
      </c>
      <c r="F633" t="s">
        <v>1180</v>
      </c>
      <c r="G633" t="s">
        <v>847</v>
      </c>
      <c r="H633" t="s">
        <v>1267</v>
      </c>
      <c r="I633" t="s">
        <v>17</v>
      </c>
      <c r="J633" t="s">
        <v>166</v>
      </c>
    </row>
    <row r="634" spans="1:10" hidden="1" x14ac:dyDescent="0.25">
      <c r="A634" t="s">
        <v>11</v>
      </c>
      <c r="B634" t="str">
        <f>"SR110023241"</f>
        <v>SR110023241</v>
      </c>
      <c r="C634" t="s">
        <v>100</v>
      </c>
      <c r="D634" t="s">
        <v>1179</v>
      </c>
      <c r="E634" t="str">
        <f>"4725006920"</f>
        <v>4725006920</v>
      </c>
      <c r="F634" t="s">
        <v>101</v>
      </c>
      <c r="G634" t="s">
        <v>1268</v>
      </c>
      <c r="H634" t="s">
        <v>1269</v>
      </c>
      <c r="I634" t="s">
        <v>17</v>
      </c>
      <c r="J634" t="s">
        <v>18</v>
      </c>
    </row>
    <row r="635" spans="1:10" hidden="1" x14ac:dyDescent="0.25">
      <c r="A635" t="s">
        <v>11</v>
      </c>
      <c r="B635" t="str">
        <f>"156"</f>
        <v>156</v>
      </c>
      <c r="C635" t="s">
        <v>49</v>
      </c>
      <c r="D635" t="s">
        <v>1179</v>
      </c>
      <c r="E635" t="str">
        <f>"7702392168"</f>
        <v>7702392168</v>
      </c>
      <c r="F635" t="s">
        <v>97</v>
      </c>
      <c r="G635" t="s">
        <v>1270</v>
      </c>
      <c r="H635" t="s">
        <v>1271</v>
      </c>
      <c r="I635" t="s">
        <v>17</v>
      </c>
      <c r="J635" t="s">
        <v>18</v>
      </c>
    </row>
    <row r="636" spans="1:10" hidden="1" x14ac:dyDescent="0.25">
      <c r="A636" t="s">
        <v>11</v>
      </c>
      <c r="B636" t="str">
        <f>"SR110023280"</f>
        <v>SR110023280</v>
      </c>
      <c r="C636" t="s">
        <v>100</v>
      </c>
      <c r="D636" t="s">
        <v>1179</v>
      </c>
      <c r="E636" t="str">
        <f t="shared" ref="E636:E643" si="29">"4725006920"</f>
        <v>4725006920</v>
      </c>
      <c r="F636" t="s">
        <v>101</v>
      </c>
      <c r="G636" t="s">
        <v>1272</v>
      </c>
      <c r="H636" t="s">
        <v>1273</v>
      </c>
      <c r="I636" t="s">
        <v>17</v>
      </c>
      <c r="J636" t="s">
        <v>18</v>
      </c>
    </row>
    <row r="637" spans="1:10" hidden="1" x14ac:dyDescent="0.25">
      <c r="A637" t="s">
        <v>11</v>
      </c>
      <c r="B637" t="str">
        <f>"SR110023238"</f>
        <v>SR110023238</v>
      </c>
      <c r="C637" t="s">
        <v>100</v>
      </c>
      <c r="D637" t="s">
        <v>1179</v>
      </c>
      <c r="E637" t="str">
        <f t="shared" si="29"/>
        <v>4725006920</v>
      </c>
      <c r="F637" t="s">
        <v>101</v>
      </c>
      <c r="G637" t="s">
        <v>1274</v>
      </c>
      <c r="H637" t="s">
        <v>1275</v>
      </c>
      <c r="I637" t="s">
        <v>17</v>
      </c>
      <c r="J637" t="s">
        <v>18</v>
      </c>
    </row>
    <row r="638" spans="1:10" hidden="1" x14ac:dyDescent="0.25">
      <c r="A638" t="s">
        <v>11</v>
      </c>
      <c r="B638" t="str">
        <f>"SR110023233"</f>
        <v>SR110023233</v>
      </c>
      <c r="C638" t="s">
        <v>100</v>
      </c>
      <c r="D638" t="s">
        <v>1179</v>
      </c>
      <c r="E638" t="str">
        <f t="shared" si="29"/>
        <v>4725006920</v>
      </c>
      <c r="F638" t="s">
        <v>101</v>
      </c>
      <c r="G638" t="s">
        <v>1276</v>
      </c>
      <c r="H638" t="s">
        <v>1277</v>
      </c>
      <c r="I638" t="s">
        <v>17</v>
      </c>
      <c r="J638" t="s">
        <v>18</v>
      </c>
    </row>
    <row r="639" spans="1:10" hidden="1" x14ac:dyDescent="0.25">
      <c r="A639" t="s">
        <v>11</v>
      </c>
      <c r="B639" t="str">
        <f>"SR110023231"</f>
        <v>SR110023231</v>
      </c>
      <c r="C639" t="s">
        <v>100</v>
      </c>
      <c r="D639" t="s">
        <v>1179</v>
      </c>
      <c r="E639" t="str">
        <f t="shared" si="29"/>
        <v>4725006920</v>
      </c>
      <c r="F639" t="s">
        <v>101</v>
      </c>
      <c r="G639" t="s">
        <v>1278</v>
      </c>
      <c r="H639" t="s">
        <v>1279</v>
      </c>
      <c r="I639" t="s">
        <v>17</v>
      </c>
      <c r="J639" t="s">
        <v>18</v>
      </c>
    </row>
    <row r="640" spans="1:10" hidden="1" x14ac:dyDescent="0.25">
      <c r="A640" t="s">
        <v>11</v>
      </c>
      <c r="B640" t="str">
        <f>"SR110023228"</f>
        <v>SR110023228</v>
      </c>
      <c r="C640" t="s">
        <v>100</v>
      </c>
      <c r="D640" t="s">
        <v>1179</v>
      </c>
      <c r="E640" t="str">
        <f t="shared" si="29"/>
        <v>4725006920</v>
      </c>
      <c r="F640" t="s">
        <v>101</v>
      </c>
      <c r="G640" t="s">
        <v>1280</v>
      </c>
      <c r="H640" t="s">
        <v>1281</v>
      </c>
      <c r="I640" t="s">
        <v>17</v>
      </c>
      <c r="J640" t="s">
        <v>18</v>
      </c>
    </row>
    <row r="641" spans="1:10" hidden="1" x14ac:dyDescent="0.25">
      <c r="A641" t="s">
        <v>11</v>
      </c>
      <c r="B641" t="str">
        <f>"SR110023282"</f>
        <v>SR110023282</v>
      </c>
      <c r="C641" t="s">
        <v>100</v>
      </c>
      <c r="D641" t="s">
        <v>1179</v>
      </c>
      <c r="E641" t="str">
        <f t="shared" si="29"/>
        <v>4725006920</v>
      </c>
      <c r="F641" t="s">
        <v>101</v>
      </c>
      <c r="G641" t="s">
        <v>1282</v>
      </c>
      <c r="H641" t="s">
        <v>1283</v>
      </c>
      <c r="I641" t="s">
        <v>17</v>
      </c>
      <c r="J641" t="s">
        <v>18</v>
      </c>
    </row>
    <row r="642" spans="1:10" hidden="1" x14ac:dyDescent="0.25">
      <c r="A642" t="s">
        <v>11</v>
      </c>
      <c r="B642" t="str">
        <f>"SR110023281"</f>
        <v>SR110023281</v>
      </c>
      <c r="C642" t="s">
        <v>100</v>
      </c>
      <c r="D642" t="s">
        <v>1179</v>
      </c>
      <c r="E642" t="str">
        <f t="shared" si="29"/>
        <v>4725006920</v>
      </c>
      <c r="F642" t="s">
        <v>101</v>
      </c>
      <c r="G642" t="s">
        <v>1284</v>
      </c>
      <c r="H642" t="s">
        <v>1285</v>
      </c>
      <c r="I642" t="s">
        <v>17</v>
      </c>
      <c r="J642" t="s">
        <v>18</v>
      </c>
    </row>
    <row r="643" spans="1:10" hidden="1" x14ac:dyDescent="0.25">
      <c r="A643" t="s">
        <v>11</v>
      </c>
      <c r="B643" t="str">
        <f>"SR110023276"</f>
        <v>SR110023276</v>
      </c>
      <c r="C643" t="s">
        <v>100</v>
      </c>
      <c r="D643" t="s">
        <v>1179</v>
      </c>
      <c r="E643" t="str">
        <f t="shared" si="29"/>
        <v>4725006920</v>
      </c>
      <c r="F643" t="s">
        <v>101</v>
      </c>
      <c r="G643" t="s">
        <v>1286</v>
      </c>
      <c r="H643" t="s">
        <v>1287</v>
      </c>
      <c r="I643" t="s">
        <v>17</v>
      </c>
      <c r="J643" t="s">
        <v>18</v>
      </c>
    </row>
    <row r="644" spans="1:10" hidden="1" x14ac:dyDescent="0.25">
      <c r="A644" t="s">
        <v>11</v>
      </c>
      <c r="B644" t="str">
        <f>"12570/350G"</f>
        <v>12570/350G</v>
      </c>
      <c r="C644" t="s">
        <v>100</v>
      </c>
      <c r="D644" t="s">
        <v>1179</v>
      </c>
      <c r="E644" t="str">
        <f t="shared" ref="E644:E655" si="30">"5003052454"</f>
        <v>5003052454</v>
      </c>
      <c r="F644" t="s">
        <v>14</v>
      </c>
      <c r="G644" t="s">
        <v>1288</v>
      </c>
      <c r="H644" t="s">
        <v>1289</v>
      </c>
      <c r="I644" t="s">
        <v>17</v>
      </c>
      <c r="J644" t="s">
        <v>18</v>
      </c>
    </row>
    <row r="645" spans="1:10" hidden="1" x14ac:dyDescent="0.25">
      <c r="A645" t="s">
        <v>11</v>
      </c>
      <c r="B645" t="str">
        <f>"12571/350G"</f>
        <v>12571/350G</v>
      </c>
      <c r="C645" t="s">
        <v>100</v>
      </c>
      <c r="D645" t="s">
        <v>1179</v>
      </c>
      <c r="E645" t="str">
        <f t="shared" si="30"/>
        <v>5003052454</v>
      </c>
      <c r="F645" t="s">
        <v>14</v>
      </c>
      <c r="G645" t="s">
        <v>1290</v>
      </c>
      <c r="H645" t="s">
        <v>1291</v>
      </c>
      <c r="I645" t="s">
        <v>17</v>
      </c>
      <c r="J645" t="s">
        <v>18</v>
      </c>
    </row>
    <row r="646" spans="1:10" hidden="1" x14ac:dyDescent="0.25">
      <c r="A646" t="s">
        <v>11</v>
      </c>
      <c r="B646" t="str">
        <f>"12619/350G"</f>
        <v>12619/350G</v>
      </c>
      <c r="C646" t="s">
        <v>100</v>
      </c>
      <c r="D646" t="s">
        <v>1179</v>
      </c>
      <c r="E646" t="str">
        <f t="shared" si="30"/>
        <v>5003052454</v>
      </c>
      <c r="F646" t="s">
        <v>14</v>
      </c>
      <c r="G646" t="s">
        <v>1292</v>
      </c>
      <c r="H646" t="s">
        <v>1293</v>
      </c>
      <c r="I646" t="s">
        <v>17</v>
      </c>
      <c r="J646" t="s">
        <v>18</v>
      </c>
    </row>
    <row r="647" spans="1:10" hidden="1" x14ac:dyDescent="0.25">
      <c r="A647" t="s">
        <v>11</v>
      </c>
      <c r="B647" t="str">
        <f>"12682/350G"</f>
        <v>12682/350G</v>
      </c>
      <c r="C647" t="s">
        <v>100</v>
      </c>
      <c r="D647" t="s">
        <v>1179</v>
      </c>
      <c r="E647" t="str">
        <f t="shared" si="30"/>
        <v>5003052454</v>
      </c>
      <c r="F647" t="s">
        <v>14</v>
      </c>
      <c r="G647" t="s">
        <v>1294</v>
      </c>
      <c r="H647" t="s">
        <v>1295</v>
      </c>
      <c r="I647" t="s">
        <v>17</v>
      </c>
      <c r="J647" t="s">
        <v>18</v>
      </c>
    </row>
    <row r="648" spans="1:10" hidden="1" x14ac:dyDescent="0.25">
      <c r="A648" t="s">
        <v>11</v>
      </c>
      <c r="B648" t="str">
        <f>"10628/350E"</f>
        <v>10628/350E</v>
      </c>
      <c r="C648" t="s">
        <v>100</v>
      </c>
      <c r="D648" t="s">
        <v>1179</v>
      </c>
      <c r="E648" t="str">
        <f t="shared" si="30"/>
        <v>5003052454</v>
      </c>
      <c r="F648" t="s">
        <v>14</v>
      </c>
      <c r="G648" t="s">
        <v>1296</v>
      </c>
      <c r="H648" t="s">
        <v>1297</v>
      </c>
      <c r="I648" t="s">
        <v>17</v>
      </c>
      <c r="J648" t="s">
        <v>18</v>
      </c>
    </row>
    <row r="649" spans="1:10" hidden="1" x14ac:dyDescent="0.25">
      <c r="A649" t="s">
        <v>11</v>
      </c>
      <c r="B649" t="str">
        <f>"10629/350E"</f>
        <v>10629/350E</v>
      </c>
      <c r="C649" t="s">
        <v>100</v>
      </c>
      <c r="D649" t="s">
        <v>1179</v>
      </c>
      <c r="E649" t="str">
        <f t="shared" si="30"/>
        <v>5003052454</v>
      </c>
      <c r="F649" t="s">
        <v>14</v>
      </c>
      <c r="G649" t="s">
        <v>1298</v>
      </c>
      <c r="H649" t="s">
        <v>1299</v>
      </c>
      <c r="I649" t="s">
        <v>17</v>
      </c>
      <c r="J649" t="s">
        <v>18</v>
      </c>
    </row>
    <row r="650" spans="1:10" hidden="1" x14ac:dyDescent="0.25">
      <c r="A650" t="s">
        <v>11</v>
      </c>
      <c r="B650" t="str">
        <f>"10668/350E"</f>
        <v>10668/350E</v>
      </c>
      <c r="C650" t="s">
        <v>100</v>
      </c>
      <c r="D650" t="s">
        <v>1179</v>
      </c>
      <c r="E650" t="str">
        <f t="shared" si="30"/>
        <v>5003052454</v>
      </c>
      <c r="F650" t="s">
        <v>14</v>
      </c>
      <c r="G650" t="s">
        <v>1300</v>
      </c>
      <c r="H650" t="s">
        <v>1301</v>
      </c>
      <c r="I650" t="s">
        <v>17</v>
      </c>
      <c r="J650" t="s">
        <v>18</v>
      </c>
    </row>
    <row r="651" spans="1:10" hidden="1" x14ac:dyDescent="0.25">
      <c r="A651" t="s">
        <v>11</v>
      </c>
      <c r="B651" t="str">
        <f>"10669/350E"</f>
        <v>10669/350E</v>
      </c>
      <c r="C651" t="s">
        <v>100</v>
      </c>
      <c r="D651" t="s">
        <v>1179</v>
      </c>
      <c r="E651" t="str">
        <f t="shared" si="30"/>
        <v>5003052454</v>
      </c>
      <c r="F651" t="s">
        <v>14</v>
      </c>
      <c r="G651" t="s">
        <v>1302</v>
      </c>
      <c r="H651" t="s">
        <v>1303</v>
      </c>
      <c r="I651" t="s">
        <v>17</v>
      </c>
      <c r="J651" t="s">
        <v>18</v>
      </c>
    </row>
    <row r="652" spans="1:10" hidden="1" x14ac:dyDescent="0.25">
      <c r="A652" t="s">
        <v>11</v>
      </c>
      <c r="B652" t="str">
        <f>"10704/350E"</f>
        <v>10704/350E</v>
      </c>
      <c r="C652" t="s">
        <v>100</v>
      </c>
      <c r="D652" t="s">
        <v>1179</v>
      </c>
      <c r="E652" t="str">
        <f t="shared" si="30"/>
        <v>5003052454</v>
      </c>
      <c r="F652" t="s">
        <v>14</v>
      </c>
      <c r="G652" t="s">
        <v>1304</v>
      </c>
      <c r="H652" t="s">
        <v>1305</v>
      </c>
      <c r="I652" t="s">
        <v>17</v>
      </c>
      <c r="J652" t="s">
        <v>18</v>
      </c>
    </row>
    <row r="653" spans="1:10" hidden="1" x14ac:dyDescent="0.25">
      <c r="A653" t="s">
        <v>11</v>
      </c>
      <c r="B653" t="str">
        <f>"10705/350E"</f>
        <v>10705/350E</v>
      </c>
      <c r="C653" t="s">
        <v>100</v>
      </c>
      <c r="D653" t="s">
        <v>1179</v>
      </c>
      <c r="E653" t="str">
        <f t="shared" si="30"/>
        <v>5003052454</v>
      </c>
      <c r="F653" t="s">
        <v>14</v>
      </c>
      <c r="G653" t="s">
        <v>1306</v>
      </c>
      <c r="H653" t="s">
        <v>1307</v>
      </c>
      <c r="I653" t="s">
        <v>17</v>
      </c>
      <c r="J653" t="s">
        <v>18</v>
      </c>
    </row>
    <row r="654" spans="1:10" hidden="1" x14ac:dyDescent="0.25">
      <c r="A654" t="s">
        <v>11</v>
      </c>
      <c r="B654" t="str">
        <f>"10724/350E"</f>
        <v>10724/350E</v>
      </c>
      <c r="C654" t="s">
        <v>100</v>
      </c>
      <c r="D654" t="s">
        <v>1179</v>
      </c>
      <c r="E654" t="str">
        <f t="shared" si="30"/>
        <v>5003052454</v>
      </c>
      <c r="F654" t="s">
        <v>14</v>
      </c>
      <c r="G654" t="s">
        <v>1308</v>
      </c>
      <c r="H654" t="s">
        <v>1309</v>
      </c>
      <c r="I654" t="s">
        <v>17</v>
      </c>
      <c r="J654" t="s">
        <v>18</v>
      </c>
    </row>
    <row r="655" spans="1:10" hidden="1" x14ac:dyDescent="0.25">
      <c r="A655" t="s">
        <v>11</v>
      </c>
      <c r="B655" t="str">
        <f>"10725/350E"</f>
        <v>10725/350E</v>
      </c>
      <c r="C655" t="s">
        <v>100</v>
      </c>
      <c r="D655" t="s">
        <v>1179</v>
      </c>
      <c r="E655" t="str">
        <f t="shared" si="30"/>
        <v>5003052454</v>
      </c>
      <c r="F655" t="s">
        <v>14</v>
      </c>
      <c r="G655" t="s">
        <v>1310</v>
      </c>
      <c r="H655" t="s">
        <v>1311</v>
      </c>
      <c r="I655" t="s">
        <v>17</v>
      </c>
      <c r="J655" t="s">
        <v>18</v>
      </c>
    </row>
    <row r="656" spans="1:10" x14ac:dyDescent="0.25">
      <c r="A656" t="s">
        <v>290</v>
      </c>
      <c r="B656" t="str">
        <f>"1800000275"</f>
        <v>1800000275</v>
      </c>
      <c r="C656" t="s">
        <v>100</v>
      </c>
      <c r="D656" t="s">
        <v>1179</v>
      </c>
      <c r="E656" t="str">
        <f t="shared" ref="E656:E662" si="31">"5032260402"</f>
        <v>5032260402</v>
      </c>
      <c r="F656" t="s">
        <v>341</v>
      </c>
      <c r="G656" t="s">
        <v>847</v>
      </c>
      <c r="H656" t="s">
        <v>1312</v>
      </c>
      <c r="I656" t="s">
        <v>17</v>
      </c>
      <c r="J656" t="s">
        <v>166</v>
      </c>
    </row>
    <row r="657" spans="1:10" hidden="1" x14ac:dyDescent="0.25">
      <c r="A657" t="s">
        <v>11</v>
      </c>
      <c r="B657" t="str">
        <f>"3520/8174449112"</f>
        <v>3520/8174449112</v>
      </c>
      <c r="C657" t="s">
        <v>100</v>
      </c>
      <c r="D657" t="s">
        <v>1179</v>
      </c>
      <c r="E657" t="str">
        <f t="shared" si="31"/>
        <v>5032260402</v>
      </c>
      <c r="F657" t="s">
        <v>341</v>
      </c>
      <c r="G657" t="s">
        <v>1313</v>
      </c>
      <c r="H657" t="s">
        <v>1314</v>
      </c>
      <c r="I657" t="s">
        <v>17</v>
      </c>
      <c r="J657" t="s">
        <v>18</v>
      </c>
    </row>
    <row r="658" spans="1:10" hidden="1" x14ac:dyDescent="0.25">
      <c r="A658" t="s">
        <v>11</v>
      </c>
      <c r="B658" t="str">
        <f>"3520/8174449252"</f>
        <v>3520/8174449252</v>
      </c>
      <c r="C658" t="s">
        <v>100</v>
      </c>
      <c r="D658" t="s">
        <v>1179</v>
      </c>
      <c r="E658" t="str">
        <f t="shared" si="31"/>
        <v>5032260402</v>
      </c>
      <c r="F658" t="s">
        <v>341</v>
      </c>
      <c r="G658" t="s">
        <v>1315</v>
      </c>
      <c r="H658" t="s">
        <v>1316</v>
      </c>
      <c r="I658" t="s">
        <v>17</v>
      </c>
      <c r="J658" t="s">
        <v>18</v>
      </c>
    </row>
    <row r="659" spans="1:10" hidden="1" x14ac:dyDescent="0.25">
      <c r="A659" t="s">
        <v>11</v>
      </c>
      <c r="B659" t="str">
        <f>"3520/8174449287"</f>
        <v>3520/8174449287</v>
      </c>
      <c r="C659" t="s">
        <v>100</v>
      </c>
      <c r="D659" t="s">
        <v>1179</v>
      </c>
      <c r="E659" t="str">
        <f t="shared" si="31"/>
        <v>5032260402</v>
      </c>
      <c r="F659" t="s">
        <v>341</v>
      </c>
      <c r="G659" t="s">
        <v>1317</v>
      </c>
      <c r="H659" t="s">
        <v>1318</v>
      </c>
      <c r="I659" t="s">
        <v>17</v>
      </c>
      <c r="J659" t="s">
        <v>18</v>
      </c>
    </row>
    <row r="660" spans="1:10" hidden="1" x14ac:dyDescent="0.25">
      <c r="A660" t="s">
        <v>11</v>
      </c>
      <c r="B660" t="str">
        <f>"3520/8174449193"</f>
        <v>3520/8174449193</v>
      </c>
      <c r="C660" t="s">
        <v>100</v>
      </c>
      <c r="D660" t="s">
        <v>1179</v>
      </c>
      <c r="E660" t="str">
        <f t="shared" si="31"/>
        <v>5032260402</v>
      </c>
      <c r="F660" t="s">
        <v>341</v>
      </c>
      <c r="G660" t="s">
        <v>1319</v>
      </c>
      <c r="H660" t="s">
        <v>1320</v>
      </c>
      <c r="I660" t="s">
        <v>17</v>
      </c>
      <c r="J660" t="s">
        <v>18</v>
      </c>
    </row>
    <row r="661" spans="1:10" hidden="1" x14ac:dyDescent="0.25">
      <c r="A661" t="s">
        <v>11</v>
      </c>
      <c r="B661" t="str">
        <f>"3520/8174454210"</f>
        <v>3520/8174454210</v>
      </c>
      <c r="C661" t="s">
        <v>100</v>
      </c>
      <c r="D661" t="s">
        <v>1179</v>
      </c>
      <c r="E661" t="str">
        <f t="shared" si="31"/>
        <v>5032260402</v>
      </c>
      <c r="F661" t="s">
        <v>341</v>
      </c>
      <c r="G661" t="s">
        <v>1321</v>
      </c>
      <c r="H661" t="s">
        <v>1322</v>
      </c>
      <c r="I661" t="s">
        <v>17</v>
      </c>
      <c r="J661" t="s">
        <v>18</v>
      </c>
    </row>
    <row r="662" spans="1:10" hidden="1" x14ac:dyDescent="0.25">
      <c r="A662" t="s">
        <v>11</v>
      </c>
      <c r="B662" t="str">
        <f>"3520/8174468405"</f>
        <v>3520/8174468405</v>
      </c>
      <c r="C662" t="s">
        <v>100</v>
      </c>
      <c r="D662" t="s">
        <v>1179</v>
      </c>
      <c r="E662" t="str">
        <f t="shared" si="31"/>
        <v>5032260402</v>
      </c>
      <c r="F662" t="s">
        <v>341</v>
      </c>
      <c r="G662" t="s">
        <v>1323</v>
      </c>
      <c r="H662" t="s">
        <v>1324</v>
      </c>
      <c r="I662" t="s">
        <v>17</v>
      </c>
      <c r="J662" t="s">
        <v>18</v>
      </c>
    </row>
    <row r="663" spans="1:10" hidden="1" x14ac:dyDescent="0.25">
      <c r="A663" t="s">
        <v>11</v>
      </c>
      <c r="B663" t="str">
        <f>"2061"</f>
        <v>2061</v>
      </c>
      <c r="C663" t="s">
        <v>1325</v>
      </c>
      <c r="D663" t="s">
        <v>1179</v>
      </c>
      <c r="E663" t="str">
        <f>"7825076677"</f>
        <v>7825076677</v>
      </c>
      <c r="F663" t="s">
        <v>891</v>
      </c>
      <c r="G663" t="s">
        <v>1326</v>
      </c>
      <c r="H663" t="s">
        <v>1327</v>
      </c>
      <c r="I663" t="s">
        <v>17</v>
      </c>
      <c r="J663" t="s">
        <v>18</v>
      </c>
    </row>
    <row r="664" spans="1:10" hidden="1" x14ac:dyDescent="0.25">
      <c r="A664" t="s">
        <v>11</v>
      </c>
      <c r="B664" t="str">
        <f>"1514"</f>
        <v>1514</v>
      </c>
      <c r="C664" t="s">
        <v>100</v>
      </c>
      <c r="D664" t="s">
        <v>1179</v>
      </c>
      <c r="E664" t="str">
        <f>"3525468034"</f>
        <v>3525468034</v>
      </c>
      <c r="F664" t="s">
        <v>1191</v>
      </c>
      <c r="G664" t="s">
        <v>1197</v>
      </c>
      <c r="H664" t="s">
        <v>1328</v>
      </c>
      <c r="I664" t="s">
        <v>17</v>
      </c>
      <c r="J664" t="s">
        <v>18</v>
      </c>
    </row>
    <row r="665" spans="1:10" hidden="1" x14ac:dyDescent="0.25">
      <c r="A665" t="s">
        <v>11</v>
      </c>
      <c r="B665" t="str">
        <f>"1519"</f>
        <v>1519</v>
      </c>
      <c r="C665" t="s">
        <v>100</v>
      </c>
      <c r="D665" t="s">
        <v>1179</v>
      </c>
      <c r="E665" t="str">
        <f>"3525468034"</f>
        <v>3525468034</v>
      </c>
      <c r="F665" t="s">
        <v>1191</v>
      </c>
      <c r="G665" t="s">
        <v>1329</v>
      </c>
      <c r="H665" t="s">
        <v>1330</v>
      </c>
      <c r="I665" t="s">
        <v>17</v>
      </c>
      <c r="J665" t="s">
        <v>18</v>
      </c>
    </row>
    <row r="666" spans="1:10" hidden="1" x14ac:dyDescent="0.25">
      <c r="A666" t="s">
        <v>11</v>
      </c>
      <c r="B666" t="str">
        <f>"1520"</f>
        <v>1520</v>
      </c>
      <c r="C666" t="s">
        <v>100</v>
      </c>
      <c r="D666" t="s">
        <v>1179</v>
      </c>
      <c r="E666" t="str">
        <f>"3525468034"</f>
        <v>3525468034</v>
      </c>
      <c r="F666" t="s">
        <v>1191</v>
      </c>
      <c r="G666" t="s">
        <v>1331</v>
      </c>
      <c r="H666" t="s">
        <v>1332</v>
      </c>
      <c r="I666" t="s">
        <v>17</v>
      </c>
      <c r="J666" t="s">
        <v>18</v>
      </c>
    </row>
    <row r="667" spans="1:10" x14ac:dyDescent="0.25">
      <c r="A667" t="s">
        <v>11</v>
      </c>
      <c r="B667" t="str">
        <f>"01-01-112454"</f>
        <v>01-01-112454</v>
      </c>
      <c r="C667" t="s">
        <v>1325</v>
      </c>
      <c r="D667" t="s">
        <v>1179</v>
      </c>
      <c r="E667" t="str">
        <f>"352500101378"</f>
        <v>352500101378</v>
      </c>
      <c r="F667" t="s">
        <v>1180</v>
      </c>
      <c r="G667" t="s">
        <v>1333</v>
      </c>
      <c r="H667" t="s">
        <v>1334</v>
      </c>
      <c r="I667" t="s">
        <v>17</v>
      </c>
      <c r="J667" t="s">
        <v>166</v>
      </c>
    </row>
    <row r="668" spans="1:10" hidden="1" x14ac:dyDescent="0.25">
      <c r="A668" t="s">
        <v>11</v>
      </c>
      <c r="B668" t="str">
        <f>"1105"</f>
        <v>1105</v>
      </c>
      <c r="C668" t="s">
        <v>559</v>
      </c>
      <c r="D668" t="s">
        <v>1179</v>
      </c>
      <c r="E668" t="str">
        <f>"9729019493"</f>
        <v>9729019493</v>
      </c>
      <c r="F668" t="s">
        <v>560</v>
      </c>
      <c r="G668" t="s">
        <v>1335</v>
      </c>
      <c r="H668" t="s">
        <v>1336</v>
      </c>
      <c r="I668" t="s">
        <v>17</v>
      </c>
      <c r="J668" t="s">
        <v>18</v>
      </c>
    </row>
    <row r="669" spans="1:10" hidden="1" x14ac:dyDescent="0.25">
      <c r="A669" t="s">
        <v>11</v>
      </c>
      <c r="B669" t="str">
        <f>"1106"</f>
        <v>1106</v>
      </c>
      <c r="C669" t="s">
        <v>903</v>
      </c>
      <c r="D669" t="s">
        <v>1179</v>
      </c>
      <c r="E669" t="str">
        <f>"9729019493"</f>
        <v>9729019493</v>
      </c>
      <c r="F669" t="s">
        <v>560</v>
      </c>
      <c r="G669" t="s">
        <v>1337</v>
      </c>
      <c r="H669" t="s">
        <v>1338</v>
      </c>
      <c r="I669" t="s">
        <v>17</v>
      </c>
      <c r="J669" t="s">
        <v>18</v>
      </c>
    </row>
    <row r="670" spans="1:10" hidden="1" x14ac:dyDescent="0.25">
      <c r="A670" t="s">
        <v>11</v>
      </c>
      <c r="B670" t="str">
        <f>"1104"</f>
        <v>1104</v>
      </c>
      <c r="C670" t="s">
        <v>903</v>
      </c>
      <c r="D670" t="s">
        <v>1179</v>
      </c>
      <c r="E670" t="str">
        <f>"9729019493"</f>
        <v>9729019493</v>
      </c>
      <c r="F670" t="s">
        <v>560</v>
      </c>
      <c r="G670" t="s">
        <v>1335</v>
      </c>
      <c r="H670" t="s">
        <v>1339</v>
      </c>
      <c r="I670" t="s">
        <v>17</v>
      </c>
      <c r="J670" t="s">
        <v>18</v>
      </c>
    </row>
    <row r="671" spans="1:10" hidden="1" x14ac:dyDescent="0.25">
      <c r="A671" t="s">
        <v>11</v>
      </c>
      <c r="B671" t="str">
        <f>"01-01-120610"</f>
        <v>01-01-120610</v>
      </c>
      <c r="C671" t="s">
        <v>100</v>
      </c>
      <c r="D671" t="s">
        <v>1179</v>
      </c>
      <c r="E671" t="str">
        <f>"352500101378"</f>
        <v>352500101378</v>
      </c>
      <c r="F671" t="s">
        <v>1180</v>
      </c>
      <c r="G671" t="s">
        <v>1340</v>
      </c>
      <c r="H671" t="s">
        <v>1341</v>
      </c>
      <c r="I671" t="s">
        <v>17</v>
      </c>
      <c r="J671" t="s">
        <v>18</v>
      </c>
    </row>
    <row r="672" spans="1:10" hidden="1" x14ac:dyDescent="0.25">
      <c r="A672" t="s">
        <v>11</v>
      </c>
      <c r="B672" t="str">
        <f>"12763/350G"</f>
        <v>12763/350G</v>
      </c>
      <c r="C672" t="s">
        <v>106</v>
      </c>
      <c r="D672" t="s">
        <v>1179</v>
      </c>
      <c r="E672" t="str">
        <f t="shared" ref="E672:E679" si="32">"5003052454"</f>
        <v>5003052454</v>
      </c>
      <c r="F672" t="s">
        <v>14</v>
      </c>
      <c r="G672" t="s">
        <v>1342</v>
      </c>
      <c r="H672" t="s">
        <v>1343</v>
      </c>
      <c r="I672" t="s">
        <v>17</v>
      </c>
      <c r="J672" t="s">
        <v>18</v>
      </c>
    </row>
    <row r="673" spans="1:10" hidden="1" x14ac:dyDescent="0.25">
      <c r="A673" t="s">
        <v>11</v>
      </c>
      <c r="B673" t="str">
        <f>"12764/350G"</f>
        <v>12764/350G</v>
      </c>
      <c r="C673" t="s">
        <v>106</v>
      </c>
      <c r="D673" t="s">
        <v>1179</v>
      </c>
      <c r="E673" t="str">
        <f t="shared" si="32"/>
        <v>5003052454</v>
      </c>
      <c r="F673" t="s">
        <v>14</v>
      </c>
      <c r="G673" t="s">
        <v>1344</v>
      </c>
      <c r="H673" t="s">
        <v>1345</v>
      </c>
      <c r="I673" t="s">
        <v>17</v>
      </c>
      <c r="J673" t="s">
        <v>18</v>
      </c>
    </row>
    <row r="674" spans="1:10" hidden="1" x14ac:dyDescent="0.25">
      <c r="A674" t="s">
        <v>11</v>
      </c>
      <c r="B674" t="str">
        <f>"12762/350G"</f>
        <v>12762/350G</v>
      </c>
      <c r="C674" t="s">
        <v>106</v>
      </c>
      <c r="D674" t="s">
        <v>1179</v>
      </c>
      <c r="E674" t="str">
        <f t="shared" si="32"/>
        <v>5003052454</v>
      </c>
      <c r="F674" t="s">
        <v>14</v>
      </c>
      <c r="G674" t="s">
        <v>194</v>
      </c>
      <c r="H674" t="s">
        <v>1346</v>
      </c>
      <c r="I674" t="s">
        <v>17</v>
      </c>
      <c r="J674" t="s">
        <v>18</v>
      </c>
    </row>
    <row r="675" spans="1:10" hidden="1" x14ac:dyDescent="0.25">
      <c r="A675" t="s">
        <v>11</v>
      </c>
      <c r="B675" t="str">
        <f>"12765/350G"</f>
        <v>12765/350G</v>
      </c>
      <c r="C675" t="s">
        <v>106</v>
      </c>
      <c r="D675" t="s">
        <v>1179</v>
      </c>
      <c r="E675" t="str">
        <f t="shared" si="32"/>
        <v>5003052454</v>
      </c>
      <c r="F675" t="s">
        <v>14</v>
      </c>
      <c r="G675" t="s">
        <v>1347</v>
      </c>
      <c r="H675" t="s">
        <v>1348</v>
      </c>
      <c r="I675" t="s">
        <v>17</v>
      </c>
      <c r="J675" t="s">
        <v>18</v>
      </c>
    </row>
    <row r="676" spans="1:10" hidden="1" x14ac:dyDescent="0.25">
      <c r="A676" t="s">
        <v>11</v>
      </c>
      <c r="B676" t="str">
        <f>"12827/350G"</f>
        <v>12827/350G</v>
      </c>
      <c r="C676" t="s">
        <v>106</v>
      </c>
      <c r="D676" t="s">
        <v>1179</v>
      </c>
      <c r="E676" t="str">
        <f t="shared" si="32"/>
        <v>5003052454</v>
      </c>
      <c r="F676" t="s">
        <v>14</v>
      </c>
      <c r="G676" t="s">
        <v>1349</v>
      </c>
      <c r="H676" t="s">
        <v>1350</v>
      </c>
      <c r="I676" t="s">
        <v>17</v>
      </c>
      <c r="J676" t="s">
        <v>18</v>
      </c>
    </row>
    <row r="677" spans="1:10" hidden="1" x14ac:dyDescent="0.25">
      <c r="A677" t="s">
        <v>11</v>
      </c>
      <c r="B677" t="str">
        <f>"12828/350G"</f>
        <v>12828/350G</v>
      </c>
      <c r="C677" t="s">
        <v>106</v>
      </c>
      <c r="D677" t="s">
        <v>1179</v>
      </c>
      <c r="E677" t="str">
        <f t="shared" si="32"/>
        <v>5003052454</v>
      </c>
      <c r="F677" t="s">
        <v>14</v>
      </c>
      <c r="G677" t="s">
        <v>1351</v>
      </c>
      <c r="H677" t="s">
        <v>1352</v>
      </c>
      <c r="I677" t="s">
        <v>17</v>
      </c>
      <c r="J677" t="s">
        <v>18</v>
      </c>
    </row>
    <row r="678" spans="1:10" hidden="1" x14ac:dyDescent="0.25">
      <c r="A678" t="s">
        <v>11</v>
      </c>
      <c r="B678" t="str">
        <f>"10888/350E"</f>
        <v>10888/350E</v>
      </c>
      <c r="C678" t="s">
        <v>106</v>
      </c>
      <c r="D678" t="s">
        <v>1179</v>
      </c>
      <c r="E678" t="str">
        <f t="shared" si="32"/>
        <v>5003052454</v>
      </c>
      <c r="F678" t="s">
        <v>14</v>
      </c>
      <c r="G678" t="s">
        <v>1353</v>
      </c>
      <c r="H678" t="s">
        <v>1354</v>
      </c>
      <c r="I678" t="s">
        <v>17</v>
      </c>
      <c r="J678" t="s">
        <v>18</v>
      </c>
    </row>
    <row r="679" spans="1:10" hidden="1" x14ac:dyDescent="0.25">
      <c r="A679" t="s">
        <v>11</v>
      </c>
      <c r="B679" t="str">
        <f>"10887/350E"</f>
        <v>10887/350E</v>
      </c>
      <c r="C679" t="s">
        <v>106</v>
      </c>
      <c r="D679" t="s">
        <v>1179</v>
      </c>
      <c r="E679" t="str">
        <f t="shared" si="32"/>
        <v>5003052454</v>
      </c>
      <c r="F679" t="s">
        <v>14</v>
      </c>
      <c r="G679" t="s">
        <v>1355</v>
      </c>
      <c r="H679" t="s">
        <v>1356</v>
      </c>
      <c r="I679" t="s">
        <v>17</v>
      </c>
      <c r="J679" t="s">
        <v>18</v>
      </c>
    </row>
    <row r="680" spans="1:10" hidden="1" x14ac:dyDescent="0.25">
      <c r="A680" t="s">
        <v>11</v>
      </c>
      <c r="B680" t="str">
        <f>"23-0695202"</f>
        <v>23-0695202</v>
      </c>
      <c r="C680" t="s">
        <v>106</v>
      </c>
      <c r="D680" t="s">
        <v>1179</v>
      </c>
      <c r="E680" t="str">
        <f>"7730533854"</f>
        <v>7730533854</v>
      </c>
      <c r="F680" t="s">
        <v>1194</v>
      </c>
      <c r="G680" t="s">
        <v>1357</v>
      </c>
      <c r="H680" t="s">
        <v>1358</v>
      </c>
      <c r="I680" t="s">
        <v>17</v>
      </c>
      <c r="J680" t="s">
        <v>18</v>
      </c>
    </row>
    <row r="681" spans="1:10" hidden="1" x14ac:dyDescent="0.25">
      <c r="A681" t="s">
        <v>11</v>
      </c>
      <c r="B681" t="str">
        <f>"3510/8174499328"</f>
        <v>3510/8174499328</v>
      </c>
      <c r="C681" t="s">
        <v>106</v>
      </c>
      <c r="D681" t="s">
        <v>1179</v>
      </c>
      <c r="E681" t="str">
        <f>"5032260402"</f>
        <v>5032260402</v>
      </c>
      <c r="F681" t="s">
        <v>341</v>
      </c>
      <c r="G681" t="s">
        <v>1359</v>
      </c>
      <c r="H681" t="s">
        <v>1360</v>
      </c>
      <c r="I681" t="s">
        <v>17</v>
      </c>
      <c r="J681" t="s">
        <v>18</v>
      </c>
    </row>
    <row r="682" spans="1:10" hidden="1" x14ac:dyDescent="0.25">
      <c r="A682" t="s">
        <v>11</v>
      </c>
      <c r="B682" t="str">
        <f>"2972"</f>
        <v>2972</v>
      </c>
      <c r="C682" t="s">
        <v>106</v>
      </c>
      <c r="D682" t="s">
        <v>1179</v>
      </c>
      <c r="E682" t="str">
        <f>"3528267022"</f>
        <v>3528267022</v>
      </c>
      <c r="F682" t="s">
        <v>1258</v>
      </c>
      <c r="G682" t="s">
        <v>622</v>
      </c>
      <c r="H682" t="s">
        <v>1361</v>
      </c>
      <c r="I682" t="s">
        <v>17</v>
      </c>
      <c r="J682" t="s">
        <v>18</v>
      </c>
    </row>
    <row r="683" spans="1:10" hidden="1" x14ac:dyDescent="0.25">
      <c r="A683" t="s">
        <v>11</v>
      </c>
      <c r="B683" t="str">
        <f>"2987"</f>
        <v>2987</v>
      </c>
      <c r="C683" t="s">
        <v>106</v>
      </c>
      <c r="D683" t="s">
        <v>1179</v>
      </c>
      <c r="E683" t="str">
        <f>"3528267022"</f>
        <v>3528267022</v>
      </c>
      <c r="F683" t="s">
        <v>1258</v>
      </c>
      <c r="G683" t="s">
        <v>1362</v>
      </c>
      <c r="H683" t="s">
        <v>1363</v>
      </c>
      <c r="I683" t="s">
        <v>17</v>
      </c>
      <c r="J683" t="s">
        <v>18</v>
      </c>
    </row>
    <row r="684" spans="1:10" hidden="1" x14ac:dyDescent="0.25">
      <c r="A684" t="s">
        <v>11</v>
      </c>
      <c r="B684" t="str">
        <f>"11047/350E"</f>
        <v>11047/350E</v>
      </c>
      <c r="C684" t="s">
        <v>420</v>
      </c>
      <c r="D684" t="s">
        <v>1179</v>
      </c>
      <c r="E684" t="str">
        <f>"5003052454"</f>
        <v>5003052454</v>
      </c>
      <c r="F684" t="s">
        <v>14</v>
      </c>
      <c r="G684" t="s">
        <v>1364</v>
      </c>
      <c r="H684" t="s">
        <v>1365</v>
      </c>
      <c r="I684" t="s">
        <v>17</v>
      </c>
      <c r="J684" t="s">
        <v>18</v>
      </c>
    </row>
    <row r="685" spans="1:10" hidden="1" x14ac:dyDescent="0.25">
      <c r="A685" t="s">
        <v>11</v>
      </c>
      <c r="B685" t="str">
        <f>"4-05/01/029"</f>
        <v>4-05/01/029</v>
      </c>
      <c r="C685" t="s">
        <v>53</v>
      </c>
      <c r="D685" t="s">
        <v>1366</v>
      </c>
      <c r="E685" t="str">
        <f t="shared" ref="E685:E693" si="33">"7811453685"</f>
        <v>7811453685</v>
      </c>
      <c r="F685" t="s">
        <v>1367</v>
      </c>
      <c r="G685" t="s">
        <v>1368</v>
      </c>
      <c r="H685" t="s">
        <v>1369</v>
      </c>
      <c r="I685" t="s">
        <v>17</v>
      </c>
      <c r="J685" t="s">
        <v>18</v>
      </c>
    </row>
    <row r="686" spans="1:10" hidden="1" x14ac:dyDescent="0.25">
      <c r="A686" t="s">
        <v>11</v>
      </c>
      <c r="B686" t="str">
        <f>"4-05/01/032"</f>
        <v>4-05/01/032</v>
      </c>
      <c r="C686" t="s">
        <v>53</v>
      </c>
      <c r="D686" t="s">
        <v>1366</v>
      </c>
      <c r="E686" t="str">
        <f t="shared" si="33"/>
        <v>7811453685</v>
      </c>
      <c r="F686" t="s">
        <v>1367</v>
      </c>
      <c r="G686" t="s">
        <v>1370</v>
      </c>
      <c r="H686" t="s">
        <v>1371</v>
      </c>
      <c r="I686" t="s">
        <v>17</v>
      </c>
      <c r="J686" t="s">
        <v>18</v>
      </c>
    </row>
    <row r="687" spans="1:10" hidden="1" x14ac:dyDescent="0.25">
      <c r="A687" t="s">
        <v>11</v>
      </c>
      <c r="B687" t="str">
        <f>"4-05/01/084"</f>
        <v>4-05/01/084</v>
      </c>
      <c r="C687" t="s">
        <v>53</v>
      </c>
      <c r="D687" t="s">
        <v>1366</v>
      </c>
      <c r="E687" t="str">
        <f t="shared" si="33"/>
        <v>7811453685</v>
      </c>
      <c r="F687" t="s">
        <v>1367</v>
      </c>
      <c r="G687" t="s">
        <v>1372</v>
      </c>
      <c r="H687" t="s">
        <v>1373</v>
      </c>
      <c r="I687" t="s">
        <v>17</v>
      </c>
      <c r="J687" t="s">
        <v>18</v>
      </c>
    </row>
    <row r="688" spans="1:10" hidden="1" x14ac:dyDescent="0.25">
      <c r="A688" t="s">
        <v>11</v>
      </c>
      <c r="B688" t="str">
        <f>"4-05/01/094"</f>
        <v>4-05/01/094</v>
      </c>
      <c r="C688" t="s">
        <v>53</v>
      </c>
      <c r="D688" t="s">
        <v>1366</v>
      </c>
      <c r="E688" t="str">
        <f t="shared" si="33"/>
        <v>7811453685</v>
      </c>
      <c r="F688" t="s">
        <v>1367</v>
      </c>
      <c r="G688" t="s">
        <v>1374</v>
      </c>
      <c r="H688" t="s">
        <v>1375</v>
      </c>
      <c r="I688" t="s">
        <v>17</v>
      </c>
      <c r="J688" t="s">
        <v>18</v>
      </c>
    </row>
    <row r="689" spans="1:10" hidden="1" x14ac:dyDescent="0.25">
      <c r="A689" t="s">
        <v>11</v>
      </c>
      <c r="B689" t="str">
        <f>"4-05/03/043"</f>
        <v>4-05/03/043</v>
      </c>
      <c r="C689" t="s">
        <v>65</v>
      </c>
      <c r="D689" t="s">
        <v>1366</v>
      </c>
      <c r="E689" t="str">
        <f t="shared" si="33"/>
        <v>7811453685</v>
      </c>
      <c r="F689" t="s">
        <v>1367</v>
      </c>
      <c r="G689" t="s">
        <v>1376</v>
      </c>
      <c r="H689" t="s">
        <v>1377</v>
      </c>
      <c r="I689" t="s">
        <v>17</v>
      </c>
      <c r="J689" t="s">
        <v>18</v>
      </c>
    </row>
    <row r="690" spans="1:10" hidden="1" x14ac:dyDescent="0.25">
      <c r="A690" t="s">
        <v>11</v>
      </c>
      <c r="B690" t="str">
        <f>"4-05/03/170"</f>
        <v>4-05/03/170</v>
      </c>
      <c r="C690" t="s">
        <v>65</v>
      </c>
      <c r="D690" t="s">
        <v>1366</v>
      </c>
      <c r="E690" t="str">
        <f t="shared" si="33"/>
        <v>7811453685</v>
      </c>
      <c r="F690" t="s">
        <v>1367</v>
      </c>
      <c r="G690" t="s">
        <v>1378</v>
      </c>
      <c r="H690" t="s">
        <v>1379</v>
      </c>
      <c r="I690" t="s">
        <v>17</v>
      </c>
      <c r="J690" t="s">
        <v>18</v>
      </c>
    </row>
    <row r="691" spans="1:10" hidden="1" x14ac:dyDescent="0.25">
      <c r="A691" t="s">
        <v>11</v>
      </c>
      <c r="B691" t="str">
        <f>"4-05/03/102"</f>
        <v>4-05/03/102</v>
      </c>
      <c r="C691" t="s">
        <v>65</v>
      </c>
      <c r="D691" t="s">
        <v>1366</v>
      </c>
      <c r="E691" t="str">
        <f t="shared" si="33"/>
        <v>7811453685</v>
      </c>
      <c r="F691" t="s">
        <v>1367</v>
      </c>
      <c r="G691" t="s">
        <v>1380</v>
      </c>
      <c r="H691" t="s">
        <v>1381</v>
      </c>
      <c r="I691" t="s">
        <v>17</v>
      </c>
      <c r="J691" t="s">
        <v>18</v>
      </c>
    </row>
    <row r="692" spans="1:10" hidden="1" x14ac:dyDescent="0.25">
      <c r="A692" t="s">
        <v>11</v>
      </c>
      <c r="B692" t="str">
        <f>"4-05/03/171"</f>
        <v>4-05/03/171</v>
      </c>
      <c r="C692" t="s">
        <v>65</v>
      </c>
      <c r="D692" t="s">
        <v>1366</v>
      </c>
      <c r="E692" t="str">
        <f t="shared" si="33"/>
        <v>7811453685</v>
      </c>
      <c r="F692" t="s">
        <v>1367</v>
      </c>
      <c r="G692" t="s">
        <v>1382</v>
      </c>
      <c r="H692" t="s">
        <v>1383</v>
      </c>
      <c r="I692" t="s">
        <v>17</v>
      </c>
      <c r="J692" t="s">
        <v>18</v>
      </c>
    </row>
    <row r="693" spans="1:10" hidden="1" x14ac:dyDescent="0.25">
      <c r="A693" t="s">
        <v>11</v>
      </c>
      <c r="B693" t="str">
        <f>"4-05/03/053"</f>
        <v>4-05/03/053</v>
      </c>
      <c r="C693" t="s">
        <v>65</v>
      </c>
      <c r="D693" t="s">
        <v>1366</v>
      </c>
      <c r="E693" t="str">
        <f t="shared" si="33"/>
        <v>7811453685</v>
      </c>
      <c r="F693" t="s">
        <v>1367</v>
      </c>
      <c r="G693" t="s">
        <v>1384</v>
      </c>
      <c r="H693" t="s">
        <v>1385</v>
      </c>
      <c r="I693" t="s">
        <v>17</v>
      </c>
      <c r="J693" t="s">
        <v>18</v>
      </c>
    </row>
    <row r="694" spans="1:10" hidden="1" x14ac:dyDescent="0.25">
      <c r="A694" t="s">
        <v>11</v>
      </c>
      <c r="B694" t="str">
        <f>"30/00155960-23"</f>
        <v>30/00155960-23</v>
      </c>
      <c r="C694" t="s">
        <v>65</v>
      </c>
      <c r="D694" t="s">
        <v>1366</v>
      </c>
      <c r="E694" t="str">
        <f>"7705034202"</f>
        <v>7705034202</v>
      </c>
      <c r="F694" t="s">
        <v>407</v>
      </c>
      <c r="G694" t="s">
        <v>1386</v>
      </c>
      <c r="H694" t="s">
        <v>1387</v>
      </c>
      <c r="I694" t="s">
        <v>17</v>
      </c>
      <c r="J694" t="s">
        <v>388</v>
      </c>
    </row>
    <row r="695" spans="1:10" hidden="1" x14ac:dyDescent="0.25">
      <c r="A695" t="s">
        <v>11</v>
      </c>
      <c r="B695" t="str">
        <f>"4-05/03/003"</f>
        <v>4-05/03/003</v>
      </c>
      <c r="C695" t="s">
        <v>65</v>
      </c>
      <c r="D695" t="s">
        <v>1366</v>
      </c>
      <c r="E695" t="str">
        <f>"7811453685"</f>
        <v>7811453685</v>
      </c>
      <c r="F695" t="s">
        <v>1367</v>
      </c>
      <c r="G695" t="s">
        <v>1388</v>
      </c>
      <c r="H695" t="s">
        <v>1389</v>
      </c>
      <c r="I695" t="s">
        <v>17</v>
      </c>
      <c r="J695" t="s">
        <v>18</v>
      </c>
    </row>
    <row r="696" spans="1:10" hidden="1" x14ac:dyDescent="0.25">
      <c r="A696" t="s">
        <v>11</v>
      </c>
      <c r="B696" t="str">
        <f>"855"</f>
        <v>855</v>
      </c>
      <c r="C696" t="s">
        <v>49</v>
      </c>
      <c r="D696" t="s">
        <v>1366</v>
      </c>
      <c r="E696" t="str">
        <f>"7704340969"</f>
        <v>7704340969</v>
      </c>
      <c r="F696" t="s">
        <v>76</v>
      </c>
      <c r="G696" t="s">
        <v>1390</v>
      </c>
      <c r="H696" t="s">
        <v>1391</v>
      </c>
      <c r="I696" t="s">
        <v>17</v>
      </c>
      <c r="J696" t="s">
        <v>18</v>
      </c>
    </row>
    <row r="697" spans="1:10" hidden="1" x14ac:dyDescent="0.25">
      <c r="A697" t="s">
        <v>11</v>
      </c>
      <c r="B697" t="str">
        <f>"883"</f>
        <v>883</v>
      </c>
      <c r="C697" t="s">
        <v>49</v>
      </c>
      <c r="D697" t="s">
        <v>1366</v>
      </c>
      <c r="E697" t="str">
        <f>"7704340969"</f>
        <v>7704340969</v>
      </c>
      <c r="F697" t="s">
        <v>76</v>
      </c>
      <c r="G697" t="s">
        <v>1392</v>
      </c>
      <c r="H697" t="s">
        <v>1393</v>
      </c>
      <c r="I697" t="s">
        <v>17</v>
      </c>
      <c r="J697" t="s">
        <v>18</v>
      </c>
    </row>
    <row r="698" spans="1:10" hidden="1" x14ac:dyDescent="0.25">
      <c r="A698" t="s">
        <v>11</v>
      </c>
      <c r="B698" t="str">
        <f>"955"</f>
        <v>955</v>
      </c>
      <c r="C698" t="s">
        <v>49</v>
      </c>
      <c r="D698" t="s">
        <v>1366</v>
      </c>
      <c r="E698" t="str">
        <f>"7704340969"</f>
        <v>7704340969</v>
      </c>
      <c r="F698" t="s">
        <v>76</v>
      </c>
      <c r="G698" t="s">
        <v>1394</v>
      </c>
      <c r="H698" t="s">
        <v>1395</v>
      </c>
      <c r="I698" t="s">
        <v>17</v>
      </c>
      <c r="J698" t="s">
        <v>388</v>
      </c>
    </row>
    <row r="699" spans="1:10" hidden="1" x14ac:dyDescent="0.25">
      <c r="A699" t="s">
        <v>11</v>
      </c>
      <c r="B699" t="str">
        <f>"4-05/04/118"</f>
        <v>4-05/04/118</v>
      </c>
      <c r="C699" t="s">
        <v>100</v>
      </c>
      <c r="D699" t="s">
        <v>1366</v>
      </c>
      <c r="E699" t="str">
        <f t="shared" ref="E699:E704" si="34">"7811453685"</f>
        <v>7811453685</v>
      </c>
      <c r="F699" t="s">
        <v>1367</v>
      </c>
      <c r="G699" t="s">
        <v>1396</v>
      </c>
      <c r="H699" t="s">
        <v>1397</v>
      </c>
      <c r="I699" t="s">
        <v>17</v>
      </c>
      <c r="J699" t="s">
        <v>18</v>
      </c>
    </row>
    <row r="700" spans="1:10" hidden="1" x14ac:dyDescent="0.25">
      <c r="A700" t="s">
        <v>11</v>
      </c>
      <c r="B700" t="str">
        <f>"4-05/04/030"</f>
        <v>4-05/04/030</v>
      </c>
      <c r="C700" t="s">
        <v>100</v>
      </c>
      <c r="D700" t="s">
        <v>1366</v>
      </c>
      <c r="E700" t="str">
        <f t="shared" si="34"/>
        <v>7811453685</v>
      </c>
      <c r="F700" t="s">
        <v>1367</v>
      </c>
      <c r="G700" t="s">
        <v>1398</v>
      </c>
      <c r="H700" t="s">
        <v>1399</v>
      </c>
      <c r="I700" t="s">
        <v>17</v>
      </c>
      <c r="J700" t="s">
        <v>18</v>
      </c>
    </row>
    <row r="701" spans="1:10" hidden="1" x14ac:dyDescent="0.25">
      <c r="A701" t="s">
        <v>11</v>
      </c>
      <c r="B701" t="str">
        <f>"4-05/04/013"</f>
        <v>4-05/04/013</v>
      </c>
      <c r="C701" t="s">
        <v>100</v>
      </c>
      <c r="D701" t="s">
        <v>1366</v>
      </c>
      <c r="E701" t="str">
        <f t="shared" si="34"/>
        <v>7811453685</v>
      </c>
      <c r="F701" t="s">
        <v>1367</v>
      </c>
      <c r="G701" t="s">
        <v>1400</v>
      </c>
      <c r="H701" t="s">
        <v>1401</v>
      </c>
      <c r="I701" t="s">
        <v>17</v>
      </c>
      <c r="J701" t="s">
        <v>18</v>
      </c>
    </row>
    <row r="702" spans="1:10" hidden="1" x14ac:dyDescent="0.25">
      <c r="A702" t="s">
        <v>11</v>
      </c>
      <c r="B702" t="str">
        <f>"4-05/05/105"</f>
        <v>4-05/05/105</v>
      </c>
      <c r="C702" t="s">
        <v>106</v>
      </c>
      <c r="D702" t="s">
        <v>1366</v>
      </c>
      <c r="E702" t="str">
        <f t="shared" si="34"/>
        <v>7811453685</v>
      </c>
      <c r="F702" t="s">
        <v>1367</v>
      </c>
      <c r="G702" t="s">
        <v>1402</v>
      </c>
      <c r="H702" t="s">
        <v>1403</v>
      </c>
      <c r="I702" t="s">
        <v>17</v>
      </c>
      <c r="J702" t="s">
        <v>18</v>
      </c>
    </row>
    <row r="703" spans="1:10" hidden="1" x14ac:dyDescent="0.25">
      <c r="A703" t="s">
        <v>11</v>
      </c>
      <c r="B703" t="str">
        <f>"4-05/05/176"</f>
        <v>4-05/05/176</v>
      </c>
      <c r="C703" t="s">
        <v>106</v>
      </c>
      <c r="D703" t="s">
        <v>1366</v>
      </c>
      <c r="E703" t="str">
        <f t="shared" si="34"/>
        <v>7811453685</v>
      </c>
      <c r="F703" t="s">
        <v>1367</v>
      </c>
      <c r="G703" t="s">
        <v>1404</v>
      </c>
      <c r="H703" t="s">
        <v>1405</v>
      </c>
      <c r="I703" t="s">
        <v>17</v>
      </c>
      <c r="J703" t="s">
        <v>18</v>
      </c>
    </row>
    <row r="704" spans="1:10" hidden="1" x14ac:dyDescent="0.25">
      <c r="A704" t="s">
        <v>11</v>
      </c>
      <c r="B704" t="str">
        <f>"4-05/05/004"</f>
        <v>4-05/05/004</v>
      </c>
      <c r="C704" t="s">
        <v>106</v>
      </c>
      <c r="D704" t="s">
        <v>1366</v>
      </c>
      <c r="E704" t="str">
        <f t="shared" si="34"/>
        <v>7811453685</v>
      </c>
      <c r="F704" t="s">
        <v>1367</v>
      </c>
      <c r="G704" t="s">
        <v>1406</v>
      </c>
      <c r="H704" t="s">
        <v>1407</v>
      </c>
      <c r="I704" t="s">
        <v>17</v>
      </c>
      <c r="J704" t="s">
        <v>18</v>
      </c>
    </row>
    <row r="705" spans="1:10" hidden="1" x14ac:dyDescent="0.25">
      <c r="A705" t="s">
        <v>846</v>
      </c>
      <c r="B705" t="s">
        <v>847</v>
      </c>
      <c r="C705" t="s">
        <v>847</v>
      </c>
      <c r="D705" t="s">
        <v>1366</v>
      </c>
      <c r="E705" t="str">
        <f>"7727567109"</f>
        <v>7727567109</v>
      </c>
      <c r="F705" t="s">
        <v>1408</v>
      </c>
      <c r="G705" t="s">
        <v>847</v>
      </c>
      <c r="H705" t="s">
        <v>1409</v>
      </c>
      <c r="I705" t="s">
        <v>17</v>
      </c>
      <c r="J705" t="s">
        <v>18</v>
      </c>
    </row>
    <row r="706" spans="1:10" hidden="1" x14ac:dyDescent="0.25">
      <c r="A706" t="s">
        <v>290</v>
      </c>
      <c r="B706" t="s">
        <v>847</v>
      </c>
      <c r="C706" t="s">
        <v>847</v>
      </c>
      <c r="D706" t="s">
        <v>1366</v>
      </c>
      <c r="E706" t="str">
        <f>"7727567109"</f>
        <v>7727567109</v>
      </c>
      <c r="F706" t="s">
        <v>1408</v>
      </c>
      <c r="G706" t="s">
        <v>847</v>
      </c>
      <c r="H706" t="s">
        <v>1410</v>
      </c>
      <c r="I706" t="s">
        <v>17</v>
      </c>
      <c r="J706" t="s">
        <v>18</v>
      </c>
    </row>
    <row r="707" spans="1:10" hidden="1" x14ac:dyDescent="0.25">
      <c r="A707" t="s">
        <v>11</v>
      </c>
      <c r="B707" t="str">
        <f>"191515/777E"</f>
        <v>191515/777E</v>
      </c>
      <c r="C707" t="s">
        <v>12</v>
      </c>
      <c r="D707" t="s">
        <v>1411</v>
      </c>
      <c r="E707" t="str">
        <f>"5003052454"</f>
        <v>5003052454</v>
      </c>
      <c r="F707" t="s">
        <v>14</v>
      </c>
      <c r="G707" t="s">
        <v>1412</v>
      </c>
      <c r="H707" t="s">
        <v>1413</v>
      </c>
      <c r="I707" t="s">
        <v>17</v>
      </c>
      <c r="J707" t="s">
        <v>18</v>
      </c>
    </row>
    <row r="708" spans="1:10" hidden="1" x14ac:dyDescent="0.25">
      <c r="A708" t="s">
        <v>11</v>
      </c>
      <c r="B708" t="str">
        <f>"191514/777E"</f>
        <v>191514/777E</v>
      </c>
      <c r="C708" t="s">
        <v>12</v>
      </c>
      <c r="D708" t="s">
        <v>1411</v>
      </c>
      <c r="E708" t="str">
        <f>"5003052454"</f>
        <v>5003052454</v>
      </c>
      <c r="F708" t="s">
        <v>14</v>
      </c>
      <c r="G708" t="s">
        <v>1414</v>
      </c>
      <c r="H708" t="s">
        <v>1415</v>
      </c>
      <c r="I708" t="s">
        <v>17</v>
      </c>
      <c r="J708" t="s">
        <v>18</v>
      </c>
    </row>
    <row r="709" spans="1:10" hidden="1" x14ac:dyDescent="0.25">
      <c r="A709" t="s">
        <v>11</v>
      </c>
      <c r="B709" t="str">
        <f>"UT-104455"</f>
        <v>UT-104455</v>
      </c>
      <c r="C709" t="s">
        <v>12</v>
      </c>
      <c r="D709" t="s">
        <v>1411</v>
      </c>
      <c r="E709" t="str">
        <f t="shared" ref="E709:E714" si="35">"7806385951"</f>
        <v>7806385951</v>
      </c>
      <c r="F709" t="s">
        <v>26</v>
      </c>
      <c r="G709" t="s">
        <v>1416</v>
      </c>
      <c r="H709" t="s">
        <v>1417</v>
      </c>
      <c r="I709" t="s">
        <v>17</v>
      </c>
      <c r="J709" t="s">
        <v>18</v>
      </c>
    </row>
    <row r="710" spans="1:10" hidden="1" x14ac:dyDescent="0.25">
      <c r="A710" t="s">
        <v>11</v>
      </c>
      <c r="B710" t="str">
        <f>"UT-104453"</f>
        <v>UT-104453</v>
      </c>
      <c r="C710" t="s">
        <v>12</v>
      </c>
      <c r="D710" t="s">
        <v>1411</v>
      </c>
      <c r="E710" t="str">
        <f t="shared" si="35"/>
        <v>7806385951</v>
      </c>
      <c r="F710" t="s">
        <v>26</v>
      </c>
      <c r="G710" t="s">
        <v>1418</v>
      </c>
      <c r="H710" t="s">
        <v>1419</v>
      </c>
      <c r="I710" t="s">
        <v>17</v>
      </c>
      <c r="J710" t="s">
        <v>18</v>
      </c>
    </row>
    <row r="711" spans="1:10" x14ac:dyDescent="0.25">
      <c r="A711" t="s">
        <v>11</v>
      </c>
      <c r="B711" t="str">
        <f>"UT-105190"</f>
        <v>UT-105190</v>
      </c>
      <c r="C711" t="s">
        <v>12</v>
      </c>
      <c r="D711" t="s">
        <v>1411</v>
      </c>
      <c r="E711" t="str">
        <f t="shared" si="35"/>
        <v>7806385951</v>
      </c>
      <c r="F711" t="s">
        <v>26</v>
      </c>
      <c r="G711" t="s">
        <v>1420</v>
      </c>
      <c r="H711" t="s">
        <v>1421</v>
      </c>
      <c r="I711" t="s">
        <v>17</v>
      </c>
      <c r="J711" t="s">
        <v>166</v>
      </c>
    </row>
    <row r="712" spans="1:10" hidden="1" x14ac:dyDescent="0.25">
      <c r="A712" t="s">
        <v>11</v>
      </c>
      <c r="B712" t="str">
        <f>"UT-105199"</f>
        <v>UT-105199</v>
      </c>
      <c r="C712" t="s">
        <v>12</v>
      </c>
      <c r="D712" t="s">
        <v>1411</v>
      </c>
      <c r="E712" t="str">
        <f t="shared" si="35"/>
        <v>7806385951</v>
      </c>
      <c r="F712" t="s">
        <v>26</v>
      </c>
      <c r="G712" t="s">
        <v>1422</v>
      </c>
      <c r="H712" t="s">
        <v>1423</v>
      </c>
      <c r="I712" t="s">
        <v>17</v>
      </c>
      <c r="J712" t="s">
        <v>18</v>
      </c>
    </row>
    <row r="713" spans="1:10" hidden="1" x14ac:dyDescent="0.25">
      <c r="A713" t="s">
        <v>11</v>
      </c>
      <c r="B713" t="str">
        <f>"UT-105219"</f>
        <v>UT-105219</v>
      </c>
      <c r="C713" t="s">
        <v>12</v>
      </c>
      <c r="D713" t="s">
        <v>1411</v>
      </c>
      <c r="E713" t="str">
        <f t="shared" si="35"/>
        <v>7806385951</v>
      </c>
      <c r="F713" t="s">
        <v>26</v>
      </c>
      <c r="G713" t="s">
        <v>1424</v>
      </c>
      <c r="H713" t="s">
        <v>1425</v>
      </c>
      <c r="I713" t="s">
        <v>17</v>
      </c>
      <c r="J713" t="s">
        <v>18</v>
      </c>
    </row>
    <row r="714" spans="1:10" hidden="1" x14ac:dyDescent="0.25">
      <c r="A714" t="s">
        <v>11</v>
      </c>
      <c r="B714" t="str">
        <f>"UT-105684"</f>
        <v>UT-105684</v>
      </c>
      <c r="C714" t="s">
        <v>12</v>
      </c>
      <c r="D714" t="s">
        <v>1411</v>
      </c>
      <c r="E714" t="str">
        <f t="shared" si="35"/>
        <v>7806385951</v>
      </c>
      <c r="F714" t="s">
        <v>26</v>
      </c>
      <c r="G714" t="s">
        <v>1426</v>
      </c>
      <c r="H714" t="s">
        <v>1427</v>
      </c>
      <c r="I714" t="s">
        <v>17</v>
      </c>
      <c r="J714" t="s">
        <v>18</v>
      </c>
    </row>
    <row r="715" spans="1:10" hidden="1" x14ac:dyDescent="0.25">
      <c r="A715" t="s">
        <v>11</v>
      </c>
      <c r="B715" t="str">
        <f>"7720/8174359443"</f>
        <v>7720/8174359443</v>
      </c>
      <c r="C715" t="s">
        <v>12</v>
      </c>
      <c r="D715" t="s">
        <v>1411</v>
      </c>
      <c r="E715" t="str">
        <f>"5032260402"</f>
        <v>5032260402</v>
      </c>
      <c r="F715" t="s">
        <v>341</v>
      </c>
      <c r="G715" t="s">
        <v>1428</v>
      </c>
      <c r="H715" t="s">
        <v>1429</v>
      </c>
      <c r="I715" t="s">
        <v>17</v>
      </c>
      <c r="J715" t="s">
        <v>18</v>
      </c>
    </row>
    <row r="716" spans="1:10" hidden="1" x14ac:dyDescent="0.25">
      <c r="A716" t="s">
        <v>11</v>
      </c>
      <c r="B716" t="str">
        <f>"2023/30/03/0134638/05"</f>
        <v>2023/30/03/0134638/05</v>
      </c>
      <c r="C716" t="s">
        <v>12</v>
      </c>
      <c r="D716" t="s">
        <v>1411</v>
      </c>
      <c r="E716" t="str">
        <f>"7718151150"</f>
        <v>7718151150</v>
      </c>
      <c r="F716" t="s">
        <v>54</v>
      </c>
      <c r="G716" t="s">
        <v>1430</v>
      </c>
      <c r="H716" t="s">
        <v>1431</v>
      </c>
      <c r="I716" t="s">
        <v>17</v>
      </c>
      <c r="J716" t="s">
        <v>18</v>
      </c>
    </row>
    <row r="717" spans="1:10" hidden="1" x14ac:dyDescent="0.25">
      <c r="A717" t="s">
        <v>11</v>
      </c>
      <c r="B717" t="str">
        <f>"0123529867-0011/0205"</f>
        <v>0123529867-0011/0205</v>
      </c>
      <c r="C717" t="s">
        <v>12</v>
      </c>
      <c r="D717" t="s">
        <v>1411</v>
      </c>
      <c r="E717" t="str">
        <f>"7704217370"</f>
        <v>7704217370</v>
      </c>
      <c r="F717" t="s">
        <v>1432</v>
      </c>
      <c r="G717" t="s">
        <v>1433</v>
      </c>
      <c r="H717" t="s">
        <v>1434</v>
      </c>
      <c r="I717" t="s">
        <v>17</v>
      </c>
      <c r="J717" t="s">
        <v>18</v>
      </c>
    </row>
    <row r="718" spans="1:10" hidden="1" x14ac:dyDescent="0.25">
      <c r="A718" t="s">
        <v>11</v>
      </c>
      <c r="B718" t="str">
        <f>"UT-106895"</f>
        <v>UT-106895</v>
      </c>
      <c r="C718" t="s">
        <v>65</v>
      </c>
      <c r="D718" t="s">
        <v>1411</v>
      </c>
      <c r="E718" t="str">
        <f>"7806385951"</f>
        <v>7806385951</v>
      </c>
      <c r="F718" t="s">
        <v>26</v>
      </c>
      <c r="G718" t="s">
        <v>1435</v>
      </c>
      <c r="H718" t="s">
        <v>1436</v>
      </c>
      <c r="I718" t="s">
        <v>17</v>
      </c>
      <c r="J718" t="s">
        <v>18</v>
      </c>
    </row>
    <row r="719" spans="1:10" hidden="1" x14ac:dyDescent="0.25">
      <c r="A719" t="s">
        <v>11</v>
      </c>
      <c r="B719" t="str">
        <f>"UT-106827"</f>
        <v>UT-106827</v>
      </c>
      <c r="C719" t="s">
        <v>65</v>
      </c>
      <c r="D719" t="s">
        <v>1411</v>
      </c>
      <c r="E719" t="str">
        <f>"7806385951"</f>
        <v>7806385951</v>
      </c>
      <c r="F719" t="s">
        <v>26</v>
      </c>
      <c r="G719" t="s">
        <v>1437</v>
      </c>
      <c r="H719" t="s">
        <v>1438</v>
      </c>
      <c r="I719" t="s">
        <v>17</v>
      </c>
      <c r="J719" t="s">
        <v>18</v>
      </c>
    </row>
    <row r="720" spans="1:10" hidden="1" x14ac:dyDescent="0.25">
      <c r="A720" t="s">
        <v>11</v>
      </c>
      <c r="B720" t="str">
        <f>"2023/30/03/0134834/38"</f>
        <v>2023/30/03/0134834/38</v>
      </c>
      <c r="C720" t="s">
        <v>12</v>
      </c>
      <c r="D720" t="s">
        <v>1411</v>
      </c>
      <c r="E720" t="str">
        <f>"7718151150"</f>
        <v>7718151150</v>
      </c>
      <c r="F720" t="s">
        <v>54</v>
      </c>
      <c r="G720" t="s">
        <v>1439</v>
      </c>
      <c r="H720" t="s">
        <v>1440</v>
      </c>
      <c r="I720" t="s">
        <v>17</v>
      </c>
      <c r="J720" t="s">
        <v>18</v>
      </c>
    </row>
    <row r="721" spans="1:10" hidden="1" x14ac:dyDescent="0.25">
      <c r="A721" t="s">
        <v>11</v>
      </c>
      <c r="B721" t="str">
        <f>"УТ-405-000036"</f>
        <v>УТ-405-000036</v>
      </c>
      <c r="C721" t="s">
        <v>100</v>
      </c>
      <c r="D721" t="s">
        <v>1411</v>
      </c>
      <c r="E721" t="str">
        <f>"7839454551"</f>
        <v>7839454551</v>
      </c>
      <c r="F721" t="s">
        <v>57</v>
      </c>
      <c r="G721" t="s">
        <v>1441</v>
      </c>
      <c r="H721" t="s">
        <v>1442</v>
      </c>
      <c r="I721" t="s">
        <v>17</v>
      </c>
      <c r="J721" t="s">
        <v>18</v>
      </c>
    </row>
    <row r="722" spans="1:10" hidden="1" x14ac:dyDescent="0.25">
      <c r="A722" t="s">
        <v>11</v>
      </c>
      <c r="B722" t="str">
        <f>"УТ-405-000034"</f>
        <v>УТ-405-000034</v>
      </c>
      <c r="C722" t="s">
        <v>100</v>
      </c>
      <c r="D722" t="s">
        <v>1411</v>
      </c>
      <c r="E722" t="str">
        <f>"7839454551"</f>
        <v>7839454551</v>
      </c>
      <c r="F722" t="s">
        <v>57</v>
      </c>
      <c r="G722" t="s">
        <v>614</v>
      </c>
      <c r="H722" t="s">
        <v>1443</v>
      </c>
      <c r="I722" t="s">
        <v>17</v>
      </c>
      <c r="J722" t="s">
        <v>18</v>
      </c>
    </row>
    <row r="723" spans="1:10" hidden="1" x14ac:dyDescent="0.25">
      <c r="A723" t="s">
        <v>11</v>
      </c>
      <c r="B723" t="str">
        <f>"2023/30/03/0137105/05"</f>
        <v>2023/30/03/0137105/05</v>
      </c>
      <c r="C723" t="s">
        <v>65</v>
      </c>
      <c r="D723" t="s">
        <v>1411</v>
      </c>
      <c r="E723" t="str">
        <f>"7718151150"</f>
        <v>7718151150</v>
      </c>
      <c r="F723" t="s">
        <v>54</v>
      </c>
      <c r="G723" t="s">
        <v>1444</v>
      </c>
      <c r="H723" t="s">
        <v>1445</v>
      </c>
      <c r="I723" t="s">
        <v>17</v>
      </c>
      <c r="J723" t="s">
        <v>18</v>
      </c>
    </row>
    <row r="724" spans="1:10" hidden="1" x14ac:dyDescent="0.25">
      <c r="A724" t="s">
        <v>11</v>
      </c>
      <c r="B724" t="str">
        <f>"2023/30/03/0137084/05"</f>
        <v>2023/30/03/0137084/05</v>
      </c>
      <c r="C724" t="s">
        <v>65</v>
      </c>
      <c r="D724" t="s">
        <v>1411</v>
      </c>
      <c r="E724" t="str">
        <f>"7718151150"</f>
        <v>7718151150</v>
      </c>
      <c r="F724" t="s">
        <v>54</v>
      </c>
      <c r="G724" t="s">
        <v>1444</v>
      </c>
      <c r="H724" t="s">
        <v>1446</v>
      </c>
      <c r="I724" t="s">
        <v>17</v>
      </c>
      <c r="J724" t="s">
        <v>18</v>
      </c>
    </row>
    <row r="725" spans="1:10" hidden="1" x14ac:dyDescent="0.25">
      <c r="A725" t="s">
        <v>11</v>
      </c>
      <c r="B725" t="str">
        <f>"28432"</f>
        <v>28432</v>
      </c>
      <c r="C725" t="s">
        <v>100</v>
      </c>
      <c r="D725" t="s">
        <v>1411</v>
      </c>
      <c r="E725" t="str">
        <f>"7729488999"</f>
        <v>7729488999</v>
      </c>
      <c r="F725" t="s">
        <v>85</v>
      </c>
      <c r="G725" t="s">
        <v>1447</v>
      </c>
      <c r="H725" t="s">
        <v>1448</v>
      </c>
      <c r="I725" t="s">
        <v>17</v>
      </c>
      <c r="J725" t="s">
        <v>18</v>
      </c>
    </row>
    <row r="726" spans="1:10" hidden="1" x14ac:dyDescent="0.25">
      <c r="A726" t="s">
        <v>11</v>
      </c>
      <c r="B726" t="str">
        <f>"28380"</f>
        <v>28380</v>
      </c>
      <c r="C726" t="s">
        <v>100</v>
      </c>
      <c r="D726" t="s">
        <v>1411</v>
      </c>
      <c r="E726" t="str">
        <f>"7729488999"</f>
        <v>7729488999</v>
      </c>
      <c r="F726" t="s">
        <v>85</v>
      </c>
      <c r="G726" t="s">
        <v>1449</v>
      </c>
      <c r="H726" t="s">
        <v>1450</v>
      </c>
      <c r="I726" t="s">
        <v>17</v>
      </c>
      <c r="J726" t="s">
        <v>18</v>
      </c>
    </row>
    <row r="727" spans="1:10" hidden="1" x14ac:dyDescent="0.25">
      <c r="A727" t="s">
        <v>11</v>
      </c>
      <c r="B727" t="str">
        <f>"UT-108036"</f>
        <v>UT-108036</v>
      </c>
      <c r="C727" t="s">
        <v>100</v>
      </c>
      <c r="D727" t="s">
        <v>1411</v>
      </c>
      <c r="E727" t="str">
        <f t="shared" ref="E727:E740" si="36">"7806385951"</f>
        <v>7806385951</v>
      </c>
      <c r="F727" t="s">
        <v>26</v>
      </c>
      <c r="G727" t="s">
        <v>1451</v>
      </c>
      <c r="H727" t="s">
        <v>1452</v>
      </c>
      <c r="I727" t="s">
        <v>17</v>
      </c>
      <c r="J727" t="s">
        <v>18</v>
      </c>
    </row>
    <row r="728" spans="1:10" hidden="1" x14ac:dyDescent="0.25">
      <c r="A728" t="s">
        <v>11</v>
      </c>
      <c r="B728" t="str">
        <f>"UT-107983"</f>
        <v>UT-107983</v>
      </c>
      <c r="C728" t="s">
        <v>100</v>
      </c>
      <c r="D728" t="s">
        <v>1411</v>
      </c>
      <c r="E728" t="str">
        <f t="shared" si="36"/>
        <v>7806385951</v>
      </c>
      <c r="F728" t="s">
        <v>26</v>
      </c>
      <c r="G728" t="s">
        <v>1453</v>
      </c>
      <c r="H728" t="s">
        <v>1454</v>
      </c>
      <c r="I728" t="s">
        <v>17</v>
      </c>
      <c r="J728" t="s">
        <v>18</v>
      </c>
    </row>
    <row r="729" spans="1:10" x14ac:dyDescent="0.25">
      <c r="A729" t="s">
        <v>11</v>
      </c>
      <c r="B729" t="str">
        <f>"UT-107984"</f>
        <v>UT-107984</v>
      </c>
      <c r="C729" t="s">
        <v>100</v>
      </c>
      <c r="D729" t="s">
        <v>1411</v>
      </c>
      <c r="E729" t="str">
        <f t="shared" si="36"/>
        <v>7806385951</v>
      </c>
      <c r="F729" t="s">
        <v>26</v>
      </c>
      <c r="G729" t="s">
        <v>39</v>
      </c>
      <c r="H729" t="s">
        <v>1455</v>
      </c>
      <c r="I729" t="s">
        <v>17</v>
      </c>
      <c r="J729" t="s">
        <v>166</v>
      </c>
    </row>
    <row r="730" spans="1:10" hidden="1" x14ac:dyDescent="0.25">
      <c r="A730" t="s">
        <v>11</v>
      </c>
      <c r="B730" t="str">
        <f>"UT-107985"</f>
        <v>UT-107985</v>
      </c>
      <c r="C730" t="s">
        <v>100</v>
      </c>
      <c r="D730" t="s">
        <v>1411</v>
      </c>
      <c r="E730" t="str">
        <f t="shared" si="36"/>
        <v>7806385951</v>
      </c>
      <c r="F730" t="s">
        <v>26</v>
      </c>
      <c r="G730" t="s">
        <v>1456</v>
      </c>
      <c r="H730" t="s">
        <v>1457</v>
      </c>
      <c r="I730" t="s">
        <v>17</v>
      </c>
      <c r="J730" t="s">
        <v>18</v>
      </c>
    </row>
    <row r="731" spans="1:10" hidden="1" x14ac:dyDescent="0.25">
      <c r="A731" t="s">
        <v>11</v>
      </c>
      <c r="B731" t="str">
        <f>"UT-107986"</f>
        <v>UT-107986</v>
      </c>
      <c r="C731" t="s">
        <v>100</v>
      </c>
      <c r="D731" t="s">
        <v>1411</v>
      </c>
      <c r="E731" t="str">
        <f t="shared" si="36"/>
        <v>7806385951</v>
      </c>
      <c r="F731" t="s">
        <v>26</v>
      </c>
      <c r="G731" t="s">
        <v>1458</v>
      </c>
      <c r="H731" t="s">
        <v>1459</v>
      </c>
      <c r="I731" t="s">
        <v>17</v>
      </c>
      <c r="J731" t="s">
        <v>18</v>
      </c>
    </row>
    <row r="732" spans="1:10" x14ac:dyDescent="0.25">
      <c r="A732" t="s">
        <v>11</v>
      </c>
      <c r="B732" t="str">
        <f>"UT-108037"</f>
        <v>UT-108037</v>
      </c>
      <c r="C732" t="s">
        <v>100</v>
      </c>
      <c r="D732" t="s">
        <v>1411</v>
      </c>
      <c r="E732" t="str">
        <f t="shared" si="36"/>
        <v>7806385951</v>
      </c>
      <c r="F732" t="s">
        <v>26</v>
      </c>
      <c r="G732" t="s">
        <v>66</v>
      </c>
      <c r="H732" t="s">
        <v>1460</v>
      </c>
      <c r="I732" t="s">
        <v>17</v>
      </c>
      <c r="J732" t="s">
        <v>166</v>
      </c>
    </row>
    <row r="733" spans="1:10" hidden="1" x14ac:dyDescent="0.25">
      <c r="A733" t="s">
        <v>11</v>
      </c>
      <c r="B733" t="str">
        <f>"UT-108039"</f>
        <v>UT-108039</v>
      </c>
      <c r="C733" t="s">
        <v>100</v>
      </c>
      <c r="D733" t="s">
        <v>1411</v>
      </c>
      <c r="E733" t="str">
        <f t="shared" si="36"/>
        <v>7806385951</v>
      </c>
      <c r="F733" t="s">
        <v>26</v>
      </c>
      <c r="G733" t="s">
        <v>1461</v>
      </c>
      <c r="H733" t="s">
        <v>1462</v>
      </c>
      <c r="I733" t="s">
        <v>17</v>
      </c>
      <c r="J733" t="s">
        <v>18</v>
      </c>
    </row>
    <row r="734" spans="1:10" hidden="1" x14ac:dyDescent="0.25">
      <c r="A734" t="s">
        <v>11</v>
      </c>
      <c r="B734" t="str">
        <f>"UT-108356"</f>
        <v>UT-108356</v>
      </c>
      <c r="C734" t="s">
        <v>100</v>
      </c>
      <c r="D734" t="s">
        <v>1411</v>
      </c>
      <c r="E734" t="str">
        <f t="shared" si="36"/>
        <v>7806385951</v>
      </c>
      <c r="F734" t="s">
        <v>26</v>
      </c>
      <c r="G734" t="s">
        <v>1463</v>
      </c>
      <c r="H734" t="s">
        <v>1464</v>
      </c>
      <c r="I734" t="s">
        <v>17</v>
      </c>
      <c r="J734" t="s">
        <v>18</v>
      </c>
    </row>
    <row r="735" spans="1:10" x14ac:dyDescent="0.25">
      <c r="A735" t="s">
        <v>11</v>
      </c>
      <c r="B735" t="str">
        <f>"UT-108397"</f>
        <v>UT-108397</v>
      </c>
      <c r="C735" t="s">
        <v>100</v>
      </c>
      <c r="D735" t="s">
        <v>1411</v>
      </c>
      <c r="E735" t="str">
        <f t="shared" si="36"/>
        <v>7806385951</v>
      </c>
      <c r="F735" t="s">
        <v>26</v>
      </c>
      <c r="G735" t="s">
        <v>1465</v>
      </c>
      <c r="H735" t="s">
        <v>1466</v>
      </c>
      <c r="I735" t="s">
        <v>17</v>
      </c>
      <c r="J735" t="s">
        <v>166</v>
      </c>
    </row>
    <row r="736" spans="1:10" hidden="1" x14ac:dyDescent="0.25">
      <c r="A736" t="s">
        <v>11</v>
      </c>
      <c r="B736" t="str">
        <f>"UT-108255"</f>
        <v>UT-108255</v>
      </c>
      <c r="C736" t="s">
        <v>100</v>
      </c>
      <c r="D736" t="s">
        <v>1411</v>
      </c>
      <c r="E736" t="str">
        <f t="shared" si="36"/>
        <v>7806385951</v>
      </c>
      <c r="F736" t="s">
        <v>26</v>
      </c>
      <c r="G736" t="s">
        <v>1467</v>
      </c>
      <c r="H736" t="s">
        <v>1468</v>
      </c>
      <c r="I736" t="s">
        <v>17</v>
      </c>
      <c r="J736" t="s">
        <v>18</v>
      </c>
    </row>
    <row r="737" spans="1:10" hidden="1" x14ac:dyDescent="0.25">
      <c r="A737" t="s">
        <v>11</v>
      </c>
      <c r="B737" t="str">
        <f>"UT-108399"</f>
        <v>UT-108399</v>
      </c>
      <c r="C737" t="s">
        <v>100</v>
      </c>
      <c r="D737" t="s">
        <v>1411</v>
      </c>
      <c r="E737" t="str">
        <f t="shared" si="36"/>
        <v>7806385951</v>
      </c>
      <c r="F737" t="s">
        <v>26</v>
      </c>
      <c r="G737" t="s">
        <v>1469</v>
      </c>
      <c r="H737" t="s">
        <v>1470</v>
      </c>
      <c r="I737" t="s">
        <v>17</v>
      </c>
      <c r="J737" t="s">
        <v>18</v>
      </c>
    </row>
    <row r="738" spans="1:10" hidden="1" x14ac:dyDescent="0.25">
      <c r="A738" t="s">
        <v>11</v>
      </c>
      <c r="B738" t="str">
        <f>"UT-108038"</f>
        <v>UT-108038</v>
      </c>
      <c r="C738" t="s">
        <v>100</v>
      </c>
      <c r="D738" t="s">
        <v>1411</v>
      </c>
      <c r="E738" t="str">
        <f t="shared" si="36"/>
        <v>7806385951</v>
      </c>
      <c r="F738" t="s">
        <v>26</v>
      </c>
      <c r="G738" t="s">
        <v>1471</v>
      </c>
      <c r="H738" t="s">
        <v>1472</v>
      </c>
      <c r="I738" t="s">
        <v>17</v>
      </c>
      <c r="J738" t="s">
        <v>18</v>
      </c>
    </row>
    <row r="739" spans="1:10" hidden="1" x14ac:dyDescent="0.25">
      <c r="A739" t="s">
        <v>11</v>
      </c>
      <c r="B739" t="str">
        <f>"UT-108398"</f>
        <v>UT-108398</v>
      </c>
      <c r="C739" t="s">
        <v>100</v>
      </c>
      <c r="D739" t="s">
        <v>1411</v>
      </c>
      <c r="E739" t="str">
        <f t="shared" si="36"/>
        <v>7806385951</v>
      </c>
      <c r="F739" t="s">
        <v>26</v>
      </c>
      <c r="G739" t="s">
        <v>1473</v>
      </c>
      <c r="H739" t="s">
        <v>1474</v>
      </c>
      <c r="I739" t="s">
        <v>17</v>
      </c>
      <c r="J739" t="s">
        <v>18</v>
      </c>
    </row>
    <row r="740" spans="1:10" hidden="1" x14ac:dyDescent="0.25">
      <c r="A740" t="s">
        <v>11</v>
      </c>
      <c r="B740" t="str">
        <f>"UT-108256"</f>
        <v>UT-108256</v>
      </c>
      <c r="C740" t="s">
        <v>100</v>
      </c>
      <c r="D740" t="s">
        <v>1411</v>
      </c>
      <c r="E740" t="str">
        <f t="shared" si="36"/>
        <v>7806385951</v>
      </c>
      <c r="F740" t="s">
        <v>26</v>
      </c>
      <c r="G740" t="s">
        <v>1475</v>
      </c>
      <c r="H740" t="s">
        <v>1476</v>
      </c>
      <c r="I740" t="s">
        <v>17</v>
      </c>
      <c r="J740" t="s">
        <v>21</v>
      </c>
    </row>
    <row r="741" spans="1:10" hidden="1" x14ac:dyDescent="0.25">
      <c r="A741" t="s">
        <v>11</v>
      </c>
      <c r="B741" t="str">
        <f>"7720/8174453499"</f>
        <v>7720/8174453499</v>
      </c>
      <c r="C741" t="s">
        <v>100</v>
      </c>
      <c r="D741" t="s">
        <v>1411</v>
      </c>
      <c r="E741" t="str">
        <f>"5032260402"</f>
        <v>5032260402</v>
      </c>
      <c r="F741" t="s">
        <v>341</v>
      </c>
      <c r="G741" t="s">
        <v>1477</v>
      </c>
      <c r="H741" t="s">
        <v>1478</v>
      </c>
      <c r="I741" t="s">
        <v>17</v>
      </c>
      <c r="J741" t="s">
        <v>18</v>
      </c>
    </row>
    <row r="742" spans="1:10" hidden="1" x14ac:dyDescent="0.25">
      <c r="A742" t="s">
        <v>11</v>
      </c>
      <c r="B742" t="str">
        <f>"SR110023085"</f>
        <v>SR110023085</v>
      </c>
      <c r="C742" t="s">
        <v>100</v>
      </c>
      <c r="D742" t="s">
        <v>1411</v>
      </c>
      <c r="E742" t="str">
        <f>"4725006920"</f>
        <v>4725006920</v>
      </c>
      <c r="F742" t="s">
        <v>101</v>
      </c>
      <c r="G742" t="s">
        <v>1479</v>
      </c>
      <c r="H742" t="s">
        <v>1480</v>
      </c>
      <c r="I742" t="s">
        <v>17</v>
      </c>
      <c r="J742" t="s">
        <v>21</v>
      </c>
    </row>
    <row r="743" spans="1:10" hidden="1" x14ac:dyDescent="0.25">
      <c r="A743" t="s">
        <v>11</v>
      </c>
      <c r="B743" t="str">
        <f>"SR110023078"</f>
        <v>SR110023078</v>
      </c>
      <c r="C743" t="s">
        <v>106</v>
      </c>
      <c r="D743" t="s">
        <v>1411</v>
      </c>
      <c r="E743" t="str">
        <f>"4725006920"</f>
        <v>4725006920</v>
      </c>
      <c r="F743" t="s">
        <v>101</v>
      </c>
      <c r="G743" t="s">
        <v>1481</v>
      </c>
      <c r="H743" t="s">
        <v>1482</v>
      </c>
      <c r="I743" t="s">
        <v>17</v>
      </c>
      <c r="J743" t="s">
        <v>18</v>
      </c>
    </row>
    <row r="744" spans="1:10" hidden="1" x14ac:dyDescent="0.25">
      <c r="A744" t="s">
        <v>11</v>
      </c>
      <c r="B744" t="str">
        <f>"УТ-505-000015"</f>
        <v>УТ-505-000015</v>
      </c>
      <c r="C744" t="s">
        <v>106</v>
      </c>
      <c r="D744" t="s">
        <v>1411</v>
      </c>
      <c r="E744" t="str">
        <f>"7839454551"</f>
        <v>7839454551</v>
      </c>
      <c r="F744" t="s">
        <v>57</v>
      </c>
      <c r="G744" t="s">
        <v>1483</v>
      </c>
      <c r="H744" t="s">
        <v>1484</v>
      </c>
      <c r="I744" t="s">
        <v>17</v>
      </c>
      <c r="J744" t="s">
        <v>18</v>
      </c>
    </row>
    <row r="745" spans="1:10" hidden="1" x14ac:dyDescent="0.25">
      <c r="A745" t="s">
        <v>11</v>
      </c>
      <c r="B745" t="str">
        <f>"УТ-505-000008"</f>
        <v>УТ-505-000008</v>
      </c>
      <c r="C745" t="s">
        <v>106</v>
      </c>
      <c r="D745" t="s">
        <v>1411</v>
      </c>
      <c r="E745" t="str">
        <f>"7839454551"</f>
        <v>7839454551</v>
      </c>
      <c r="F745" t="s">
        <v>57</v>
      </c>
      <c r="G745" t="s">
        <v>1485</v>
      </c>
      <c r="H745" t="s">
        <v>1486</v>
      </c>
      <c r="I745" t="s">
        <v>17</v>
      </c>
      <c r="J745" t="s">
        <v>18</v>
      </c>
    </row>
    <row r="746" spans="1:10" hidden="1" x14ac:dyDescent="0.25">
      <c r="A746" t="s">
        <v>11</v>
      </c>
      <c r="B746" t="str">
        <f>"198884/777E"</f>
        <v>198884/777E</v>
      </c>
      <c r="C746" t="s">
        <v>106</v>
      </c>
      <c r="D746" t="s">
        <v>1411</v>
      </c>
      <c r="E746" t="str">
        <f>"5003052454"</f>
        <v>5003052454</v>
      </c>
      <c r="F746" t="s">
        <v>14</v>
      </c>
      <c r="G746" t="s">
        <v>1487</v>
      </c>
      <c r="H746" t="s">
        <v>1488</v>
      </c>
      <c r="I746" t="s">
        <v>17</v>
      </c>
      <c r="J746" t="s">
        <v>18</v>
      </c>
    </row>
    <row r="747" spans="1:10" hidden="1" x14ac:dyDescent="0.25">
      <c r="A747" t="s">
        <v>11</v>
      </c>
      <c r="B747" t="str">
        <f>"198885/777E"</f>
        <v>198885/777E</v>
      </c>
      <c r="C747" t="s">
        <v>106</v>
      </c>
      <c r="D747" t="s">
        <v>1411</v>
      </c>
      <c r="E747" t="str">
        <f>"5003052454"</f>
        <v>5003052454</v>
      </c>
      <c r="F747" t="s">
        <v>14</v>
      </c>
      <c r="G747" t="s">
        <v>1489</v>
      </c>
      <c r="H747" t="s">
        <v>1490</v>
      </c>
      <c r="I747" t="s">
        <v>17</v>
      </c>
      <c r="J747" t="s">
        <v>18</v>
      </c>
    </row>
    <row r="748" spans="1:10" hidden="1" x14ac:dyDescent="0.25">
      <c r="A748" t="s">
        <v>11</v>
      </c>
      <c r="B748" t="str">
        <f>"198912/777E"</f>
        <v>198912/777E</v>
      </c>
      <c r="C748" t="s">
        <v>106</v>
      </c>
      <c r="D748" t="s">
        <v>1411</v>
      </c>
      <c r="E748" t="str">
        <f>"5003052454"</f>
        <v>5003052454</v>
      </c>
      <c r="F748" t="s">
        <v>14</v>
      </c>
      <c r="G748" t="s">
        <v>1491</v>
      </c>
      <c r="H748" t="s">
        <v>1492</v>
      </c>
      <c r="I748" t="s">
        <v>17</v>
      </c>
      <c r="J748" t="s">
        <v>18</v>
      </c>
    </row>
    <row r="749" spans="1:10" hidden="1" x14ac:dyDescent="0.25">
      <c r="A749" t="s">
        <v>11</v>
      </c>
      <c r="B749" t="str">
        <f>"198913/777E"</f>
        <v>198913/777E</v>
      </c>
      <c r="C749" t="s">
        <v>106</v>
      </c>
      <c r="D749" t="s">
        <v>1411</v>
      </c>
      <c r="E749" t="str">
        <f>"5003052454"</f>
        <v>5003052454</v>
      </c>
      <c r="F749" t="s">
        <v>14</v>
      </c>
      <c r="G749" t="s">
        <v>1493</v>
      </c>
      <c r="H749" t="s">
        <v>1494</v>
      </c>
      <c r="I749" t="s">
        <v>17</v>
      </c>
      <c r="J749" t="s">
        <v>18</v>
      </c>
    </row>
    <row r="750" spans="1:10" hidden="1" x14ac:dyDescent="0.25">
      <c r="A750" t="s">
        <v>11</v>
      </c>
      <c r="B750" t="str">
        <f>"UT-109747"</f>
        <v>UT-109747</v>
      </c>
      <c r="C750" t="s">
        <v>106</v>
      </c>
      <c r="D750" t="s">
        <v>1411</v>
      </c>
      <c r="E750" t="str">
        <f>"7806385951"</f>
        <v>7806385951</v>
      </c>
      <c r="F750" t="s">
        <v>26</v>
      </c>
      <c r="G750" t="s">
        <v>1495</v>
      </c>
      <c r="H750" t="s">
        <v>1496</v>
      </c>
      <c r="I750" t="s">
        <v>17</v>
      </c>
      <c r="J750" t="s">
        <v>18</v>
      </c>
    </row>
    <row r="751" spans="1:10" hidden="1" x14ac:dyDescent="0.25">
      <c r="A751" t="s">
        <v>11</v>
      </c>
      <c r="B751" t="str">
        <f>"UT-109800"</f>
        <v>UT-109800</v>
      </c>
      <c r="C751" t="s">
        <v>106</v>
      </c>
      <c r="D751" t="s">
        <v>1411</v>
      </c>
      <c r="E751" t="str">
        <f>"7806385951"</f>
        <v>7806385951</v>
      </c>
      <c r="F751" t="s">
        <v>26</v>
      </c>
      <c r="G751" t="s">
        <v>1497</v>
      </c>
      <c r="H751" t="s">
        <v>1498</v>
      </c>
      <c r="I751" t="s">
        <v>17</v>
      </c>
      <c r="J751" t="s">
        <v>18</v>
      </c>
    </row>
    <row r="752" spans="1:10" hidden="1" x14ac:dyDescent="0.25">
      <c r="A752" t="s">
        <v>11</v>
      </c>
      <c r="B752" t="str">
        <f>"2023/30/03/0137904/05"</f>
        <v>2023/30/03/0137904/05</v>
      </c>
      <c r="C752" t="s">
        <v>100</v>
      </c>
      <c r="D752" t="s">
        <v>1411</v>
      </c>
      <c r="E752" t="str">
        <f>"7718151150"</f>
        <v>7718151150</v>
      </c>
      <c r="F752" t="s">
        <v>54</v>
      </c>
      <c r="G752" t="s">
        <v>1499</v>
      </c>
      <c r="H752" t="s">
        <v>1500</v>
      </c>
      <c r="I752" t="s">
        <v>17</v>
      </c>
      <c r="J752" t="s">
        <v>18</v>
      </c>
    </row>
    <row r="753" spans="1:10" hidden="1" x14ac:dyDescent="0.25">
      <c r="A753" t="s">
        <v>11</v>
      </c>
      <c r="B753" t="str">
        <f>"2023/30/03/0137905/05"</f>
        <v>2023/30/03/0137905/05</v>
      </c>
      <c r="C753" t="s">
        <v>100</v>
      </c>
      <c r="D753" t="s">
        <v>1411</v>
      </c>
      <c r="E753" t="str">
        <f>"7718151150"</f>
        <v>7718151150</v>
      </c>
      <c r="F753" t="s">
        <v>54</v>
      </c>
      <c r="G753" t="s">
        <v>1444</v>
      </c>
      <c r="H753" t="s">
        <v>1501</v>
      </c>
      <c r="I753" t="s">
        <v>17</v>
      </c>
      <c r="J753" t="s">
        <v>18</v>
      </c>
    </row>
    <row r="754" spans="1:10" hidden="1" x14ac:dyDescent="0.25">
      <c r="A754" t="s">
        <v>11</v>
      </c>
      <c r="B754" t="str">
        <f>"17120505-03"</f>
        <v>17120505-03</v>
      </c>
      <c r="C754" t="s">
        <v>106</v>
      </c>
      <c r="D754" t="s">
        <v>1411</v>
      </c>
      <c r="E754" t="str">
        <f>"7709242041"</f>
        <v>7709242041</v>
      </c>
      <c r="F754" t="s">
        <v>1502</v>
      </c>
      <c r="G754" t="s">
        <v>1503</v>
      </c>
      <c r="H754" t="s">
        <v>1504</v>
      </c>
      <c r="I754" t="s">
        <v>17</v>
      </c>
      <c r="J754" t="s">
        <v>18</v>
      </c>
    </row>
    <row r="755" spans="1:10" hidden="1" x14ac:dyDescent="0.25">
      <c r="A755" t="s">
        <v>11</v>
      </c>
      <c r="B755" t="str">
        <f>"15510505-02"</f>
        <v>15510505-02</v>
      </c>
      <c r="C755" t="s">
        <v>106</v>
      </c>
      <c r="D755" t="s">
        <v>1411</v>
      </c>
      <c r="E755" t="str">
        <f>"7709242041"</f>
        <v>7709242041</v>
      </c>
      <c r="F755" t="s">
        <v>1502</v>
      </c>
      <c r="G755" t="s">
        <v>1505</v>
      </c>
      <c r="H755" t="s">
        <v>1506</v>
      </c>
      <c r="I755" t="s">
        <v>17</v>
      </c>
      <c r="J755" t="s">
        <v>21</v>
      </c>
    </row>
    <row r="756" spans="1:10" hidden="1" x14ac:dyDescent="0.25">
      <c r="A756" t="s">
        <v>11</v>
      </c>
      <c r="B756" t="str">
        <f>"УТ-705-000018"</f>
        <v>УТ-705-000018</v>
      </c>
      <c r="C756" t="s">
        <v>119</v>
      </c>
      <c r="D756" t="s">
        <v>1411</v>
      </c>
      <c r="E756" t="str">
        <f>"7839454551"</f>
        <v>7839454551</v>
      </c>
      <c r="F756" t="s">
        <v>57</v>
      </c>
      <c r="G756" t="s">
        <v>1441</v>
      </c>
      <c r="H756" t="s">
        <v>1507</v>
      </c>
      <c r="I756" t="s">
        <v>17</v>
      </c>
      <c r="J756" t="s">
        <v>18</v>
      </c>
    </row>
    <row r="757" spans="1:10" hidden="1" x14ac:dyDescent="0.25">
      <c r="A757" t="s">
        <v>11</v>
      </c>
      <c r="B757" t="str">
        <f>"28258980"</f>
        <v>28258980</v>
      </c>
      <c r="C757" t="s">
        <v>559</v>
      </c>
      <c r="D757" t="s">
        <v>1508</v>
      </c>
      <c r="E757" t="str">
        <f>"7721793895"</f>
        <v>7721793895</v>
      </c>
      <c r="F757" t="s">
        <v>109</v>
      </c>
      <c r="G757" t="s">
        <v>1509</v>
      </c>
      <c r="H757" t="s">
        <v>1510</v>
      </c>
      <c r="I757" t="s">
        <v>17</v>
      </c>
      <c r="J757" t="s">
        <v>18</v>
      </c>
    </row>
    <row r="758" spans="1:10" hidden="1" x14ac:dyDescent="0.25">
      <c r="A758" t="s">
        <v>11</v>
      </c>
      <c r="B758" t="str">
        <f>"28267211"</f>
        <v>28267211</v>
      </c>
      <c r="C758" t="s">
        <v>559</v>
      </c>
      <c r="D758" t="s">
        <v>1508</v>
      </c>
      <c r="E758" t="str">
        <f>"7721793895"</f>
        <v>7721793895</v>
      </c>
      <c r="F758" t="s">
        <v>109</v>
      </c>
      <c r="G758" t="s">
        <v>1511</v>
      </c>
      <c r="H758" t="s">
        <v>1512</v>
      </c>
      <c r="I758" t="s">
        <v>17</v>
      </c>
      <c r="J758" t="s">
        <v>18</v>
      </c>
    </row>
    <row r="759" spans="1:10" hidden="1" x14ac:dyDescent="0.25">
      <c r="A759" t="s">
        <v>11</v>
      </c>
      <c r="B759" t="str">
        <f>"148640/780E"</f>
        <v>148640/780E</v>
      </c>
      <c r="C759" t="s">
        <v>12</v>
      </c>
      <c r="D759" t="s">
        <v>1508</v>
      </c>
      <c r="E759" t="str">
        <f t="shared" ref="E759:E764" si="37">"5003052454"</f>
        <v>5003052454</v>
      </c>
      <c r="F759" t="s">
        <v>14</v>
      </c>
      <c r="G759" t="s">
        <v>1513</v>
      </c>
      <c r="H759" t="s">
        <v>1514</v>
      </c>
      <c r="I759" t="s">
        <v>17</v>
      </c>
      <c r="J759" t="s">
        <v>18</v>
      </c>
    </row>
    <row r="760" spans="1:10" hidden="1" x14ac:dyDescent="0.25">
      <c r="A760" t="s">
        <v>11</v>
      </c>
      <c r="B760" t="str">
        <f>"148642/780E"</f>
        <v>148642/780E</v>
      </c>
      <c r="C760" t="s">
        <v>12</v>
      </c>
      <c r="D760" t="s">
        <v>1508</v>
      </c>
      <c r="E760" t="str">
        <f t="shared" si="37"/>
        <v>5003052454</v>
      </c>
      <c r="F760" t="s">
        <v>14</v>
      </c>
      <c r="G760" t="s">
        <v>1515</v>
      </c>
      <c r="H760" t="s">
        <v>1516</v>
      </c>
      <c r="I760" t="s">
        <v>17</v>
      </c>
      <c r="J760" t="s">
        <v>18</v>
      </c>
    </row>
    <row r="761" spans="1:10" hidden="1" x14ac:dyDescent="0.25">
      <c r="A761" t="s">
        <v>11</v>
      </c>
      <c r="B761" t="str">
        <f>"148641/780E"</f>
        <v>148641/780E</v>
      </c>
      <c r="C761" t="s">
        <v>12</v>
      </c>
      <c r="D761" t="s">
        <v>1508</v>
      </c>
      <c r="E761" t="str">
        <f t="shared" si="37"/>
        <v>5003052454</v>
      </c>
      <c r="F761" t="s">
        <v>14</v>
      </c>
      <c r="G761" t="s">
        <v>1517</v>
      </c>
      <c r="H761" t="s">
        <v>1518</v>
      </c>
      <c r="I761" t="s">
        <v>17</v>
      </c>
      <c r="J761" t="s">
        <v>18</v>
      </c>
    </row>
    <row r="762" spans="1:10" hidden="1" x14ac:dyDescent="0.25">
      <c r="A762" t="s">
        <v>11</v>
      </c>
      <c r="B762" t="str">
        <f>"148643/780E"</f>
        <v>148643/780E</v>
      </c>
      <c r="C762" t="s">
        <v>12</v>
      </c>
      <c r="D762" t="s">
        <v>1508</v>
      </c>
      <c r="E762" t="str">
        <f t="shared" si="37"/>
        <v>5003052454</v>
      </c>
      <c r="F762" t="s">
        <v>14</v>
      </c>
      <c r="G762" t="s">
        <v>1519</v>
      </c>
      <c r="H762" t="s">
        <v>1520</v>
      </c>
      <c r="I762" t="s">
        <v>17</v>
      </c>
      <c r="J762" t="s">
        <v>18</v>
      </c>
    </row>
    <row r="763" spans="1:10" hidden="1" x14ac:dyDescent="0.25">
      <c r="A763" t="s">
        <v>11</v>
      </c>
      <c r="B763" t="str">
        <f>"148645/780E"</f>
        <v>148645/780E</v>
      </c>
      <c r="C763" t="s">
        <v>12</v>
      </c>
      <c r="D763" t="s">
        <v>1508</v>
      </c>
      <c r="E763" t="str">
        <f t="shared" si="37"/>
        <v>5003052454</v>
      </c>
      <c r="F763" t="s">
        <v>14</v>
      </c>
      <c r="G763" t="s">
        <v>1521</v>
      </c>
      <c r="H763" t="s">
        <v>1522</v>
      </c>
      <c r="I763" t="s">
        <v>17</v>
      </c>
      <c r="J763" t="s">
        <v>18</v>
      </c>
    </row>
    <row r="764" spans="1:10" hidden="1" x14ac:dyDescent="0.25">
      <c r="A764" t="s">
        <v>11</v>
      </c>
      <c r="B764" t="str">
        <f>"148644/780E"</f>
        <v>148644/780E</v>
      </c>
      <c r="C764" t="s">
        <v>12</v>
      </c>
      <c r="D764" t="s">
        <v>1508</v>
      </c>
      <c r="E764" t="str">
        <f t="shared" si="37"/>
        <v>5003052454</v>
      </c>
      <c r="F764" t="s">
        <v>14</v>
      </c>
      <c r="G764" t="s">
        <v>1523</v>
      </c>
      <c r="H764" t="s">
        <v>1524</v>
      </c>
      <c r="I764" t="s">
        <v>17</v>
      </c>
      <c r="J764" t="s">
        <v>18</v>
      </c>
    </row>
    <row r="765" spans="1:10" hidden="1" x14ac:dyDescent="0.25">
      <c r="A765" t="s">
        <v>11</v>
      </c>
      <c r="B765" t="str">
        <f>"2023/40/03/0032289/06"</f>
        <v>2023/40/03/0032289/06</v>
      </c>
      <c r="C765" t="s">
        <v>53</v>
      </c>
      <c r="D765" t="s">
        <v>1508</v>
      </c>
      <c r="E765" t="str">
        <f>"7718151150"</f>
        <v>7718151150</v>
      </c>
      <c r="F765" t="s">
        <v>54</v>
      </c>
      <c r="G765" t="s">
        <v>345</v>
      </c>
      <c r="H765" t="s">
        <v>1525</v>
      </c>
      <c r="I765" t="s">
        <v>17</v>
      </c>
      <c r="J765" t="s">
        <v>18</v>
      </c>
    </row>
    <row r="766" spans="1:10" hidden="1" x14ac:dyDescent="0.25">
      <c r="A766" t="s">
        <v>11</v>
      </c>
      <c r="B766" t="str">
        <f>"ОТ-3004-000015"</f>
        <v>ОТ-3004-000015</v>
      </c>
      <c r="C766" t="s">
        <v>49</v>
      </c>
      <c r="D766" t="s">
        <v>1508</v>
      </c>
      <c r="E766" t="str">
        <f>"7839454551"</f>
        <v>7839454551</v>
      </c>
      <c r="F766" t="s">
        <v>57</v>
      </c>
      <c r="G766" t="s">
        <v>58</v>
      </c>
      <c r="H766" t="s">
        <v>1526</v>
      </c>
      <c r="I766" t="s">
        <v>17</v>
      </c>
      <c r="J766" t="s">
        <v>18</v>
      </c>
    </row>
    <row r="767" spans="1:10" hidden="1" x14ac:dyDescent="0.25">
      <c r="A767" t="s">
        <v>11</v>
      </c>
      <c r="B767" t="str">
        <f>"ОТ-3004-000014"</f>
        <v>ОТ-3004-000014</v>
      </c>
      <c r="C767" t="s">
        <v>49</v>
      </c>
      <c r="D767" t="s">
        <v>1508</v>
      </c>
      <c r="E767" t="str">
        <f>"7839454551"</f>
        <v>7839454551</v>
      </c>
      <c r="F767" t="s">
        <v>57</v>
      </c>
      <c r="G767" t="s">
        <v>58</v>
      </c>
      <c r="H767" t="s">
        <v>1527</v>
      </c>
      <c r="I767" t="s">
        <v>17</v>
      </c>
      <c r="J767" t="s">
        <v>18</v>
      </c>
    </row>
    <row r="768" spans="1:10" hidden="1" x14ac:dyDescent="0.25">
      <c r="A768" t="s">
        <v>11</v>
      </c>
      <c r="B768" t="str">
        <f>"ОТ-3004-000013"</f>
        <v>ОТ-3004-000013</v>
      </c>
      <c r="C768" t="s">
        <v>49</v>
      </c>
      <c r="D768" t="s">
        <v>1508</v>
      </c>
      <c r="E768" t="str">
        <f>"7839454551"</f>
        <v>7839454551</v>
      </c>
      <c r="F768" t="s">
        <v>57</v>
      </c>
      <c r="G768" t="s">
        <v>837</v>
      </c>
      <c r="H768" t="s">
        <v>1528</v>
      </c>
      <c r="I768" t="s">
        <v>17</v>
      </c>
      <c r="J768" t="s">
        <v>18</v>
      </c>
    </row>
    <row r="769" spans="1:10" hidden="1" x14ac:dyDescent="0.25">
      <c r="A769" t="s">
        <v>11</v>
      </c>
      <c r="B769" t="str">
        <f>"ОТ-3004-000012"</f>
        <v>ОТ-3004-000012</v>
      </c>
      <c r="C769" t="s">
        <v>49</v>
      </c>
      <c r="D769" t="s">
        <v>1508</v>
      </c>
      <c r="E769" t="str">
        <f>"7839454551"</f>
        <v>7839454551</v>
      </c>
      <c r="F769" t="s">
        <v>57</v>
      </c>
      <c r="G769" t="s">
        <v>58</v>
      </c>
      <c r="H769" t="s">
        <v>1529</v>
      </c>
      <c r="I769" t="s">
        <v>17</v>
      </c>
      <c r="J769" t="s">
        <v>18</v>
      </c>
    </row>
    <row r="770" spans="1:10" hidden="1" x14ac:dyDescent="0.25">
      <c r="A770" t="s">
        <v>11</v>
      </c>
      <c r="B770" t="str">
        <f>"20230428-002640"</f>
        <v>20230428-002640</v>
      </c>
      <c r="C770" t="s">
        <v>559</v>
      </c>
      <c r="D770" t="s">
        <v>1508</v>
      </c>
      <c r="E770" t="str">
        <f>"7718620740"</f>
        <v>7718620740</v>
      </c>
      <c r="F770" t="s">
        <v>1530</v>
      </c>
      <c r="G770" t="s">
        <v>1531</v>
      </c>
      <c r="H770" t="s">
        <v>1532</v>
      </c>
      <c r="I770" t="s">
        <v>17</v>
      </c>
      <c r="J770" t="s">
        <v>18</v>
      </c>
    </row>
    <row r="771" spans="1:10" hidden="1" x14ac:dyDescent="0.25">
      <c r="A771" t="s">
        <v>11</v>
      </c>
      <c r="B771" t="str">
        <f>"150382/780E"</f>
        <v>150382/780E</v>
      </c>
      <c r="C771" t="s">
        <v>65</v>
      </c>
      <c r="D771" t="s">
        <v>1508</v>
      </c>
      <c r="E771" t="str">
        <f t="shared" ref="E771:E791" si="38">"5003052454"</f>
        <v>5003052454</v>
      </c>
      <c r="F771" t="s">
        <v>14</v>
      </c>
      <c r="G771" t="s">
        <v>1533</v>
      </c>
      <c r="H771" t="s">
        <v>1534</v>
      </c>
      <c r="I771" t="s">
        <v>17</v>
      </c>
      <c r="J771" t="s">
        <v>18</v>
      </c>
    </row>
    <row r="772" spans="1:10" hidden="1" x14ac:dyDescent="0.25">
      <c r="A772" t="s">
        <v>11</v>
      </c>
      <c r="B772" t="str">
        <f>"150383/780E"</f>
        <v>150383/780E</v>
      </c>
      <c r="C772" t="s">
        <v>65</v>
      </c>
      <c r="D772" t="s">
        <v>1508</v>
      </c>
      <c r="E772" t="str">
        <f t="shared" si="38"/>
        <v>5003052454</v>
      </c>
      <c r="F772" t="s">
        <v>14</v>
      </c>
      <c r="G772" t="s">
        <v>1535</v>
      </c>
      <c r="H772" t="s">
        <v>1536</v>
      </c>
      <c r="I772" t="s">
        <v>17</v>
      </c>
      <c r="J772" t="s">
        <v>18</v>
      </c>
    </row>
    <row r="773" spans="1:10" hidden="1" x14ac:dyDescent="0.25">
      <c r="A773" t="s">
        <v>11</v>
      </c>
      <c r="B773" t="str">
        <f>"150385/780E"</f>
        <v>150385/780E</v>
      </c>
      <c r="C773" t="s">
        <v>65</v>
      </c>
      <c r="D773" t="s">
        <v>1508</v>
      </c>
      <c r="E773" t="str">
        <f t="shared" si="38"/>
        <v>5003052454</v>
      </c>
      <c r="F773" t="s">
        <v>14</v>
      </c>
      <c r="G773" t="s">
        <v>1537</v>
      </c>
      <c r="H773" t="s">
        <v>1538</v>
      </c>
      <c r="I773" t="s">
        <v>17</v>
      </c>
      <c r="J773" t="s">
        <v>18</v>
      </c>
    </row>
    <row r="774" spans="1:10" hidden="1" x14ac:dyDescent="0.25">
      <c r="A774" t="s">
        <v>11</v>
      </c>
      <c r="B774" t="str">
        <f>"150384/780E"</f>
        <v>150384/780E</v>
      </c>
      <c r="C774" t="s">
        <v>65</v>
      </c>
      <c r="D774" t="s">
        <v>1508</v>
      </c>
      <c r="E774" t="str">
        <f t="shared" si="38"/>
        <v>5003052454</v>
      </c>
      <c r="F774" t="s">
        <v>14</v>
      </c>
      <c r="G774" t="s">
        <v>1539</v>
      </c>
      <c r="H774" t="s">
        <v>1540</v>
      </c>
      <c r="I774" t="s">
        <v>17</v>
      </c>
      <c r="J774" t="s">
        <v>18</v>
      </c>
    </row>
    <row r="775" spans="1:10" hidden="1" x14ac:dyDescent="0.25">
      <c r="A775" t="s">
        <v>11</v>
      </c>
      <c r="B775" t="str">
        <f>"150387/780E"</f>
        <v>150387/780E</v>
      </c>
      <c r="C775" t="s">
        <v>65</v>
      </c>
      <c r="D775" t="s">
        <v>1508</v>
      </c>
      <c r="E775" t="str">
        <f t="shared" si="38"/>
        <v>5003052454</v>
      </c>
      <c r="F775" t="s">
        <v>14</v>
      </c>
      <c r="G775" t="s">
        <v>1541</v>
      </c>
      <c r="H775" t="s">
        <v>1542</v>
      </c>
      <c r="I775" t="s">
        <v>17</v>
      </c>
      <c r="J775" t="s">
        <v>18</v>
      </c>
    </row>
    <row r="776" spans="1:10" hidden="1" x14ac:dyDescent="0.25">
      <c r="A776" t="s">
        <v>11</v>
      </c>
      <c r="B776" t="str">
        <f>"150386/780E"</f>
        <v>150386/780E</v>
      </c>
      <c r="C776" t="s">
        <v>65</v>
      </c>
      <c r="D776" t="s">
        <v>1508</v>
      </c>
      <c r="E776" t="str">
        <f t="shared" si="38"/>
        <v>5003052454</v>
      </c>
      <c r="F776" t="s">
        <v>14</v>
      </c>
      <c r="G776" t="s">
        <v>1543</v>
      </c>
      <c r="H776" t="s">
        <v>1544</v>
      </c>
      <c r="I776" t="s">
        <v>17</v>
      </c>
      <c r="J776" t="s">
        <v>18</v>
      </c>
    </row>
    <row r="777" spans="1:10" hidden="1" x14ac:dyDescent="0.25">
      <c r="A777" t="s">
        <v>11</v>
      </c>
      <c r="B777" t="str">
        <f>"150389/780E"</f>
        <v>150389/780E</v>
      </c>
      <c r="C777" t="s">
        <v>65</v>
      </c>
      <c r="D777" t="s">
        <v>1508</v>
      </c>
      <c r="E777" t="str">
        <f t="shared" si="38"/>
        <v>5003052454</v>
      </c>
      <c r="F777" t="s">
        <v>14</v>
      </c>
      <c r="G777" t="s">
        <v>1519</v>
      </c>
      <c r="H777" t="s">
        <v>1545</v>
      </c>
      <c r="I777" t="s">
        <v>17</v>
      </c>
      <c r="J777" t="s">
        <v>18</v>
      </c>
    </row>
    <row r="778" spans="1:10" hidden="1" x14ac:dyDescent="0.25">
      <c r="A778" t="s">
        <v>11</v>
      </c>
      <c r="B778" t="str">
        <f>"150388/780E"</f>
        <v>150388/780E</v>
      </c>
      <c r="C778" t="s">
        <v>65</v>
      </c>
      <c r="D778" t="s">
        <v>1508</v>
      </c>
      <c r="E778" t="str">
        <f t="shared" si="38"/>
        <v>5003052454</v>
      </c>
      <c r="F778" t="s">
        <v>14</v>
      </c>
      <c r="G778" t="s">
        <v>1546</v>
      </c>
      <c r="H778" t="s">
        <v>1547</v>
      </c>
      <c r="I778" t="s">
        <v>17</v>
      </c>
      <c r="J778" t="s">
        <v>18</v>
      </c>
    </row>
    <row r="779" spans="1:10" x14ac:dyDescent="0.25">
      <c r="A779" t="s">
        <v>11</v>
      </c>
      <c r="B779" t="str">
        <f>"150391/780E"</f>
        <v>150391/780E</v>
      </c>
      <c r="C779" t="s">
        <v>65</v>
      </c>
      <c r="D779" t="s">
        <v>1508</v>
      </c>
      <c r="E779" t="str">
        <f t="shared" si="38"/>
        <v>5003052454</v>
      </c>
      <c r="F779" t="s">
        <v>14</v>
      </c>
      <c r="G779" t="s">
        <v>1548</v>
      </c>
      <c r="H779" t="s">
        <v>1549</v>
      </c>
      <c r="I779" t="s">
        <v>17</v>
      </c>
      <c r="J779" t="s">
        <v>166</v>
      </c>
    </row>
    <row r="780" spans="1:10" hidden="1" x14ac:dyDescent="0.25">
      <c r="A780" t="s">
        <v>11</v>
      </c>
      <c r="B780" t="str">
        <f>"150390/780E"</f>
        <v>150390/780E</v>
      </c>
      <c r="C780" t="s">
        <v>65</v>
      </c>
      <c r="D780" t="s">
        <v>1508</v>
      </c>
      <c r="E780" t="str">
        <f t="shared" si="38"/>
        <v>5003052454</v>
      </c>
      <c r="F780" t="s">
        <v>14</v>
      </c>
      <c r="G780" t="s">
        <v>1550</v>
      </c>
      <c r="H780" t="s">
        <v>1551</v>
      </c>
      <c r="I780" t="s">
        <v>17</v>
      </c>
      <c r="J780" t="s">
        <v>18</v>
      </c>
    </row>
    <row r="781" spans="1:10" hidden="1" x14ac:dyDescent="0.25">
      <c r="A781" t="s">
        <v>11</v>
      </c>
      <c r="B781" t="str">
        <f>"4584/780H"</f>
        <v>4584/780H</v>
      </c>
      <c r="C781" t="s">
        <v>65</v>
      </c>
      <c r="D781" t="s">
        <v>1508</v>
      </c>
      <c r="E781" t="str">
        <f t="shared" si="38"/>
        <v>5003052454</v>
      </c>
      <c r="F781" t="s">
        <v>14</v>
      </c>
      <c r="G781" t="s">
        <v>1552</v>
      </c>
      <c r="H781" t="s">
        <v>1553</v>
      </c>
      <c r="I781" t="s">
        <v>17</v>
      </c>
      <c r="J781" t="s">
        <v>18</v>
      </c>
    </row>
    <row r="782" spans="1:10" hidden="1" x14ac:dyDescent="0.25">
      <c r="A782" t="s">
        <v>11</v>
      </c>
      <c r="B782" t="str">
        <f>"4585/780H"</f>
        <v>4585/780H</v>
      </c>
      <c r="C782" t="s">
        <v>65</v>
      </c>
      <c r="D782" t="s">
        <v>1508</v>
      </c>
      <c r="E782" t="str">
        <f t="shared" si="38"/>
        <v>5003052454</v>
      </c>
      <c r="F782" t="s">
        <v>14</v>
      </c>
      <c r="G782" t="s">
        <v>1554</v>
      </c>
      <c r="H782" t="s">
        <v>1555</v>
      </c>
      <c r="I782" t="s">
        <v>17</v>
      </c>
      <c r="J782" t="s">
        <v>18</v>
      </c>
    </row>
    <row r="783" spans="1:10" hidden="1" x14ac:dyDescent="0.25">
      <c r="A783" t="s">
        <v>11</v>
      </c>
      <c r="B783" t="str">
        <f>"4587/780H"</f>
        <v>4587/780H</v>
      </c>
      <c r="C783" t="s">
        <v>65</v>
      </c>
      <c r="D783" t="s">
        <v>1508</v>
      </c>
      <c r="E783" t="str">
        <f t="shared" si="38"/>
        <v>5003052454</v>
      </c>
      <c r="F783" t="s">
        <v>14</v>
      </c>
      <c r="G783" t="s">
        <v>1556</v>
      </c>
      <c r="H783" t="s">
        <v>1557</v>
      </c>
      <c r="I783" t="s">
        <v>17</v>
      </c>
      <c r="J783" t="s">
        <v>18</v>
      </c>
    </row>
    <row r="784" spans="1:10" hidden="1" x14ac:dyDescent="0.25">
      <c r="A784" t="s">
        <v>11</v>
      </c>
      <c r="B784" t="str">
        <f>"4586/780H"</f>
        <v>4586/780H</v>
      </c>
      <c r="C784" t="s">
        <v>65</v>
      </c>
      <c r="D784" t="s">
        <v>1508</v>
      </c>
      <c r="E784" t="str">
        <f t="shared" si="38"/>
        <v>5003052454</v>
      </c>
      <c r="F784" t="s">
        <v>14</v>
      </c>
      <c r="G784" t="s">
        <v>1558</v>
      </c>
      <c r="H784" t="s">
        <v>1559</v>
      </c>
      <c r="I784" t="s">
        <v>17</v>
      </c>
      <c r="J784" t="s">
        <v>18</v>
      </c>
    </row>
    <row r="785" spans="1:10" hidden="1" x14ac:dyDescent="0.25">
      <c r="A785" t="s">
        <v>11</v>
      </c>
      <c r="B785" t="str">
        <f>"4583/780H"</f>
        <v>4583/780H</v>
      </c>
      <c r="C785" t="s">
        <v>65</v>
      </c>
      <c r="D785" t="s">
        <v>1508</v>
      </c>
      <c r="E785" t="str">
        <f t="shared" si="38"/>
        <v>5003052454</v>
      </c>
      <c r="F785" t="s">
        <v>14</v>
      </c>
      <c r="G785" t="s">
        <v>200</v>
      </c>
      <c r="H785" t="s">
        <v>1560</v>
      </c>
      <c r="I785" t="s">
        <v>17</v>
      </c>
      <c r="J785" t="s">
        <v>18</v>
      </c>
    </row>
    <row r="786" spans="1:10" hidden="1" x14ac:dyDescent="0.25">
      <c r="A786" t="s">
        <v>11</v>
      </c>
      <c r="B786" t="str">
        <f>"4589/780H"</f>
        <v>4589/780H</v>
      </c>
      <c r="C786" t="s">
        <v>65</v>
      </c>
      <c r="D786" t="s">
        <v>1508</v>
      </c>
      <c r="E786" t="str">
        <f t="shared" si="38"/>
        <v>5003052454</v>
      </c>
      <c r="F786" t="s">
        <v>14</v>
      </c>
      <c r="G786" t="s">
        <v>1561</v>
      </c>
      <c r="H786" t="s">
        <v>1562</v>
      </c>
      <c r="I786" t="s">
        <v>17</v>
      </c>
      <c r="J786" t="s">
        <v>18</v>
      </c>
    </row>
    <row r="787" spans="1:10" hidden="1" x14ac:dyDescent="0.25">
      <c r="A787" t="s">
        <v>11</v>
      </c>
      <c r="B787" t="str">
        <f>"4590/780H"</f>
        <v>4590/780H</v>
      </c>
      <c r="C787" t="s">
        <v>65</v>
      </c>
      <c r="D787" t="s">
        <v>1508</v>
      </c>
      <c r="E787" t="str">
        <f t="shared" si="38"/>
        <v>5003052454</v>
      </c>
      <c r="F787" t="s">
        <v>14</v>
      </c>
      <c r="G787" t="s">
        <v>950</v>
      </c>
      <c r="H787" t="s">
        <v>1563</v>
      </c>
      <c r="I787" t="s">
        <v>17</v>
      </c>
      <c r="J787" t="s">
        <v>18</v>
      </c>
    </row>
    <row r="788" spans="1:10" hidden="1" x14ac:dyDescent="0.25">
      <c r="A788" t="s">
        <v>11</v>
      </c>
      <c r="B788" t="str">
        <f>"4588/780H"</f>
        <v>4588/780H</v>
      </c>
      <c r="C788" t="s">
        <v>65</v>
      </c>
      <c r="D788" t="s">
        <v>1508</v>
      </c>
      <c r="E788" t="str">
        <f t="shared" si="38"/>
        <v>5003052454</v>
      </c>
      <c r="F788" t="s">
        <v>14</v>
      </c>
      <c r="G788" t="s">
        <v>1564</v>
      </c>
      <c r="H788" t="s">
        <v>1565</v>
      </c>
      <c r="I788" t="s">
        <v>17</v>
      </c>
      <c r="J788" t="s">
        <v>18</v>
      </c>
    </row>
    <row r="789" spans="1:10" hidden="1" x14ac:dyDescent="0.25">
      <c r="A789" t="s">
        <v>11</v>
      </c>
      <c r="B789" t="str">
        <f>"4591/780H"</f>
        <v>4591/780H</v>
      </c>
      <c r="C789" t="s">
        <v>65</v>
      </c>
      <c r="D789" t="s">
        <v>1508</v>
      </c>
      <c r="E789" t="str">
        <f t="shared" si="38"/>
        <v>5003052454</v>
      </c>
      <c r="F789" t="s">
        <v>14</v>
      </c>
      <c r="G789" t="s">
        <v>1566</v>
      </c>
      <c r="H789" t="s">
        <v>1567</v>
      </c>
      <c r="I789" t="s">
        <v>17</v>
      </c>
      <c r="J789" t="s">
        <v>18</v>
      </c>
    </row>
    <row r="790" spans="1:10" hidden="1" x14ac:dyDescent="0.25">
      <c r="A790" t="s">
        <v>11</v>
      </c>
      <c r="B790" t="str">
        <f>"4606/780H"</f>
        <v>4606/780H</v>
      </c>
      <c r="C790" t="s">
        <v>65</v>
      </c>
      <c r="D790" t="s">
        <v>1508</v>
      </c>
      <c r="E790" t="str">
        <f t="shared" si="38"/>
        <v>5003052454</v>
      </c>
      <c r="F790" t="s">
        <v>14</v>
      </c>
      <c r="G790" t="s">
        <v>1568</v>
      </c>
      <c r="H790" t="s">
        <v>1569</v>
      </c>
      <c r="I790" t="s">
        <v>17</v>
      </c>
      <c r="J790" t="s">
        <v>18</v>
      </c>
    </row>
    <row r="791" spans="1:10" hidden="1" x14ac:dyDescent="0.25">
      <c r="A791" t="s">
        <v>11</v>
      </c>
      <c r="B791" t="str">
        <f>"4592/780H"</f>
        <v>4592/780H</v>
      </c>
      <c r="C791" t="s">
        <v>65</v>
      </c>
      <c r="D791" t="s">
        <v>1508</v>
      </c>
      <c r="E791" t="str">
        <f t="shared" si="38"/>
        <v>5003052454</v>
      </c>
      <c r="F791" t="s">
        <v>14</v>
      </c>
      <c r="G791" t="s">
        <v>1570</v>
      </c>
      <c r="H791" t="s">
        <v>1571</v>
      </c>
      <c r="I791" t="s">
        <v>17</v>
      </c>
      <c r="J791" t="s">
        <v>18</v>
      </c>
    </row>
    <row r="792" spans="1:10" hidden="1" x14ac:dyDescent="0.25">
      <c r="A792" t="s">
        <v>11</v>
      </c>
      <c r="B792" t="str">
        <f>"28285721"</f>
        <v>28285721</v>
      </c>
      <c r="C792" t="s">
        <v>12</v>
      </c>
      <c r="D792" t="s">
        <v>1508</v>
      </c>
      <c r="E792" t="str">
        <f t="shared" ref="E792:E798" si="39">"7721793895"</f>
        <v>7721793895</v>
      </c>
      <c r="F792" t="s">
        <v>109</v>
      </c>
      <c r="G792" t="s">
        <v>1572</v>
      </c>
      <c r="H792" t="s">
        <v>1573</v>
      </c>
      <c r="I792" t="s">
        <v>17</v>
      </c>
      <c r="J792" t="s">
        <v>18</v>
      </c>
    </row>
    <row r="793" spans="1:10" hidden="1" x14ac:dyDescent="0.25">
      <c r="A793" t="s">
        <v>11</v>
      </c>
      <c r="B793" t="str">
        <f>"28285870"</f>
        <v>28285870</v>
      </c>
      <c r="C793" t="s">
        <v>12</v>
      </c>
      <c r="D793" t="s">
        <v>1508</v>
      </c>
      <c r="E793" t="str">
        <f t="shared" si="39"/>
        <v>7721793895</v>
      </c>
      <c r="F793" t="s">
        <v>109</v>
      </c>
      <c r="G793" t="s">
        <v>1574</v>
      </c>
      <c r="H793" t="s">
        <v>1575</v>
      </c>
      <c r="I793" t="s">
        <v>17</v>
      </c>
      <c r="J793" t="s">
        <v>18</v>
      </c>
    </row>
    <row r="794" spans="1:10" hidden="1" x14ac:dyDescent="0.25">
      <c r="A794" t="s">
        <v>11</v>
      </c>
      <c r="B794" t="str">
        <f>"28285847"</f>
        <v>28285847</v>
      </c>
      <c r="C794" t="s">
        <v>12</v>
      </c>
      <c r="D794" t="s">
        <v>1508</v>
      </c>
      <c r="E794" t="str">
        <f t="shared" si="39"/>
        <v>7721793895</v>
      </c>
      <c r="F794" t="s">
        <v>109</v>
      </c>
      <c r="G794" t="s">
        <v>1576</v>
      </c>
      <c r="H794" t="s">
        <v>1577</v>
      </c>
      <c r="I794" t="s">
        <v>17</v>
      </c>
      <c r="J794" t="s">
        <v>18</v>
      </c>
    </row>
    <row r="795" spans="1:10" hidden="1" x14ac:dyDescent="0.25">
      <c r="A795" t="s">
        <v>11</v>
      </c>
      <c r="B795" t="str">
        <f>"28285844"</f>
        <v>28285844</v>
      </c>
      <c r="C795" t="s">
        <v>12</v>
      </c>
      <c r="D795" t="s">
        <v>1508</v>
      </c>
      <c r="E795" t="str">
        <f t="shared" si="39"/>
        <v>7721793895</v>
      </c>
      <c r="F795" t="s">
        <v>109</v>
      </c>
      <c r="G795" t="s">
        <v>1578</v>
      </c>
      <c r="H795" t="s">
        <v>1579</v>
      </c>
      <c r="I795" t="s">
        <v>17</v>
      </c>
      <c r="J795" t="s">
        <v>18</v>
      </c>
    </row>
    <row r="796" spans="1:10" hidden="1" x14ac:dyDescent="0.25">
      <c r="A796" t="s">
        <v>11</v>
      </c>
      <c r="B796" t="str">
        <f>"28285875"</f>
        <v>28285875</v>
      </c>
      <c r="C796" t="s">
        <v>12</v>
      </c>
      <c r="D796" t="s">
        <v>1508</v>
      </c>
      <c r="E796" t="str">
        <f t="shared" si="39"/>
        <v>7721793895</v>
      </c>
      <c r="F796" t="s">
        <v>109</v>
      </c>
      <c r="G796" t="s">
        <v>1580</v>
      </c>
      <c r="H796" t="s">
        <v>1581</v>
      </c>
      <c r="I796" t="s">
        <v>17</v>
      </c>
      <c r="J796" t="s">
        <v>18</v>
      </c>
    </row>
    <row r="797" spans="1:10" hidden="1" x14ac:dyDescent="0.25">
      <c r="A797" t="s">
        <v>11</v>
      </c>
      <c r="B797" t="str">
        <f>"28286022"</f>
        <v>28286022</v>
      </c>
      <c r="C797" t="s">
        <v>12</v>
      </c>
      <c r="D797" t="s">
        <v>1508</v>
      </c>
      <c r="E797" t="str">
        <f t="shared" si="39"/>
        <v>7721793895</v>
      </c>
      <c r="F797" t="s">
        <v>109</v>
      </c>
      <c r="G797" t="s">
        <v>1582</v>
      </c>
      <c r="H797" t="s">
        <v>1583</v>
      </c>
      <c r="I797" t="s">
        <v>17</v>
      </c>
      <c r="J797" t="s">
        <v>18</v>
      </c>
    </row>
    <row r="798" spans="1:10" hidden="1" x14ac:dyDescent="0.25">
      <c r="A798" t="s">
        <v>11</v>
      </c>
      <c r="B798" t="str">
        <f>"28286029"</f>
        <v>28286029</v>
      </c>
      <c r="C798" t="s">
        <v>12</v>
      </c>
      <c r="D798" t="s">
        <v>1508</v>
      </c>
      <c r="E798" t="str">
        <f t="shared" si="39"/>
        <v>7721793895</v>
      </c>
      <c r="F798" t="s">
        <v>109</v>
      </c>
      <c r="G798" t="s">
        <v>1584</v>
      </c>
      <c r="H798" t="s">
        <v>1585</v>
      </c>
      <c r="I798" t="s">
        <v>17</v>
      </c>
      <c r="J798" t="s">
        <v>18</v>
      </c>
    </row>
    <row r="799" spans="1:10" hidden="1" x14ac:dyDescent="0.25">
      <c r="A799" t="s">
        <v>11</v>
      </c>
      <c r="B799" t="str">
        <f>"858"</f>
        <v>858</v>
      </c>
      <c r="C799" t="s">
        <v>49</v>
      </c>
      <c r="D799" t="s">
        <v>1508</v>
      </c>
      <c r="E799" t="str">
        <f>"7704340969"</f>
        <v>7704340969</v>
      </c>
      <c r="F799" t="s">
        <v>76</v>
      </c>
      <c r="G799" t="s">
        <v>242</v>
      </c>
      <c r="H799" t="s">
        <v>1586</v>
      </c>
      <c r="I799" t="s">
        <v>17</v>
      </c>
      <c r="J799" t="s">
        <v>18</v>
      </c>
    </row>
    <row r="800" spans="1:10" hidden="1" x14ac:dyDescent="0.25">
      <c r="A800" t="s">
        <v>11</v>
      </c>
      <c r="B800" t="str">
        <f>"893"</f>
        <v>893</v>
      </c>
      <c r="C800" t="s">
        <v>49</v>
      </c>
      <c r="D800" t="s">
        <v>1508</v>
      </c>
      <c r="E800" t="str">
        <f>"7704340969"</f>
        <v>7704340969</v>
      </c>
      <c r="F800" t="s">
        <v>76</v>
      </c>
      <c r="G800" t="s">
        <v>244</v>
      </c>
      <c r="H800" t="s">
        <v>1587</v>
      </c>
      <c r="I800" t="s">
        <v>17</v>
      </c>
      <c r="J800" t="s">
        <v>18</v>
      </c>
    </row>
    <row r="801" spans="1:10" hidden="1" x14ac:dyDescent="0.25">
      <c r="A801" t="s">
        <v>11</v>
      </c>
      <c r="B801" t="str">
        <f>"912"</f>
        <v>912</v>
      </c>
      <c r="C801" t="s">
        <v>49</v>
      </c>
      <c r="D801" t="s">
        <v>1508</v>
      </c>
      <c r="E801" t="str">
        <f>"7704340969"</f>
        <v>7704340969</v>
      </c>
      <c r="F801" t="s">
        <v>76</v>
      </c>
      <c r="G801" t="s">
        <v>246</v>
      </c>
      <c r="H801" t="s">
        <v>1588</v>
      </c>
      <c r="I801" t="s">
        <v>17</v>
      </c>
      <c r="J801" t="s">
        <v>18</v>
      </c>
    </row>
    <row r="802" spans="1:10" hidden="1" x14ac:dyDescent="0.25">
      <c r="A802" t="s">
        <v>11</v>
      </c>
      <c r="B802" t="str">
        <f>"963"</f>
        <v>963</v>
      </c>
      <c r="C802" t="s">
        <v>49</v>
      </c>
      <c r="D802" t="s">
        <v>1508</v>
      </c>
      <c r="E802" t="str">
        <f>"7704340969"</f>
        <v>7704340969</v>
      </c>
      <c r="F802" t="s">
        <v>76</v>
      </c>
      <c r="G802" t="s">
        <v>248</v>
      </c>
      <c r="H802" t="s">
        <v>1589</v>
      </c>
      <c r="I802" t="s">
        <v>17</v>
      </c>
      <c r="J802" t="s">
        <v>18</v>
      </c>
    </row>
    <row r="803" spans="1:10" hidden="1" x14ac:dyDescent="0.25">
      <c r="A803" t="s">
        <v>11</v>
      </c>
      <c r="B803" t="str">
        <f>"2276"</f>
        <v>2276</v>
      </c>
      <c r="C803" t="s">
        <v>12</v>
      </c>
      <c r="D803" t="s">
        <v>1508</v>
      </c>
      <c r="E803" t="str">
        <f>"7825076677"</f>
        <v>7825076677</v>
      </c>
      <c r="F803" t="s">
        <v>891</v>
      </c>
      <c r="G803" t="s">
        <v>896</v>
      </c>
      <c r="H803" t="s">
        <v>1590</v>
      </c>
      <c r="I803" t="s">
        <v>17</v>
      </c>
      <c r="J803" t="s">
        <v>18</v>
      </c>
    </row>
    <row r="804" spans="1:10" hidden="1" x14ac:dyDescent="0.25">
      <c r="A804" t="s">
        <v>11</v>
      </c>
      <c r="B804" t="str">
        <f>"2275"</f>
        <v>2275</v>
      </c>
      <c r="C804" t="s">
        <v>12</v>
      </c>
      <c r="D804" t="s">
        <v>1508</v>
      </c>
      <c r="E804" t="str">
        <f>"7825076677"</f>
        <v>7825076677</v>
      </c>
      <c r="F804" t="s">
        <v>891</v>
      </c>
      <c r="G804" t="s">
        <v>1591</v>
      </c>
      <c r="H804" t="s">
        <v>1592</v>
      </c>
      <c r="I804" t="s">
        <v>17</v>
      </c>
      <c r="J804" t="s">
        <v>18</v>
      </c>
    </row>
    <row r="805" spans="1:10" hidden="1" x14ac:dyDescent="0.25">
      <c r="A805" t="s">
        <v>11</v>
      </c>
      <c r="B805" t="str">
        <f>"28104"</f>
        <v>28104</v>
      </c>
      <c r="C805" t="s">
        <v>65</v>
      </c>
      <c r="D805" t="s">
        <v>1508</v>
      </c>
      <c r="E805" t="str">
        <f t="shared" ref="E805:E812" si="40">"7729488999"</f>
        <v>7729488999</v>
      </c>
      <c r="F805" t="s">
        <v>85</v>
      </c>
      <c r="G805" t="s">
        <v>1593</v>
      </c>
      <c r="H805" t="s">
        <v>1594</v>
      </c>
      <c r="I805" t="s">
        <v>17</v>
      </c>
      <c r="J805" t="s">
        <v>18</v>
      </c>
    </row>
    <row r="806" spans="1:10" hidden="1" x14ac:dyDescent="0.25">
      <c r="A806" t="s">
        <v>11</v>
      </c>
      <c r="B806" t="str">
        <f>"28072"</f>
        <v>28072</v>
      </c>
      <c r="C806" t="s">
        <v>65</v>
      </c>
      <c r="D806" t="s">
        <v>1508</v>
      </c>
      <c r="E806" t="str">
        <f t="shared" si="40"/>
        <v>7729488999</v>
      </c>
      <c r="F806" t="s">
        <v>85</v>
      </c>
      <c r="G806" t="s">
        <v>1595</v>
      </c>
      <c r="H806" t="s">
        <v>1596</v>
      </c>
      <c r="I806" t="s">
        <v>17</v>
      </c>
      <c r="J806" t="s">
        <v>18</v>
      </c>
    </row>
    <row r="807" spans="1:10" hidden="1" x14ac:dyDescent="0.25">
      <c r="A807" t="s">
        <v>11</v>
      </c>
      <c r="B807" t="str">
        <f>"27883"</f>
        <v>27883</v>
      </c>
      <c r="C807" t="s">
        <v>12</v>
      </c>
      <c r="D807" t="s">
        <v>1508</v>
      </c>
      <c r="E807" t="str">
        <f t="shared" si="40"/>
        <v>7729488999</v>
      </c>
      <c r="F807" t="s">
        <v>85</v>
      </c>
      <c r="G807" t="s">
        <v>1597</v>
      </c>
      <c r="H807" t="s">
        <v>1598</v>
      </c>
      <c r="I807" t="s">
        <v>17</v>
      </c>
      <c r="J807" t="s">
        <v>18</v>
      </c>
    </row>
    <row r="808" spans="1:10" hidden="1" x14ac:dyDescent="0.25">
      <c r="A808" t="s">
        <v>11</v>
      </c>
      <c r="B808" t="str">
        <f>"27845"</f>
        <v>27845</v>
      </c>
      <c r="C808" t="s">
        <v>12</v>
      </c>
      <c r="D808" t="s">
        <v>1508</v>
      </c>
      <c r="E808" t="str">
        <f t="shared" si="40"/>
        <v>7729488999</v>
      </c>
      <c r="F808" t="s">
        <v>85</v>
      </c>
      <c r="G808" t="s">
        <v>1599</v>
      </c>
      <c r="H808" t="s">
        <v>1600</v>
      </c>
      <c r="I808" t="s">
        <v>17</v>
      </c>
      <c r="J808" t="s">
        <v>18</v>
      </c>
    </row>
    <row r="809" spans="1:10" hidden="1" x14ac:dyDescent="0.25">
      <c r="A809" t="s">
        <v>11</v>
      </c>
      <c r="B809" t="str">
        <f>"27835"</f>
        <v>27835</v>
      </c>
      <c r="C809" t="s">
        <v>12</v>
      </c>
      <c r="D809" t="s">
        <v>1508</v>
      </c>
      <c r="E809" t="str">
        <f t="shared" si="40"/>
        <v>7729488999</v>
      </c>
      <c r="F809" t="s">
        <v>85</v>
      </c>
      <c r="G809" t="s">
        <v>1601</v>
      </c>
      <c r="H809" t="s">
        <v>1602</v>
      </c>
      <c r="I809" t="s">
        <v>17</v>
      </c>
      <c r="J809" t="s">
        <v>18</v>
      </c>
    </row>
    <row r="810" spans="1:10" hidden="1" x14ac:dyDescent="0.25">
      <c r="A810" t="s">
        <v>11</v>
      </c>
      <c r="B810" t="str">
        <f>"27809"</f>
        <v>27809</v>
      </c>
      <c r="C810" t="s">
        <v>12</v>
      </c>
      <c r="D810" t="s">
        <v>1508</v>
      </c>
      <c r="E810" t="str">
        <f t="shared" si="40"/>
        <v>7729488999</v>
      </c>
      <c r="F810" t="s">
        <v>85</v>
      </c>
      <c r="G810" t="s">
        <v>1603</v>
      </c>
      <c r="H810" t="s">
        <v>1604</v>
      </c>
      <c r="I810" t="s">
        <v>17</v>
      </c>
      <c r="J810" t="s">
        <v>18</v>
      </c>
    </row>
    <row r="811" spans="1:10" hidden="1" x14ac:dyDescent="0.25">
      <c r="A811" t="s">
        <v>11</v>
      </c>
      <c r="B811" t="str">
        <f>"27786"</f>
        <v>27786</v>
      </c>
      <c r="C811" t="s">
        <v>12</v>
      </c>
      <c r="D811" t="s">
        <v>1508</v>
      </c>
      <c r="E811" t="str">
        <f t="shared" si="40"/>
        <v>7729488999</v>
      </c>
      <c r="F811" t="s">
        <v>85</v>
      </c>
      <c r="G811" t="s">
        <v>1605</v>
      </c>
      <c r="H811" t="s">
        <v>1606</v>
      </c>
      <c r="I811" t="s">
        <v>17</v>
      </c>
      <c r="J811" t="s">
        <v>18</v>
      </c>
    </row>
    <row r="812" spans="1:10" hidden="1" x14ac:dyDescent="0.25">
      <c r="A812" t="s">
        <v>11</v>
      </c>
      <c r="B812" t="str">
        <f>"27674"</f>
        <v>27674</v>
      </c>
      <c r="C812" t="s">
        <v>12</v>
      </c>
      <c r="D812" t="s">
        <v>1508</v>
      </c>
      <c r="E812" t="str">
        <f t="shared" si="40"/>
        <v>7729488999</v>
      </c>
      <c r="F812" t="s">
        <v>85</v>
      </c>
      <c r="G812" t="s">
        <v>1607</v>
      </c>
      <c r="H812" t="s">
        <v>1608</v>
      </c>
      <c r="I812" t="s">
        <v>17</v>
      </c>
      <c r="J812" t="s">
        <v>18</v>
      </c>
    </row>
    <row r="813" spans="1:10" hidden="1" x14ac:dyDescent="0.25">
      <c r="A813" t="s">
        <v>11</v>
      </c>
      <c r="B813" t="str">
        <f>"107"</f>
        <v>107</v>
      </c>
      <c r="C813" t="s">
        <v>49</v>
      </c>
      <c r="D813" t="s">
        <v>1508</v>
      </c>
      <c r="E813" t="str">
        <f>"7743128596"</f>
        <v>7743128596</v>
      </c>
      <c r="F813" t="s">
        <v>351</v>
      </c>
      <c r="G813" t="s">
        <v>352</v>
      </c>
      <c r="H813" t="s">
        <v>1609</v>
      </c>
      <c r="I813" t="s">
        <v>17</v>
      </c>
      <c r="J813" t="s">
        <v>18</v>
      </c>
    </row>
    <row r="814" spans="1:10" hidden="1" x14ac:dyDescent="0.25">
      <c r="A814" t="s">
        <v>11</v>
      </c>
      <c r="B814" t="str">
        <f>"УТ-405-000081"</f>
        <v>УТ-405-000081</v>
      </c>
      <c r="C814" t="s">
        <v>100</v>
      </c>
      <c r="D814" t="s">
        <v>1508</v>
      </c>
      <c r="E814" t="str">
        <f>"7839454551"</f>
        <v>7839454551</v>
      </c>
      <c r="F814" t="s">
        <v>57</v>
      </c>
      <c r="G814" t="s">
        <v>1610</v>
      </c>
      <c r="H814" t="s">
        <v>1611</v>
      </c>
      <c r="I814" t="s">
        <v>17</v>
      </c>
      <c r="J814" t="s">
        <v>18</v>
      </c>
    </row>
    <row r="815" spans="1:10" hidden="1" x14ac:dyDescent="0.25">
      <c r="A815" t="s">
        <v>11</v>
      </c>
      <c r="B815" t="str">
        <f>"УТ-405-000077"</f>
        <v>УТ-405-000077</v>
      </c>
      <c r="C815" t="s">
        <v>100</v>
      </c>
      <c r="D815" t="s">
        <v>1508</v>
      </c>
      <c r="E815" t="str">
        <f>"7839454551"</f>
        <v>7839454551</v>
      </c>
      <c r="F815" t="s">
        <v>57</v>
      </c>
      <c r="G815" t="s">
        <v>1612</v>
      </c>
      <c r="H815" t="s">
        <v>1613</v>
      </c>
      <c r="I815" t="s">
        <v>17</v>
      </c>
      <c r="J815" t="s">
        <v>18</v>
      </c>
    </row>
    <row r="816" spans="1:10" hidden="1" x14ac:dyDescent="0.25">
      <c r="A816" t="s">
        <v>11</v>
      </c>
      <c r="B816" t="str">
        <f>"УТ-405-000076"</f>
        <v>УТ-405-000076</v>
      </c>
      <c r="C816" t="s">
        <v>100</v>
      </c>
      <c r="D816" t="s">
        <v>1508</v>
      </c>
      <c r="E816" t="str">
        <f>"7839454551"</f>
        <v>7839454551</v>
      </c>
      <c r="F816" t="s">
        <v>57</v>
      </c>
      <c r="G816" t="s">
        <v>1614</v>
      </c>
      <c r="H816" t="s">
        <v>1615</v>
      </c>
      <c r="I816" t="s">
        <v>17</v>
      </c>
      <c r="J816" t="s">
        <v>18</v>
      </c>
    </row>
    <row r="817" spans="1:10" hidden="1" x14ac:dyDescent="0.25">
      <c r="A817" t="s">
        <v>11</v>
      </c>
      <c r="B817" t="str">
        <f>"УТ-405-000071"</f>
        <v>УТ-405-000071</v>
      </c>
      <c r="C817" t="s">
        <v>100</v>
      </c>
      <c r="D817" t="s">
        <v>1508</v>
      </c>
      <c r="E817" t="str">
        <f>"7839454551"</f>
        <v>7839454551</v>
      </c>
      <c r="F817" t="s">
        <v>57</v>
      </c>
      <c r="G817" t="s">
        <v>1616</v>
      </c>
      <c r="H817" t="s">
        <v>1617</v>
      </c>
      <c r="I817" t="s">
        <v>17</v>
      </c>
      <c r="J817" t="s">
        <v>18</v>
      </c>
    </row>
    <row r="818" spans="1:10" hidden="1" x14ac:dyDescent="0.25">
      <c r="A818" t="s">
        <v>11</v>
      </c>
      <c r="B818" t="str">
        <f>"SR110023163"</f>
        <v>SR110023163</v>
      </c>
      <c r="C818" t="s">
        <v>65</v>
      </c>
      <c r="D818" t="s">
        <v>1508</v>
      </c>
      <c r="E818" t="str">
        <f>"4725006920"</f>
        <v>4725006920</v>
      </c>
      <c r="F818" t="s">
        <v>101</v>
      </c>
      <c r="G818" t="s">
        <v>1618</v>
      </c>
      <c r="H818" t="s">
        <v>1619</v>
      </c>
      <c r="I818" t="s">
        <v>17</v>
      </c>
      <c r="J818" t="s">
        <v>18</v>
      </c>
    </row>
    <row r="819" spans="1:10" hidden="1" x14ac:dyDescent="0.25">
      <c r="A819" t="s">
        <v>11</v>
      </c>
      <c r="B819" t="str">
        <f>"158"</f>
        <v>158</v>
      </c>
      <c r="C819" t="s">
        <v>49</v>
      </c>
      <c r="D819" t="s">
        <v>1508</v>
      </c>
      <c r="E819" t="str">
        <f>"7702392168"</f>
        <v>7702392168</v>
      </c>
      <c r="F819" t="s">
        <v>97</v>
      </c>
      <c r="G819" t="s">
        <v>305</v>
      </c>
      <c r="H819" t="s">
        <v>1620</v>
      </c>
      <c r="I819" t="s">
        <v>17</v>
      </c>
      <c r="J819" t="s">
        <v>18</v>
      </c>
    </row>
    <row r="820" spans="1:10" hidden="1" x14ac:dyDescent="0.25">
      <c r="A820" t="s">
        <v>11</v>
      </c>
      <c r="B820" t="str">
        <f>"UT-108215"</f>
        <v>UT-108215</v>
      </c>
      <c r="C820" t="s">
        <v>100</v>
      </c>
      <c r="D820" t="s">
        <v>1508</v>
      </c>
      <c r="E820" t="str">
        <f>"7806385951"</f>
        <v>7806385951</v>
      </c>
      <c r="F820" t="s">
        <v>26</v>
      </c>
      <c r="G820" t="s">
        <v>1621</v>
      </c>
      <c r="H820" t="s">
        <v>1622</v>
      </c>
      <c r="I820" t="s">
        <v>17</v>
      </c>
      <c r="J820" t="s">
        <v>18</v>
      </c>
    </row>
    <row r="821" spans="1:10" hidden="1" x14ac:dyDescent="0.25">
      <c r="A821" t="s">
        <v>11</v>
      </c>
      <c r="B821" t="str">
        <f>"UT-108257"</f>
        <v>UT-108257</v>
      </c>
      <c r="C821" t="s">
        <v>100</v>
      </c>
      <c r="D821" t="s">
        <v>1508</v>
      </c>
      <c r="E821" t="str">
        <f>"7806385951"</f>
        <v>7806385951</v>
      </c>
      <c r="F821" t="s">
        <v>26</v>
      </c>
      <c r="G821" t="s">
        <v>1623</v>
      </c>
      <c r="H821" t="s">
        <v>1624</v>
      </c>
      <c r="I821" t="s">
        <v>17</v>
      </c>
      <c r="J821" t="s">
        <v>18</v>
      </c>
    </row>
    <row r="822" spans="1:10" hidden="1" x14ac:dyDescent="0.25">
      <c r="A822" t="s">
        <v>11</v>
      </c>
      <c r="B822" t="str">
        <f>"28322276"</f>
        <v>28322276</v>
      </c>
      <c r="C822" t="s">
        <v>65</v>
      </c>
      <c r="D822" t="s">
        <v>1508</v>
      </c>
      <c r="E822" t="str">
        <f>"7721793895"</f>
        <v>7721793895</v>
      </c>
      <c r="F822" t="s">
        <v>109</v>
      </c>
      <c r="G822" t="s">
        <v>1192</v>
      </c>
      <c r="H822" t="s">
        <v>1625</v>
      </c>
      <c r="I822" t="s">
        <v>17</v>
      </c>
      <c r="J822" t="s">
        <v>18</v>
      </c>
    </row>
    <row r="823" spans="1:10" hidden="1" x14ac:dyDescent="0.25">
      <c r="A823" t="s">
        <v>11</v>
      </c>
      <c r="B823" t="str">
        <f>"28322891"</f>
        <v>28322891</v>
      </c>
      <c r="C823" t="s">
        <v>65</v>
      </c>
      <c r="D823" t="s">
        <v>1508</v>
      </c>
      <c r="E823" t="str">
        <f>"7721793895"</f>
        <v>7721793895</v>
      </c>
      <c r="F823" t="s">
        <v>109</v>
      </c>
      <c r="G823" t="s">
        <v>1626</v>
      </c>
      <c r="H823" t="s">
        <v>1627</v>
      </c>
      <c r="I823" t="s">
        <v>17</v>
      </c>
      <c r="J823" t="s">
        <v>18</v>
      </c>
    </row>
    <row r="824" spans="1:10" hidden="1" x14ac:dyDescent="0.25">
      <c r="A824" t="s">
        <v>11</v>
      </c>
      <c r="B824" t="str">
        <f>"SR110023391"</f>
        <v>SR110023391</v>
      </c>
      <c r="C824" t="s">
        <v>100</v>
      </c>
      <c r="D824" t="s">
        <v>1508</v>
      </c>
      <c r="E824" t="str">
        <f>"4725006920"</f>
        <v>4725006920</v>
      </c>
      <c r="F824" t="s">
        <v>101</v>
      </c>
      <c r="G824" t="s">
        <v>1628</v>
      </c>
      <c r="H824" t="s">
        <v>1629</v>
      </c>
      <c r="I824" t="s">
        <v>17</v>
      </c>
      <c r="J824" t="s">
        <v>18</v>
      </c>
    </row>
    <row r="825" spans="1:10" hidden="1" x14ac:dyDescent="0.25">
      <c r="A825" t="s">
        <v>11</v>
      </c>
      <c r="B825" t="str">
        <f>"UT-108058"</f>
        <v>UT-108058</v>
      </c>
      <c r="C825" t="s">
        <v>100</v>
      </c>
      <c r="D825" t="s">
        <v>1508</v>
      </c>
      <c r="E825" t="str">
        <f>"7806385951"</f>
        <v>7806385951</v>
      </c>
      <c r="F825" t="s">
        <v>26</v>
      </c>
      <c r="G825" t="s">
        <v>1630</v>
      </c>
      <c r="H825" t="s">
        <v>1631</v>
      </c>
      <c r="I825" t="s">
        <v>17</v>
      </c>
      <c r="J825" t="s">
        <v>18</v>
      </c>
    </row>
    <row r="826" spans="1:10" hidden="1" x14ac:dyDescent="0.25">
      <c r="A826" t="s">
        <v>11</v>
      </c>
      <c r="B826" t="str">
        <f>"UT-108005"</f>
        <v>UT-108005</v>
      </c>
      <c r="C826" t="s">
        <v>100</v>
      </c>
      <c r="D826" t="s">
        <v>1508</v>
      </c>
      <c r="E826" t="str">
        <f>"7806385951"</f>
        <v>7806385951</v>
      </c>
      <c r="F826" t="s">
        <v>26</v>
      </c>
      <c r="G826" t="s">
        <v>1632</v>
      </c>
      <c r="H826" t="s">
        <v>1633</v>
      </c>
      <c r="I826" t="s">
        <v>17</v>
      </c>
      <c r="J826" t="s">
        <v>18</v>
      </c>
    </row>
    <row r="827" spans="1:10" hidden="1" x14ac:dyDescent="0.25">
      <c r="A827" t="s">
        <v>11</v>
      </c>
      <c r="B827" t="str">
        <f>"UT-108455"</f>
        <v>UT-108455</v>
      </c>
      <c r="C827" t="s">
        <v>100</v>
      </c>
      <c r="D827" t="s">
        <v>1508</v>
      </c>
      <c r="E827" t="str">
        <f>"7806385951"</f>
        <v>7806385951</v>
      </c>
      <c r="F827" t="s">
        <v>26</v>
      </c>
      <c r="G827" t="s">
        <v>1634</v>
      </c>
      <c r="H827" t="s">
        <v>1635</v>
      </c>
      <c r="I827" t="s">
        <v>17</v>
      </c>
      <c r="J827" t="s">
        <v>18</v>
      </c>
    </row>
    <row r="828" spans="1:10" hidden="1" x14ac:dyDescent="0.25">
      <c r="A828" t="s">
        <v>11</v>
      </c>
      <c r="B828" t="str">
        <f>"2023/40/03/0034957/06"</f>
        <v>2023/40/03/0034957/06</v>
      </c>
      <c r="C828" t="s">
        <v>65</v>
      </c>
      <c r="D828" t="s">
        <v>1508</v>
      </c>
      <c r="E828" t="str">
        <f>"7718151150"</f>
        <v>7718151150</v>
      </c>
      <c r="F828" t="s">
        <v>54</v>
      </c>
      <c r="G828" t="s">
        <v>1636</v>
      </c>
      <c r="H828" t="s">
        <v>1637</v>
      </c>
      <c r="I828" t="s">
        <v>17</v>
      </c>
      <c r="J828" t="s">
        <v>18</v>
      </c>
    </row>
    <row r="829" spans="1:10" hidden="1" x14ac:dyDescent="0.25">
      <c r="A829" t="s">
        <v>11</v>
      </c>
      <c r="B829" t="str">
        <f>"2023/40/03/0034954/06"</f>
        <v>2023/40/03/0034954/06</v>
      </c>
      <c r="C829" t="s">
        <v>65</v>
      </c>
      <c r="D829" t="s">
        <v>1508</v>
      </c>
      <c r="E829" t="str">
        <f>"7718151150"</f>
        <v>7718151150</v>
      </c>
      <c r="F829" t="s">
        <v>54</v>
      </c>
      <c r="G829" t="s">
        <v>253</v>
      </c>
      <c r="H829" t="s">
        <v>1638</v>
      </c>
      <c r="I829" t="s">
        <v>17</v>
      </c>
      <c r="J829" t="s">
        <v>18</v>
      </c>
    </row>
    <row r="830" spans="1:10" hidden="1" x14ac:dyDescent="0.25">
      <c r="A830" t="s">
        <v>11</v>
      </c>
      <c r="B830" t="str">
        <f>"UT-108441"</f>
        <v>UT-108441</v>
      </c>
      <c r="C830" t="s">
        <v>100</v>
      </c>
      <c r="D830" t="s">
        <v>1508</v>
      </c>
      <c r="E830" t="str">
        <f>"7806385951"</f>
        <v>7806385951</v>
      </c>
      <c r="F830" t="s">
        <v>26</v>
      </c>
      <c r="G830" t="s">
        <v>1639</v>
      </c>
      <c r="H830" t="s">
        <v>1640</v>
      </c>
      <c r="I830" t="s">
        <v>17</v>
      </c>
      <c r="J830" t="s">
        <v>18</v>
      </c>
    </row>
    <row r="831" spans="1:10" hidden="1" x14ac:dyDescent="0.25">
      <c r="A831" t="s">
        <v>11</v>
      </c>
      <c r="B831" t="str">
        <f>"UT-108400"</f>
        <v>UT-108400</v>
      </c>
      <c r="C831" t="s">
        <v>100</v>
      </c>
      <c r="D831" t="s">
        <v>1508</v>
      </c>
      <c r="E831" t="str">
        <f>"7806385951"</f>
        <v>7806385951</v>
      </c>
      <c r="F831" t="s">
        <v>26</v>
      </c>
      <c r="G831" t="s">
        <v>1641</v>
      </c>
      <c r="H831" t="s">
        <v>1642</v>
      </c>
      <c r="I831" t="s">
        <v>17</v>
      </c>
      <c r="J831" t="s">
        <v>18</v>
      </c>
    </row>
    <row r="832" spans="1:10" hidden="1" x14ac:dyDescent="0.25">
      <c r="A832" t="s">
        <v>11</v>
      </c>
      <c r="B832" t="str">
        <f>"UT-108418"</f>
        <v>UT-108418</v>
      </c>
      <c r="C832" t="s">
        <v>100</v>
      </c>
      <c r="D832" t="s">
        <v>1508</v>
      </c>
      <c r="E832" t="str">
        <f>"7806385951"</f>
        <v>7806385951</v>
      </c>
      <c r="F832" t="s">
        <v>26</v>
      </c>
      <c r="G832" t="s">
        <v>1643</v>
      </c>
      <c r="H832" t="s">
        <v>1644</v>
      </c>
      <c r="I832" t="s">
        <v>17</v>
      </c>
      <c r="J832" t="s">
        <v>18</v>
      </c>
    </row>
    <row r="833" spans="1:10" hidden="1" x14ac:dyDescent="0.25">
      <c r="A833" t="s">
        <v>11</v>
      </c>
      <c r="B833" t="str">
        <f>"UT-108333"</f>
        <v>UT-108333</v>
      </c>
      <c r="C833" t="s">
        <v>100</v>
      </c>
      <c r="D833" t="s">
        <v>1508</v>
      </c>
      <c r="E833" t="str">
        <f>"7806385951"</f>
        <v>7806385951</v>
      </c>
      <c r="F833" t="s">
        <v>26</v>
      </c>
      <c r="G833" t="s">
        <v>1645</v>
      </c>
      <c r="H833" t="s">
        <v>1646</v>
      </c>
      <c r="I833" t="s">
        <v>17</v>
      </c>
      <c r="J833" t="s">
        <v>21</v>
      </c>
    </row>
    <row r="834" spans="1:10" hidden="1" x14ac:dyDescent="0.25">
      <c r="A834" t="s">
        <v>11</v>
      </c>
      <c r="B834" t="str">
        <f>"1107"</f>
        <v>1107</v>
      </c>
      <c r="C834" t="s">
        <v>903</v>
      </c>
      <c r="D834" t="s">
        <v>1508</v>
      </c>
      <c r="E834" t="str">
        <f>"9729019493"</f>
        <v>9729019493</v>
      </c>
      <c r="F834" t="s">
        <v>560</v>
      </c>
      <c r="G834" t="s">
        <v>1647</v>
      </c>
      <c r="H834" t="s">
        <v>1648</v>
      </c>
      <c r="I834" t="s">
        <v>17</v>
      </c>
      <c r="J834" t="s">
        <v>18</v>
      </c>
    </row>
    <row r="835" spans="1:10" hidden="1" x14ac:dyDescent="0.25">
      <c r="A835" t="s">
        <v>11</v>
      </c>
      <c r="B835" t="str">
        <f>"28351359"</f>
        <v>28351359</v>
      </c>
      <c r="C835" t="s">
        <v>100</v>
      </c>
      <c r="D835" t="s">
        <v>1508</v>
      </c>
      <c r="E835" t="str">
        <f>"7721793895"</f>
        <v>7721793895</v>
      </c>
      <c r="F835" t="s">
        <v>109</v>
      </c>
      <c r="G835" t="s">
        <v>1649</v>
      </c>
      <c r="H835" t="s">
        <v>1650</v>
      </c>
      <c r="I835" t="s">
        <v>17</v>
      </c>
      <c r="J835" t="s">
        <v>18</v>
      </c>
    </row>
    <row r="836" spans="1:10" hidden="1" x14ac:dyDescent="0.25">
      <c r="A836" t="s">
        <v>11</v>
      </c>
      <c r="B836" t="str">
        <f>"5050202/9"</f>
        <v>5050202/9</v>
      </c>
      <c r="C836" t="s">
        <v>106</v>
      </c>
      <c r="D836" t="s">
        <v>1508</v>
      </c>
      <c r="E836" t="str">
        <f>"7811122010"</f>
        <v>7811122010</v>
      </c>
      <c r="F836" t="s">
        <v>1651</v>
      </c>
      <c r="G836" t="s">
        <v>1652</v>
      </c>
      <c r="H836" t="s">
        <v>1653</v>
      </c>
      <c r="I836" t="s">
        <v>17</v>
      </c>
      <c r="J836" t="s">
        <v>18</v>
      </c>
    </row>
    <row r="837" spans="1:10" hidden="1" x14ac:dyDescent="0.25">
      <c r="A837" t="s">
        <v>11</v>
      </c>
      <c r="B837" t="str">
        <f>"154746/780E"</f>
        <v>154746/780E</v>
      </c>
      <c r="C837" t="s">
        <v>106</v>
      </c>
      <c r="D837" t="s">
        <v>1508</v>
      </c>
      <c r="E837" t="str">
        <f t="shared" ref="E837:E842" si="41">"5003052454"</f>
        <v>5003052454</v>
      </c>
      <c r="F837" t="s">
        <v>14</v>
      </c>
      <c r="G837" t="s">
        <v>939</v>
      </c>
      <c r="H837" t="s">
        <v>1654</v>
      </c>
      <c r="I837" t="s">
        <v>17</v>
      </c>
      <c r="J837" t="s">
        <v>18</v>
      </c>
    </row>
    <row r="838" spans="1:10" hidden="1" x14ac:dyDescent="0.25">
      <c r="A838" t="s">
        <v>11</v>
      </c>
      <c r="B838" t="str">
        <f>"154747/780E"</f>
        <v>154747/780E</v>
      </c>
      <c r="C838" t="s">
        <v>106</v>
      </c>
      <c r="D838" t="s">
        <v>1508</v>
      </c>
      <c r="E838" t="str">
        <f t="shared" si="41"/>
        <v>5003052454</v>
      </c>
      <c r="F838" t="s">
        <v>14</v>
      </c>
      <c r="G838" t="s">
        <v>1655</v>
      </c>
      <c r="H838" t="s">
        <v>1656</v>
      </c>
      <c r="I838" t="s">
        <v>17</v>
      </c>
      <c r="J838" t="s">
        <v>18</v>
      </c>
    </row>
    <row r="839" spans="1:10" hidden="1" x14ac:dyDescent="0.25">
      <c r="A839" t="s">
        <v>11</v>
      </c>
      <c r="B839" t="str">
        <f>"154748/780E"</f>
        <v>154748/780E</v>
      </c>
      <c r="C839" t="s">
        <v>106</v>
      </c>
      <c r="D839" t="s">
        <v>1508</v>
      </c>
      <c r="E839" t="str">
        <f t="shared" si="41"/>
        <v>5003052454</v>
      </c>
      <c r="F839" t="s">
        <v>14</v>
      </c>
      <c r="G839" t="s">
        <v>1519</v>
      </c>
      <c r="H839" t="s">
        <v>1657</v>
      </c>
      <c r="I839" t="s">
        <v>17</v>
      </c>
      <c r="J839" t="s">
        <v>18</v>
      </c>
    </row>
    <row r="840" spans="1:10" hidden="1" x14ac:dyDescent="0.25">
      <c r="A840" t="s">
        <v>11</v>
      </c>
      <c r="B840" t="str">
        <f>"154749/780E"</f>
        <v>154749/780E</v>
      </c>
      <c r="C840" t="s">
        <v>106</v>
      </c>
      <c r="D840" t="s">
        <v>1508</v>
      </c>
      <c r="E840" t="str">
        <f t="shared" si="41"/>
        <v>5003052454</v>
      </c>
      <c r="F840" t="s">
        <v>14</v>
      </c>
      <c r="G840" t="s">
        <v>1658</v>
      </c>
      <c r="H840" t="s">
        <v>1659</v>
      </c>
      <c r="I840" t="s">
        <v>17</v>
      </c>
      <c r="J840" t="s">
        <v>18</v>
      </c>
    </row>
    <row r="841" spans="1:10" hidden="1" x14ac:dyDescent="0.25">
      <c r="A841" t="s">
        <v>11</v>
      </c>
      <c r="B841" t="str">
        <f>"154750/780E"</f>
        <v>154750/780E</v>
      </c>
      <c r="C841" t="s">
        <v>106</v>
      </c>
      <c r="D841" t="s">
        <v>1508</v>
      </c>
      <c r="E841" t="str">
        <f t="shared" si="41"/>
        <v>5003052454</v>
      </c>
      <c r="F841" t="s">
        <v>14</v>
      </c>
      <c r="G841" t="s">
        <v>1660</v>
      </c>
      <c r="H841" t="s">
        <v>1661</v>
      </c>
      <c r="I841" t="s">
        <v>17</v>
      </c>
      <c r="J841" t="s">
        <v>18</v>
      </c>
    </row>
    <row r="842" spans="1:10" hidden="1" x14ac:dyDescent="0.25">
      <c r="A842" t="s">
        <v>11</v>
      </c>
      <c r="B842" t="str">
        <f>"154751/780E"</f>
        <v>154751/780E</v>
      </c>
      <c r="C842" t="s">
        <v>106</v>
      </c>
      <c r="D842" t="s">
        <v>1508</v>
      </c>
      <c r="E842" t="str">
        <f t="shared" si="41"/>
        <v>5003052454</v>
      </c>
      <c r="F842" t="s">
        <v>14</v>
      </c>
      <c r="G842" t="s">
        <v>1662</v>
      </c>
      <c r="H842" t="s">
        <v>1663</v>
      </c>
      <c r="I842" t="s">
        <v>17</v>
      </c>
      <c r="J842" t="s">
        <v>18</v>
      </c>
    </row>
    <row r="843" spans="1:10" hidden="1" x14ac:dyDescent="0.25">
      <c r="A843" t="s">
        <v>11</v>
      </c>
      <c r="B843" t="str">
        <f>"UT-109801"</f>
        <v>UT-109801</v>
      </c>
      <c r="C843" t="s">
        <v>106</v>
      </c>
      <c r="D843" t="s">
        <v>1508</v>
      </c>
      <c r="E843" t="str">
        <f>"7806385951"</f>
        <v>7806385951</v>
      </c>
      <c r="F843" t="s">
        <v>26</v>
      </c>
      <c r="G843" t="s">
        <v>1664</v>
      </c>
      <c r="H843" t="s">
        <v>1665</v>
      </c>
      <c r="I843" t="s">
        <v>17</v>
      </c>
      <c r="J843" t="s">
        <v>18</v>
      </c>
    </row>
    <row r="844" spans="1:10" hidden="1" x14ac:dyDescent="0.25">
      <c r="A844" t="s">
        <v>11</v>
      </c>
      <c r="B844" t="str">
        <f>"28348649"</f>
        <v>28348649</v>
      </c>
      <c r="C844" t="s">
        <v>100</v>
      </c>
      <c r="D844" t="s">
        <v>1508</v>
      </c>
      <c r="E844" t="str">
        <f>"7721793895"</f>
        <v>7721793895</v>
      </c>
      <c r="F844" t="s">
        <v>109</v>
      </c>
      <c r="G844" t="s">
        <v>1666</v>
      </c>
      <c r="H844" t="s">
        <v>1667</v>
      </c>
      <c r="I844" t="s">
        <v>17</v>
      </c>
      <c r="J844" t="s">
        <v>18</v>
      </c>
    </row>
    <row r="845" spans="1:10" hidden="1" x14ac:dyDescent="0.25">
      <c r="A845" t="s">
        <v>11</v>
      </c>
      <c r="B845" t="str">
        <f>"28351722"</f>
        <v>28351722</v>
      </c>
      <c r="C845" t="s">
        <v>100</v>
      </c>
      <c r="D845" t="s">
        <v>1508</v>
      </c>
      <c r="E845" t="str">
        <f>"7721793895"</f>
        <v>7721793895</v>
      </c>
      <c r="F845" t="s">
        <v>109</v>
      </c>
      <c r="G845" t="s">
        <v>1668</v>
      </c>
      <c r="H845" t="s">
        <v>1669</v>
      </c>
      <c r="I845" t="s">
        <v>17</v>
      </c>
      <c r="J845" t="s">
        <v>18</v>
      </c>
    </row>
    <row r="846" spans="1:10" hidden="1" x14ac:dyDescent="0.25">
      <c r="A846" t="s">
        <v>11</v>
      </c>
      <c r="B846" t="str">
        <f>"UT-109761"</f>
        <v>UT-109761</v>
      </c>
      <c r="C846" t="s">
        <v>106</v>
      </c>
      <c r="D846" t="s">
        <v>1508</v>
      </c>
      <c r="E846" t="str">
        <f>"7806385951"</f>
        <v>7806385951</v>
      </c>
      <c r="F846" t="s">
        <v>26</v>
      </c>
      <c r="G846" t="s">
        <v>1670</v>
      </c>
      <c r="H846" t="s">
        <v>1671</v>
      </c>
      <c r="I846" t="s">
        <v>17</v>
      </c>
      <c r="J846" t="s">
        <v>18</v>
      </c>
    </row>
    <row r="847" spans="1:10" hidden="1" x14ac:dyDescent="0.25">
      <c r="A847" t="s">
        <v>11</v>
      </c>
      <c r="B847" t="str">
        <f>"UT-109802"</f>
        <v>UT-109802</v>
      </c>
      <c r="C847" t="s">
        <v>106</v>
      </c>
      <c r="D847" t="s">
        <v>1508</v>
      </c>
      <c r="E847" t="str">
        <f>"7806385951"</f>
        <v>7806385951</v>
      </c>
      <c r="F847" t="s">
        <v>26</v>
      </c>
      <c r="G847" t="s">
        <v>1672</v>
      </c>
      <c r="H847" t="s">
        <v>1673</v>
      </c>
      <c r="I847" t="s">
        <v>17</v>
      </c>
      <c r="J847" t="s">
        <v>18</v>
      </c>
    </row>
    <row r="848" spans="1:10" hidden="1" x14ac:dyDescent="0.25">
      <c r="A848" t="s">
        <v>11</v>
      </c>
      <c r="B848" t="str">
        <f>"UT-109812"</f>
        <v>UT-109812</v>
      </c>
      <c r="C848" t="s">
        <v>106</v>
      </c>
      <c r="D848" t="s">
        <v>1508</v>
      </c>
      <c r="E848" t="str">
        <f>"7806385951"</f>
        <v>7806385951</v>
      </c>
      <c r="F848" t="s">
        <v>26</v>
      </c>
      <c r="G848" t="s">
        <v>1674</v>
      </c>
      <c r="H848" t="s">
        <v>1675</v>
      </c>
      <c r="I848" t="s">
        <v>17</v>
      </c>
      <c r="J848" t="s">
        <v>18</v>
      </c>
    </row>
    <row r="849" spans="1:10" x14ac:dyDescent="0.25">
      <c r="A849" t="s">
        <v>11</v>
      </c>
      <c r="B849" t="str">
        <f>"УТР0167582"</f>
        <v>УТР0167582</v>
      </c>
      <c r="C849" t="s">
        <v>106</v>
      </c>
      <c r="D849" t="s">
        <v>1508</v>
      </c>
      <c r="E849" t="str">
        <f>"7804044258"</f>
        <v>7804044258</v>
      </c>
      <c r="F849" t="s">
        <v>155</v>
      </c>
      <c r="G849" t="s">
        <v>1676</v>
      </c>
      <c r="H849" t="s">
        <v>1677</v>
      </c>
      <c r="I849" t="s">
        <v>17</v>
      </c>
      <c r="J849" t="s">
        <v>166</v>
      </c>
    </row>
    <row r="850" spans="1:10" hidden="1" x14ac:dyDescent="0.25">
      <c r="A850" t="s">
        <v>11</v>
      </c>
      <c r="B850" t="str">
        <f>"2023/40/03/0035230/06"</f>
        <v>2023/40/03/0035230/06</v>
      </c>
      <c r="C850" t="s">
        <v>100</v>
      </c>
      <c r="D850" t="s">
        <v>1508</v>
      </c>
      <c r="E850" t="str">
        <f t="shared" ref="E850:E856" si="42">"7718151150"</f>
        <v>7718151150</v>
      </c>
      <c r="F850" t="s">
        <v>54</v>
      </c>
      <c r="G850" t="s">
        <v>1678</v>
      </c>
      <c r="H850" t="s">
        <v>1679</v>
      </c>
      <c r="I850" t="s">
        <v>17</v>
      </c>
      <c r="J850" t="s">
        <v>18</v>
      </c>
    </row>
    <row r="851" spans="1:10" hidden="1" x14ac:dyDescent="0.25">
      <c r="A851" t="s">
        <v>11</v>
      </c>
      <c r="B851" t="str">
        <f>"2023/40/03/0035296/06"</f>
        <v>2023/40/03/0035296/06</v>
      </c>
      <c r="C851" t="s">
        <v>100</v>
      </c>
      <c r="D851" t="s">
        <v>1508</v>
      </c>
      <c r="E851" t="str">
        <f t="shared" si="42"/>
        <v>7718151150</v>
      </c>
      <c r="F851" t="s">
        <v>54</v>
      </c>
      <c r="G851" t="s">
        <v>1636</v>
      </c>
      <c r="H851" t="s">
        <v>1680</v>
      </c>
      <c r="I851" t="s">
        <v>17</v>
      </c>
      <c r="J851" t="s">
        <v>18</v>
      </c>
    </row>
    <row r="852" spans="1:10" hidden="1" x14ac:dyDescent="0.25">
      <c r="A852" t="s">
        <v>11</v>
      </c>
      <c r="B852" t="str">
        <f>"2023/40/03/0035328/06"</f>
        <v>2023/40/03/0035328/06</v>
      </c>
      <c r="C852" t="s">
        <v>100</v>
      </c>
      <c r="D852" t="s">
        <v>1508</v>
      </c>
      <c r="E852" t="str">
        <f t="shared" si="42"/>
        <v>7718151150</v>
      </c>
      <c r="F852" t="s">
        <v>54</v>
      </c>
      <c r="G852" t="s">
        <v>745</v>
      </c>
      <c r="H852" t="s">
        <v>1681</v>
      </c>
      <c r="I852" t="s">
        <v>17</v>
      </c>
      <c r="J852" t="s">
        <v>18</v>
      </c>
    </row>
    <row r="853" spans="1:10" hidden="1" x14ac:dyDescent="0.25">
      <c r="A853" t="s">
        <v>11</v>
      </c>
      <c r="B853" t="str">
        <f>"2023/40/03/0035332/06"</f>
        <v>2023/40/03/0035332/06</v>
      </c>
      <c r="C853" t="s">
        <v>100</v>
      </c>
      <c r="D853" t="s">
        <v>1508</v>
      </c>
      <c r="E853" t="str">
        <f t="shared" si="42"/>
        <v>7718151150</v>
      </c>
      <c r="F853" t="s">
        <v>54</v>
      </c>
      <c r="G853" t="s">
        <v>1682</v>
      </c>
      <c r="H853" t="s">
        <v>1683</v>
      </c>
      <c r="I853" t="s">
        <v>17</v>
      </c>
      <c r="J853" t="s">
        <v>18</v>
      </c>
    </row>
    <row r="854" spans="1:10" hidden="1" x14ac:dyDescent="0.25">
      <c r="A854" t="s">
        <v>11</v>
      </c>
      <c r="B854" t="str">
        <f>"2023/40/03/0035329/06"</f>
        <v>2023/40/03/0035329/06</v>
      </c>
      <c r="C854" t="s">
        <v>100</v>
      </c>
      <c r="D854" t="s">
        <v>1508</v>
      </c>
      <c r="E854" t="str">
        <f t="shared" si="42"/>
        <v>7718151150</v>
      </c>
      <c r="F854" t="s">
        <v>54</v>
      </c>
      <c r="G854" t="s">
        <v>345</v>
      </c>
      <c r="H854" t="s">
        <v>1684</v>
      </c>
      <c r="I854" t="s">
        <v>17</v>
      </c>
      <c r="J854" t="s">
        <v>18</v>
      </c>
    </row>
    <row r="855" spans="1:10" hidden="1" x14ac:dyDescent="0.25">
      <c r="A855" t="s">
        <v>11</v>
      </c>
      <c r="B855" t="str">
        <f>"2023/40/03/0035333/06"</f>
        <v>2023/40/03/0035333/06</v>
      </c>
      <c r="C855" t="s">
        <v>100</v>
      </c>
      <c r="D855" t="s">
        <v>1508</v>
      </c>
      <c r="E855" t="str">
        <f t="shared" si="42"/>
        <v>7718151150</v>
      </c>
      <c r="F855" t="s">
        <v>54</v>
      </c>
      <c r="G855" t="s">
        <v>1685</v>
      </c>
      <c r="H855" t="s">
        <v>1686</v>
      </c>
      <c r="I855" t="s">
        <v>17</v>
      </c>
      <c r="J855" t="s">
        <v>18</v>
      </c>
    </row>
    <row r="856" spans="1:10" hidden="1" x14ac:dyDescent="0.25">
      <c r="A856" t="s">
        <v>11</v>
      </c>
      <c r="B856" t="str">
        <f>"2023/40/03/0035331/06"</f>
        <v>2023/40/03/0035331/06</v>
      </c>
      <c r="C856" t="s">
        <v>100</v>
      </c>
      <c r="D856" t="s">
        <v>1508</v>
      </c>
      <c r="E856" t="str">
        <f t="shared" si="42"/>
        <v>7718151150</v>
      </c>
      <c r="F856" t="s">
        <v>54</v>
      </c>
      <c r="G856" t="s">
        <v>1687</v>
      </c>
      <c r="H856" t="s">
        <v>1688</v>
      </c>
      <c r="I856" t="s">
        <v>17</v>
      </c>
      <c r="J856" t="s">
        <v>18</v>
      </c>
    </row>
    <row r="857" spans="1:10" hidden="1" x14ac:dyDescent="0.25">
      <c r="A857" t="s">
        <v>11</v>
      </c>
      <c r="B857" t="str">
        <f>"АРРО0505/08"</f>
        <v>АРРО0505/08</v>
      </c>
      <c r="C857" t="s">
        <v>106</v>
      </c>
      <c r="D857" t="s">
        <v>1508</v>
      </c>
      <c r="E857" t="str">
        <f>"7735126034"</f>
        <v>7735126034</v>
      </c>
      <c r="F857" t="s">
        <v>131</v>
      </c>
      <c r="G857" t="s">
        <v>1689</v>
      </c>
      <c r="H857" t="s">
        <v>1690</v>
      </c>
      <c r="I857" t="s">
        <v>17</v>
      </c>
      <c r="J857" t="s">
        <v>18</v>
      </c>
    </row>
    <row r="858" spans="1:10" hidden="1" x14ac:dyDescent="0.25">
      <c r="A858" t="s">
        <v>11</v>
      </c>
      <c r="B858" t="str">
        <f>"АРРО0505/12"</f>
        <v>АРРО0505/12</v>
      </c>
      <c r="C858" t="s">
        <v>106</v>
      </c>
      <c r="D858" t="s">
        <v>1508</v>
      </c>
      <c r="E858" t="str">
        <f>"7735126034"</f>
        <v>7735126034</v>
      </c>
      <c r="F858" t="s">
        <v>131</v>
      </c>
      <c r="G858" t="s">
        <v>1691</v>
      </c>
      <c r="H858" t="s">
        <v>1692</v>
      </c>
      <c r="I858" t="s">
        <v>17</v>
      </c>
      <c r="J858" t="s">
        <v>18</v>
      </c>
    </row>
    <row r="859" spans="1:10" hidden="1" x14ac:dyDescent="0.25">
      <c r="A859" t="s">
        <v>11</v>
      </c>
      <c r="B859" t="str">
        <f>"УТ-605-000117"</f>
        <v>УТ-605-000117</v>
      </c>
      <c r="C859" t="s">
        <v>420</v>
      </c>
      <c r="D859" t="s">
        <v>1508</v>
      </c>
      <c r="E859" t="str">
        <f>"7839454551"</f>
        <v>7839454551</v>
      </c>
      <c r="F859" t="s">
        <v>57</v>
      </c>
      <c r="G859" t="s">
        <v>1693</v>
      </c>
      <c r="H859" t="s">
        <v>1694</v>
      </c>
      <c r="I859" t="s">
        <v>17</v>
      </c>
      <c r="J859" t="s">
        <v>18</v>
      </c>
    </row>
    <row r="860" spans="1:10" hidden="1" x14ac:dyDescent="0.25">
      <c r="A860" t="s">
        <v>11</v>
      </c>
      <c r="B860" t="str">
        <f>"УТ-605-000116"</f>
        <v>УТ-605-000116</v>
      </c>
      <c r="C860" t="s">
        <v>420</v>
      </c>
      <c r="D860" t="s">
        <v>1508</v>
      </c>
      <c r="E860" t="str">
        <f>"7839454551"</f>
        <v>7839454551</v>
      </c>
      <c r="F860" t="s">
        <v>57</v>
      </c>
      <c r="G860" t="s">
        <v>1695</v>
      </c>
      <c r="H860" t="s">
        <v>1696</v>
      </c>
      <c r="I860" t="s">
        <v>17</v>
      </c>
      <c r="J860" t="s">
        <v>18</v>
      </c>
    </row>
    <row r="861" spans="1:10" hidden="1" x14ac:dyDescent="0.25">
      <c r="A861" t="s">
        <v>11</v>
      </c>
      <c r="B861" t="str">
        <f>"УТ-605-000107"</f>
        <v>УТ-605-000107</v>
      </c>
      <c r="C861" t="s">
        <v>420</v>
      </c>
      <c r="D861" t="s">
        <v>1508</v>
      </c>
      <c r="E861" t="str">
        <f>"7839454551"</f>
        <v>7839454551</v>
      </c>
      <c r="F861" t="s">
        <v>57</v>
      </c>
      <c r="G861" t="s">
        <v>1697</v>
      </c>
      <c r="H861" t="s">
        <v>1698</v>
      </c>
      <c r="I861" t="s">
        <v>17</v>
      </c>
      <c r="J861" t="s">
        <v>18</v>
      </c>
    </row>
    <row r="862" spans="1:10" hidden="1" x14ac:dyDescent="0.25">
      <c r="A862" t="s">
        <v>11</v>
      </c>
      <c r="B862" t="str">
        <f>"УТ-605-000102"</f>
        <v>УТ-605-000102</v>
      </c>
      <c r="C862" t="s">
        <v>420</v>
      </c>
      <c r="D862" t="s">
        <v>1508</v>
      </c>
      <c r="E862" t="str">
        <f>"7839454551"</f>
        <v>7839454551</v>
      </c>
      <c r="F862" t="s">
        <v>57</v>
      </c>
      <c r="G862" t="s">
        <v>614</v>
      </c>
      <c r="H862" t="s">
        <v>1699</v>
      </c>
      <c r="I862" t="s">
        <v>17</v>
      </c>
      <c r="J862" t="s">
        <v>18</v>
      </c>
    </row>
    <row r="863" spans="1:10" hidden="1" x14ac:dyDescent="0.25">
      <c r="A863" t="s">
        <v>11</v>
      </c>
      <c r="B863" t="str">
        <f>"УТ-605-000101"</f>
        <v>УТ-605-000101</v>
      </c>
      <c r="C863" t="s">
        <v>420</v>
      </c>
      <c r="D863" t="s">
        <v>1508</v>
      </c>
      <c r="E863" t="str">
        <f>"7839454551"</f>
        <v>7839454551</v>
      </c>
      <c r="F863" t="s">
        <v>57</v>
      </c>
      <c r="G863" t="s">
        <v>1700</v>
      </c>
      <c r="H863" t="s">
        <v>1701</v>
      </c>
      <c r="I863" t="s">
        <v>17</v>
      </c>
      <c r="J863" t="s">
        <v>18</v>
      </c>
    </row>
    <row r="864" spans="1:10" hidden="1" x14ac:dyDescent="0.25">
      <c r="A864" t="s">
        <v>11</v>
      </c>
      <c r="B864" t="str">
        <f>"UT-103350"</f>
        <v>UT-103350</v>
      </c>
      <c r="C864" t="s">
        <v>53</v>
      </c>
      <c r="D864" t="s">
        <v>1702</v>
      </c>
      <c r="E864" t="str">
        <f>"7806385951"</f>
        <v>7806385951</v>
      </c>
      <c r="F864" t="s">
        <v>26</v>
      </c>
      <c r="G864" t="s">
        <v>1703</v>
      </c>
      <c r="H864" t="s">
        <v>1704</v>
      </c>
      <c r="I864" t="s">
        <v>17</v>
      </c>
      <c r="J864" t="s">
        <v>18</v>
      </c>
    </row>
    <row r="865" spans="1:10" hidden="1" x14ac:dyDescent="0.25">
      <c r="A865" t="s">
        <v>11</v>
      </c>
      <c r="B865" t="str">
        <f>"UT-103423"</f>
        <v>UT-103423</v>
      </c>
      <c r="C865" t="s">
        <v>53</v>
      </c>
      <c r="D865" t="s">
        <v>1702</v>
      </c>
      <c r="E865" t="str">
        <f>"7806385951"</f>
        <v>7806385951</v>
      </c>
      <c r="F865" t="s">
        <v>26</v>
      </c>
      <c r="G865" t="s">
        <v>1705</v>
      </c>
      <c r="H865" t="s">
        <v>1706</v>
      </c>
      <c r="I865" t="s">
        <v>17</v>
      </c>
      <c r="J865" t="s">
        <v>18</v>
      </c>
    </row>
    <row r="866" spans="1:10" hidden="1" x14ac:dyDescent="0.25">
      <c r="A866" t="s">
        <v>11</v>
      </c>
      <c r="B866" t="str">
        <f>"UT-103349"</f>
        <v>UT-103349</v>
      </c>
      <c r="C866" t="s">
        <v>12</v>
      </c>
      <c r="D866" t="s">
        <v>1702</v>
      </c>
      <c r="E866" t="str">
        <f>"7806385951"</f>
        <v>7806385951</v>
      </c>
      <c r="F866" t="s">
        <v>26</v>
      </c>
      <c r="G866" t="s">
        <v>1707</v>
      </c>
      <c r="H866" t="s">
        <v>1708</v>
      </c>
      <c r="I866" t="s">
        <v>17</v>
      </c>
      <c r="J866" t="s">
        <v>18</v>
      </c>
    </row>
    <row r="867" spans="1:10" hidden="1" x14ac:dyDescent="0.25">
      <c r="A867" t="s">
        <v>11</v>
      </c>
      <c r="B867" t="str">
        <f>"11723/620E"</f>
        <v>11723/620E</v>
      </c>
      <c r="C867" t="s">
        <v>65</v>
      </c>
      <c r="D867" t="s">
        <v>1702</v>
      </c>
      <c r="E867" t="str">
        <f>"5003052454"</f>
        <v>5003052454</v>
      </c>
      <c r="F867" t="s">
        <v>14</v>
      </c>
      <c r="G867" t="s">
        <v>1709</v>
      </c>
      <c r="H867" t="s">
        <v>1710</v>
      </c>
      <c r="I867" t="s">
        <v>17</v>
      </c>
      <c r="J867" t="s">
        <v>18</v>
      </c>
    </row>
    <row r="868" spans="1:10" hidden="1" x14ac:dyDescent="0.25">
      <c r="A868" t="s">
        <v>11</v>
      </c>
      <c r="B868" t="str">
        <f>"UT-106710"</f>
        <v>UT-106710</v>
      </c>
      <c r="C868" t="s">
        <v>65</v>
      </c>
      <c r="D868" t="s">
        <v>1702</v>
      </c>
      <c r="E868" t="str">
        <f t="shared" ref="E868:E875" si="43">"7806385951"</f>
        <v>7806385951</v>
      </c>
      <c r="F868" t="s">
        <v>26</v>
      </c>
      <c r="G868" t="s">
        <v>1711</v>
      </c>
      <c r="H868" t="s">
        <v>1712</v>
      </c>
      <c r="I868" t="s">
        <v>17</v>
      </c>
      <c r="J868" t="s">
        <v>18</v>
      </c>
    </row>
    <row r="869" spans="1:10" hidden="1" x14ac:dyDescent="0.25">
      <c r="A869" t="s">
        <v>11</v>
      </c>
      <c r="B869" t="str">
        <f>"UT-106708"</f>
        <v>UT-106708</v>
      </c>
      <c r="C869" t="s">
        <v>65</v>
      </c>
      <c r="D869" t="s">
        <v>1702</v>
      </c>
      <c r="E869" t="str">
        <f t="shared" si="43"/>
        <v>7806385951</v>
      </c>
      <c r="F869" t="s">
        <v>26</v>
      </c>
      <c r="G869" t="s">
        <v>1713</v>
      </c>
      <c r="H869" t="s">
        <v>1714</v>
      </c>
      <c r="I869" t="s">
        <v>17</v>
      </c>
      <c r="J869" t="s">
        <v>18</v>
      </c>
    </row>
    <row r="870" spans="1:10" hidden="1" x14ac:dyDescent="0.25">
      <c r="A870" t="s">
        <v>11</v>
      </c>
      <c r="B870" t="str">
        <f>"UT-106709"</f>
        <v>UT-106709</v>
      </c>
      <c r="C870" t="s">
        <v>65</v>
      </c>
      <c r="D870" t="s">
        <v>1702</v>
      </c>
      <c r="E870" t="str">
        <f t="shared" si="43"/>
        <v>7806385951</v>
      </c>
      <c r="F870" t="s">
        <v>26</v>
      </c>
      <c r="G870" t="s">
        <v>1715</v>
      </c>
      <c r="H870" t="s">
        <v>1716</v>
      </c>
      <c r="I870" t="s">
        <v>17</v>
      </c>
      <c r="J870" t="s">
        <v>18</v>
      </c>
    </row>
    <row r="871" spans="1:10" hidden="1" x14ac:dyDescent="0.25">
      <c r="A871" t="s">
        <v>11</v>
      </c>
      <c r="B871" t="str">
        <f>"UT-106828"</f>
        <v>UT-106828</v>
      </c>
      <c r="C871" t="s">
        <v>65</v>
      </c>
      <c r="D871" t="s">
        <v>1702</v>
      </c>
      <c r="E871" t="str">
        <f t="shared" si="43"/>
        <v>7806385951</v>
      </c>
      <c r="F871" t="s">
        <v>26</v>
      </c>
      <c r="G871" t="s">
        <v>1717</v>
      </c>
      <c r="H871" t="s">
        <v>1718</v>
      </c>
      <c r="I871" t="s">
        <v>17</v>
      </c>
      <c r="J871" t="s">
        <v>18</v>
      </c>
    </row>
    <row r="872" spans="1:10" hidden="1" x14ac:dyDescent="0.25">
      <c r="A872" t="s">
        <v>11</v>
      </c>
      <c r="B872" t="str">
        <f>"UT-106829"</f>
        <v>UT-106829</v>
      </c>
      <c r="C872" t="s">
        <v>65</v>
      </c>
      <c r="D872" t="s">
        <v>1702</v>
      </c>
      <c r="E872" t="str">
        <f t="shared" si="43"/>
        <v>7806385951</v>
      </c>
      <c r="F872" t="s">
        <v>26</v>
      </c>
      <c r="G872" t="s">
        <v>465</v>
      </c>
      <c r="H872" t="s">
        <v>1719</v>
      </c>
      <c r="I872" t="s">
        <v>17</v>
      </c>
      <c r="J872" t="s">
        <v>18</v>
      </c>
    </row>
    <row r="873" spans="1:10" hidden="1" x14ac:dyDescent="0.25">
      <c r="A873" t="s">
        <v>11</v>
      </c>
      <c r="B873" t="str">
        <f>"UT-106830"</f>
        <v>UT-106830</v>
      </c>
      <c r="C873" t="s">
        <v>65</v>
      </c>
      <c r="D873" t="s">
        <v>1702</v>
      </c>
      <c r="E873" t="str">
        <f t="shared" si="43"/>
        <v>7806385951</v>
      </c>
      <c r="F873" t="s">
        <v>26</v>
      </c>
      <c r="G873" t="s">
        <v>1720</v>
      </c>
      <c r="H873" t="s">
        <v>1721</v>
      </c>
      <c r="I873" t="s">
        <v>17</v>
      </c>
      <c r="J873" t="s">
        <v>18</v>
      </c>
    </row>
    <row r="874" spans="1:10" hidden="1" x14ac:dyDescent="0.25">
      <c r="A874" t="s">
        <v>11</v>
      </c>
      <c r="B874" t="str">
        <f>"UT-106831"</f>
        <v>UT-106831</v>
      </c>
      <c r="C874" t="s">
        <v>65</v>
      </c>
      <c r="D874" t="s">
        <v>1702</v>
      </c>
      <c r="E874" t="str">
        <f t="shared" si="43"/>
        <v>7806385951</v>
      </c>
      <c r="F874" t="s">
        <v>26</v>
      </c>
      <c r="G874" t="s">
        <v>1722</v>
      </c>
      <c r="H874" t="s">
        <v>1723</v>
      </c>
      <c r="I874" t="s">
        <v>17</v>
      </c>
      <c r="J874" t="s">
        <v>18</v>
      </c>
    </row>
    <row r="875" spans="1:10" hidden="1" x14ac:dyDescent="0.25">
      <c r="A875" t="s">
        <v>11</v>
      </c>
      <c r="B875" t="str">
        <f>"UT-106832"</f>
        <v>UT-106832</v>
      </c>
      <c r="C875" t="s">
        <v>65</v>
      </c>
      <c r="D875" t="s">
        <v>1702</v>
      </c>
      <c r="E875" t="str">
        <f t="shared" si="43"/>
        <v>7806385951</v>
      </c>
      <c r="F875" t="s">
        <v>26</v>
      </c>
      <c r="G875" t="s">
        <v>1724</v>
      </c>
      <c r="H875" t="s">
        <v>1725</v>
      </c>
      <c r="I875" t="s">
        <v>17</v>
      </c>
      <c r="J875" t="s">
        <v>18</v>
      </c>
    </row>
    <row r="876" spans="1:10" hidden="1" x14ac:dyDescent="0.25">
      <c r="A876" t="s">
        <v>11</v>
      </c>
      <c r="B876" t="str">
        <f>"859"</f>
        <v>859</v>
      </c>
      <c r="C876" t="s">
        <v>49</v>
      </c>
      <c r="D876" t="s">
        <v>1702</v>
      </c>
      <c r="E876" t="str">
        <f>"7704340969"</f>
        <v>7704340969</v>
      </c>
      <c r="F876" t="s">
        <v>76</v>
      </c>
      <c r="G876" t="s">
        <v>1726</v>
      </c>
      <c r="H876" t="s">
        <v>1727</v>
      </c>
      <c r="I876" t="s">
        <v>17</v>
      </c>
      <c r="J876" t="s">
        <v>18</v>
      </c>
    </row>
    <row r="877" spans="1:10" hidden="1" x14ac:dyDescent="0.25">
      <c r="A877" t="s">
        <v>11</v>
      </c>
      <c r="B877" t="str">
        <f>"886"</f>
        <v>886</v>
      </c>
      <c r="C877" t="s">
        <v>49</v>
      </c>
      <c r="D877" t="s">
        <v>1702</v>
      </c>
      <c r="E877" t="str">
        <f>"7704340969"</f>
        <v>7704340969</v>
      </c>
      <c r="F877" t="s">
        <v>76</v>
      </c>
      <c r="G877" t="s">
        <v>1728</v>
      </c>
      <c r="H877" t="s">
        <v>1729</v>
      </c>
      <c r="I877" t="s">
        <v>17</v>
      </c>
      <c r="J877" t="s">
        <v>18</v>
      </c>
    </row>
    <row r="878" spans="1:10" hidden="1" x14ac:dyDescent="0.25">
      <c r="A878" t="s">
        <v>11</v>
      </c>
      <c r="B878" t="str">
        <f>"920"</f>
        <v>920</v>
      </c>
      <c r="C878" t="s">
        <v>49</v>
      </c>
      <c r="D878" t="s">
        <v>1702</v>
      </c>
      <c r="E878" t="str">
        <f>"7704340969"</f>
        <v>7704340969</v>
      </c>
      <c r="F878" t="s">
        <v>76</v>
      </c>
      <c r="G878" t="s">
        <v>1730</v>
      </c>
      <c r="H878" t="s">
        <v>1731</v>
      </c>
      <c r="I878" t="s">
        <v>17</v>
      </c>
      <c r="J878" t="s">
        <v>18</v>
      </c>
    </row>
    <row r="879" spans="1:10" hidden="1" x14ac:dyDescent="0.25">
      <c r="A879" t="s">
        <v>11</v>
      </c>
      <c r="B879" t="str">
        <f>"964"</f>
        <v>964</v>
      </c>
      <c r="C879" t="s">
        <v>49</v>
      </c>
      <c r="D879" t="s">
        <v>1702</v>
      </c>
      <c r="E879" t="str">
        <f>"7704340969"</f>
        <v>7704340969</v>
      </c>
      <c r="F879" t="s">
        <v>76</v>
      </c>
      <c r="G879" t="s">
        <v>1732</v>
      </c>
      <c r="H879" t="s">
        <v>1733</v>
      </c>
      <c r="I879" t="s">
        <v>17</v>
      </c>
      <c r="J879" t="s">
        <v>18</v>
      </c>
    </row>
    <row r="880" spans="1:10" hidden="1" x14ac:dyDescent="0.25">
      <c r="A880" t="s">
        <v>11</v>
      </c>
      <c r="B880" t="str">
        <f>"159"</f>
        <v>159</v>
      </c>
      <c r="C880" t="s">
        <v>49</v>
      </c>
      <c r="D880" t="s">
        <v>1702</v>
      </c>
      <c r="E880" t="str">
        <f>"7702392168"</f>
        <v>7702392168</v>
      </c>
      <c r="F880" t="s">
        <v>97</v>
      </c>
      <c r="G880" t="s">
        <v>1734</v>
      </c>
      <c r="H880" t="s">
        <v>1735</v>
      </c>
      <c r="I880" t="s">
        <v>17</v>
      </c>
      <c r="J880" t="s">
        <v>18</v>
      </c>
    </row>
    <row r="881" spans="1:10" x14ac:dyDescent="0.25">
      <c r="A881" t="s">
        <v>290</v>
      </c>
      <c r="B881" t="str">
        <f>"1800000981"</f>
        <v>1800000981</v>
      </c>
      <c r="C881" t="s">
        <v>100</v>
      </c>
      <c r="D881" t="s">
        <v>1702</v>
      </c>
      <c r="E881" t="str">
        <f>"5032260402"</f>
        <v>5032260402</v>
      </c>
      <c r="F881" t="s">
        <v>341</v>
      </c>
      <c r="G881" t="s">
        <v>847</v>
      </c>
      <c r="H881" t="s">
        <v>1736</v>
      </c>
      <c r="I881" t="s">
        <v>17</v>
      </c>
      <c r="J881" t="s">
        <v>166</v>
      </c>
    </row>
    <row r="882" spans="1:10" hidden="1" x14ac:dyDescent="0.25">
      <c r="A882" t="s">
        <v>11</v>
      </c>
      <c r="B882" t="str">
        <f>"6210/8174467763"</f>
        <v>6210/8174467763</v>
      </c>
      <c r="C882" t="s">
        <v>100</v>
      </c>
      <c r="D882" t="s">
        <v>1702</v>
      </c>
      <c r="E882" t="str">
        <f>"5032260402"</f>
        <v>5032260402</v>
      </c>
      <c r="F882" t="s">
        <v>341</v>
      </c>
      <c r="G882" t="s">
        <v>1737</v>
      </c>
      <c r="H882" t="s">
        <v>1738</v>
      </c>
      <c r="I882" t="s">
        <v>17</v>
      </c>
      <c r="J882" t="s">
        <v>18</v>
      </c>
    </row>
    <row r="883" spans="1:10" hidden="1" x14ac:dyDescent="0.25">
      <c r="A883" t="s">
        <v>11</v>
      </c>
      <c r="B883" t="str">
        <f>"6210/8174467814"</f>
        <v>6210/8174467814</v>
      </c>
      <c r="C883" t="s">
        <v>100</v>
      </c>
      <c r="D883" t="s">
        <v>1702</v>
      </c>
      <c r="E883" t="str">
        <f>"5032260402"</f>
        <v>5032260402</v>
      </c>
      <c r="F883" t="s">
        <v>341</v>
      </c>
      <c r="G883" t="s">
        <v>1739</v>
      </c>
      <c r="H883" t="s">
        <v>1740</v>
      </c>
      <c r="I883" t="s">
        <v>17</v>
      </c>
      <c r="J883" t="s">
        <v>18</v>
      </c>
    </row>
    <row r="884" spans="1:10" hidden="1" x14ac:dyDescent="0.25">
      <c r="A884" t="s">
        <v>11</v>
      </c>
      <c r="B884" t="str">
        <f>"6210/8174457401"</f>
        <v>6210/8174457401</v>
      </c>
      <c r="C884" t="s">
        <v>100</v>
      </c>
      <c r="D884" t="s">
        <v>1702</v>
      </c>
      <c r="E884" t="str">
        <f>"5032260402"</f>
        <v>5032260402</v>
      </c>
      <c r="F884" t="s">
        <v>341</v>
      </c>
      <c r="G884" t="s">
        <v>1741</v>
      </c>
      <c r="H884" t="s">
        <v>1742</v>
      </c>
      <c r="I884" t="s">
        <v>17</v>
      </c>
      <c r="J884" t="s">
        <v>18</v>
      </c>
    </row>
    <row r="885" spans="1:10" hidden="1" x14ac:dyDescent="0.25">
      <c r="A885" t="s">
        <v>11</v>
      </c>
      <c r="B885" t="str">
        <f>"1093"</f>
        <v>1093</v>
      </c>
      <c r="C885" t="s">
        <v>508</v>
      </c>
      <c r="D885" t="s">
        <v>1702</v>
      </c>
      <c r="E885" t="str">
        <f>"9729019493"</f>
        <v>9729019493</v>
      </c>
      <c r="F885" t="s">
        <v>560</v>
      </c>
      <c r="G885" t="s">
        <v>1335</v>
      </c>
      <c r="H885" t="s">
        <v>1743</v>
      </c>
      <c r="I885" t="s">
        <v>17</v>
      </c>
      <c r="J885" t="s">
        <v>18</v>
      </c>
    </row>
    <row r="886" spans="1:10" hidden="1" x14ac:dyDescent="0.25">
      <c r="A886" t="s">
        <v>11</v>
      </c>
      <c r="B886" t="str">
        <f>"61 007254 / 036"</f>
        <v>61 007254 / 036</v>
      </c>
      <c r="C886" t="s">
        <v>106</v>
      </c>
      <c r="D886" t="s">
        <v>1702</v>
      </c>
      <c r="E886" t="str">
        <f>"7704218694"</f>
        <v>7704218694</v>
      </c>
      <c r="F886" t="s">
        <v>1744</v>
      </c>
      <c r="G886" t="s">
        <v>1745</v>
      </c>
      <c r="H886" t="s">
        <v>1746</v>
      </c>
      <c r="I886" t="s">
        <v>17</v>
      </c>
      <c r="J886" t="s">
        <v>18</v>
      </c>
    </row>
    <row r="887" spans="1:10" hidden="1" x14ac:dyDescent="0.25">
      <c r="A887" t="s">
        <v>11</v>
      </c>
      <c r="B887" t="str">
        <f>"61 007255 / 036"</f>
        <v>61 007255 / 036</v>
      </c>
      <c r="C887" t="s">
        <v>106</v>
      </c>
      <c r="D887" t="s">
        <v>1702</v>
      </c>
      <c r="E887" t="str">
        <f>"7704218694"</f>
        <v>7704218694</v>
      </c>
      <c r="F887" t="s">
        <v>1744</v>
      </c>
      <c r="G887" t="s">
        <v>1745</v>
      </c>
      <c r="H887" t="s">
        <v>1747</v>
      </c>
      <c r="I887" t="s">
        <v>17</v>
      </c>
      <c r="J887" t="s">
        <v>18</v>
      </c>
    </row>
    <row r="888" spans="1:10" hidden="1" x14ac:dyDescent="0.25">
      <c r="A888" t="s">
        <v>11</v>
      </c>
      <c r="B888" t="str">
        <f>"РУФЕ0505/01"</f>
        <v>РУФЕ0505/01</v>
      </c>
      <c r="C888" t="s">
        <v>106</v>
      </c>
      <c r="D888" t="s">
        <v>1702</v>
      </c>
      <c r="E888" t="str">
        <f>"7735126034"</f>
        <v>7735126034</v>
      </c>
      <c r="F888" t="s">
        <v>131</v>
      </c>
      <c r="G888" t="s">
        <v>435</v>
      </c>
      <c r="H888" t="s">
        <v>1748</v>
      </c>
      <c r="I888" t="s">
        <v>17</v>
      </c>
      <c r="J888" t="s">
        <v>18</v>
      </c>
    </row>
    <row r="889" spans="1:10" hidden="1" x14ac:dyDescent="0.25">
      <c r="A889" t="s">
        <v>11</v>
      </c>
      <c r="B889" t="str">
        <f>"04-361033"</f>
        <v>04-361033</v>
      </c>
      <c r="C889" t="s">
        <v>49</v>
      </c>
      <c r="D889" t="s">
        <v>1702</v>
      </c>
      <c r="E889" t="str">
        <f>"7710668349"</f>
        <v>7710668349</v>
      </c>
      <c r="F889" t="s">
        <v>1749</v>
      </c>
      <c r="G889" t="s">
        <v>1750</v>
      </c>
      <c r="H889" t="s">
        <v>1751</v>
      </c>
      <c r="I889" t="s">
        <v>17</v>
      </c>
      <c r="J889" t="s">
        <v>18</v>
      </c>
    </row>
    <row r="890" spans="1:10" hidden="1" x14ac:dyDescent="0.25">
      <c r="A890" t="s">
        <v>11</v>
      </c>
      <c r="B890" t="str">
        <f>"UT-104974"</f>
        <v>UT-104974</v>
      </c>
      <c r="C890" t="s">
        <v>53</v>
      </c>
      <c r="D890" t="s">
        <v>1752</v>
      </c>
      <c r="E890" t="str">
        <f t="shared" ref="E890:E895" si="44">"7806385951"</f>
        <v>7806385951</v>
      </c>
      <c r="F890" t="s">
        <v>26</v>
      </c>
      <c r="G890" t="s">
        <v>1753</v>
      </c>
      <c r="H890" t="s">
        <v>1754</v>
      </c>
      <c r="I890" t="s">
        <v>17</v>
      </c>
      <c r="J890" t="s">
        <v>18</v>
      </c>
    </row>
    <row r="891" spans="1:10" hidden="1" x14ac:dyDescent="0.25">
      <c r="A891" t="s">
        <v>11</v>
      </c>
      <c r="B891" t="str">
        <f>"UT-104978"</f>
        <v>UT-104978</v>
      </c>
      <c r="C891" t="s">
        <v>53</v>
      </c>
      <c r="D891" t="s">
        <v>1752</v>
      </c>
      <c r="E891" t="str">
        <f t="shared" si="44"/>
        <v>7806385951</v>
      </c>
      <c r="F891" t="s">
        <v>26</v>
      </c>
      <c r="G891" t="s">
        <v>1755</v>
      </c>
      <c r="H891" t="s">
        <v>1756</v>
      </c>
      <c r="I891" t="s">
        <v>17</v>
      </c>
      <c r="J891" t="s">
        <v>18</v>
      </c>
    </row>
    <row r="892" spans="1:10" hidden="1" x14ac:dyDescent="0.25">
      <c r="A892" t="s">
        <v>11</v>
      </c>
      <c r="B892" t="str">
        <f>"UT-105330"</f>
        <v>UT-105330</v>
      </c>
      <c r="C892" t="s">
        <v>53</v>
      </c>
      <c r="D892" t="s">
        <v>1752</v>
      </c>
      <c r="E892" t="str">
        <f t="shared" si="44"/>
        <v>7806385951</v>
      </c>
      <c r="F892" t="s">
        <v>26</v>
      </c>
      <c r="G892" t="s">
        <v>1757</v>
      </c>
      <c r="H892" t="s">
        <v>1758</v>
      </c>
      <c r="I892" t="s">
        <v>17</v>
      </c>
      <c r="J892" t="s">
        <v>18</v>
      </c>
    </row>
    <row r="893" spans="1:10" hidden="1" x14ac:dyDescent="0.25">
      <c r="A893" t="s">
        <v>11</v>
      </c>
      <c r="B893" t="str">
        <f>"UT-104801"</f>
        <v>UT-104801</v>
      </c>
      <c r="C893" t="s">
        <v>53</v>
      </c>
      <c r="D893" t="s">
        <v>1752</v>
      </c>
      <c r="E893" t="str">
        <f t="shared" si="44"/>
        <v>7806385951</v>
      </c>
      <c r="F893" t="s">
        <v>26</v>
      </c>
      <c r="G893" t="s">
        <v>1759</v>
      </c>
      <c r="H893" t="s">
        <v>1760</v>
      </c>
      <c r="I893" t="s">
        <v>17</v>
      </c>
      <c r="J893" t="s">
        <v>18</v>
      </c>
    </row>
    <row r="894" spans="1:10" hidden="1" x14ac:dyDescent="0.25">
      <c r="A894" t="s">
        <v>11</v>
      </c>
      <c r="B894" t="str">
        <f>"UT-104804"</f>
        <v>UT-104804</v>
      </c>
      <c r="C894" t="s">
        <v>53</v>
      </c>
      <c r="D894" t="s">
        <v>1752</v>
      </c>
      <c r="E894" t="str">
        <f t="shared" si="44"/>
        <v>7806385951</v>
      </c>
      <c r="F894" t="s">
        <v>26</v>
      </c>
      <c r="G894" t="s">
        <v>1761</v>
      </c>
      <c r="H894" t="s">
        <v>1762</v>
      </c>
      <c r="I894" t="s">
        <v>17</v>
      </c>
      <c r="J894" t="s">
        <v>18</v>
      </c>
    </row>
    <row r="895" spans="1:10" hidden="1" x14ac:dyDescent="0.25">
      <c r="A895" t="s">
        <v>11</v>
      </c>
      <c r="B895" t="str">
        <f>"UT-105839"</f>
        <v>UT-105839</v>
      </c>
      <c r="C895" t="s">
        <v>53</v>
      </c>
      <c r="D895" t="s">
        <v>1752</v>
      </c>
      <c r="E895" t="str">
        <f t="shared" si="44"/>
        <v>7806385951</v>
      </c>
      <c r="F895" t="s">
        <v>26</v>
      </c>
      <c r="G895" t="s">
        <v>1763</v>
      </c>
      <c r="H895" t="s">
        <v>1764</v>
      </c>
      <c r="I895" t="s">
        <v>17</v>
      </c>
      <c r="J895" t="s">
        <v>18</v>
      </c>
    </row>
    <row r="896" spans="1:10" hidden="1" x14ac:dyDescent="0.25">
      <c r="A896" t="s">
        <v>11</v>
      </c>
      <c r="B896" t="str">
        <f>"28259033"</f>
        <v>28259033</v>
      </c>
      <c r="C896" t="s">
        <v>559</v>
      </c>
      <c r="D896" t="s">
        <v>1752</v>
      </c>
      <c r="E896" t="str">
        <f>"7721793895"</f>
        <v>7721793895</v>
      </c>
      <c r="F896" t="s">
        <v>109</v>
      </c>
      <c r="G896" t="s">
        <v>1765</v>
      </c>
      <c r="H896" t="s">
        <v>1766</v>
      </c>
      <c r="I896" t="s">
        <v>17</v>
      </c>
      <c r="J896" t="s">
        <v>18</v>
      </c>
    </row>
    <row r="897" spans="1:10" hidden="1" x14ac:dyDescent="0.25">
      <c r="A897" t="s">
        <v>11</v>
      </c>
      <c r="B897" t="str">
        <f>"28277178"</f>
        <v>28277178</v>
      </c>
      <c r="C897" t="s">
        <v>559</v>
      </c>
      <c r="D897" t="s">
        <v>1752</v>
      </c>
      <c r="E897" t="str">
        <f>"7721793895"</f>
        <v>7721793895</v>
      </c>
      <c r="F897" t="s">
        <v>109</v>
      </c>
      <c r="G897" t="s">
        <v>1767</v>
      </c>
      <c r="H897" t="s">
        <v>1768</v>
      </c>
      <c r="I897" t="s">
        <v>17</v>
      </c>
      <c r="J897" t="s">
        <v>18</v>
      </c>
    </row>
    <row r="898" spans="1:10" hidden="1" x14ac:dyDescent="0.25">
      <c r="A898" t="s">
        <v>11</v>
      </c>
      <c r="B898" t="str">
        <f>"148609/780E"</f>
        <v>148609/780E</v>
      </c>
      <c r="C898" t="s">
        <v>12</v>
      </c>
      <c r="D898" t="s">
        <v>1752</v>
      </c>
      <c r="E898" t="str">
        <f t="shared" ref="E898:E916" si="45">"5003052454"</f>
        <v>5003052454</v>
      </c>
      <c r="F898" t="s">
        <v>14</v>
      </c>
      <c r="G898" t="s">
        <v>1769</v>
      </c>
      <c r="H898" t="s">
        <v>1770</v>
      </c>
      <c r="I898" t="s">
        <v>17</v>
      </c>
      <c r="J898" t="s">
        <v>18</v>
      </c>
    </row>
    <row r="899" spans="1:10" hidden="1" x14ac:dyDescent="0.25">
      <c r="A899" t="s">
        <v>11</v>
      </c>
      <c r="B899" t="str">
        <f>"148610/780E"</f>
        <v>148610/780E</v>
      </c>
      <c r="C899" t="s">
        <v>12</v>
      </c>
      <c r="D899" t="s">
        <v>1752</v>
      </c>
      <c r="E899" t="str">
        <f t="shared" si="45"/>
        <v>5003052454</v>
      </c>
      <c r="F899" t="s">
        <v>14</v>
      </c>
      <c r="G899" t="s">
        <v>200</v>
      </c>
      <c r="H899" t="s">
        <v>1771</v>
      </c>
      <c r="I899" t="s">
        <v>17</v>
      </c>
      <c r="J899" t="s">
        <v>18</v>
      </c>
    </row>
    <row r="900" spans="1:10" hidden="1" x14ac:dyDescent="0.25">
      <c r="A900" t="s">
        <v>11</v>
      </c>
      <c r="B900" t="str">
        <f>"148612/780E"</f>
        <v>148612/780E</v>
      </c>
      <c r="C900" t="s">
        <v>12</v>
      </c>
      <c r="D900" t="s">
        <v>1752</v>
      </c>
      <c r="E900" t="str">
        <f t="shared" si="45"/>
        <v>5003052454</v>
      </c>
      <c r="F900" t="s">
        <v>14</v>
      </c>
      <c r="G900" t="s">
        <v>1772</v>
      </c>
      <c r="H900" t="s">
        <v>1773</v>
      </c>
      <c r="I900" t="s">
        <v>17</v>
      </c>
      <c r="J900" t="s">
        <v>18</v>
      </c>
    </row>
    <row r="901" spans="1:10" hidden="1" x14ac:dyDescent="0.25">
      <c r="A901" t="s">
        <v>11</v>
      </c>
      <c r="B901" t="str">
        <f>"148611/780E"</f>
        <v>148611/780E</v>
      </c>
      <c r="C901" t="s">
        <v>12</v>
      </c>
      <c r="D901" t="s">
        <v>1752</v>
      </c>
      <c r="E901" t="str">
        <f t="shared" si="45"/>
        <v>5003052454</v>
      </c>
      <c r="F901" t="s">
        <v>14</v>
      </c>
      <c r="G901" t="s">
        <v>1774</v>
      </c>
      <c r="H901" t="s">
        <v>1775</v>
      </c>
      <c r="I901" t="s">
        <v>17</v>
      </c>
      <c r="J901" t="s">
        <v>18</v>
      </c>
    </row>
    <row r="902" spans="1:10" hidden="1" x14ac:dyDescent="0.25">
      <c r="A902" t="s">
        <v>11</v>
      </c>
      <c r="B902" t="str">
        <f>"148616/780E"</f>
        <v>148616/780E</v>
      </c>
      <c r="C902" t="s">
        <v>12</v>
      </c>
      <c r="D902" t="s">
        <v>1752</v>
      </c>
      <c r="E902" t="str">
        <f t="shared" si="45"/>
        <v>5003052454</v>
      </c>
      <c r="F902" t="s">
        <v>14</v>
      </c>
      <c r="G902" t="s">
        <v>1776</v>
      </c>
      <c r="H902" t="s">
        <v>1777</v>
      </c>
      <c r="I902" t="s">
        <v>17</v>
      </c>
      <c r="J902" t="s">
        <v>18</v>
      </c>
    </row>
    <row r="903" spans="1:10" hidden="1" x14ac:dyDescent="0.25">
      <c r="A903" t="s">
        <v>11</v>
      </c>
      <c r="B903" t="str">
        <f>"148615/780E"</f>
        <v>148615/780E</v>
      </c>
      <c r="C903" t="s">
        <v>12</v>
      </c>
      <c r="D903" t="s">
        <v>1752</v>
      </c>
      <c r="E903" t="str">
        <f t="shared" si="45"/>
        <v>5003052454</v>
      </c>
      <c r="F903" t="s">
        <v>14</v>
      </c>
      <c r="G903" t="s">
        <v>1778</v>
      </c>
      <c r="H903" t="s">
        <v>1779</v>
      </c>
      <c r="I903" t="s">
        <v>17</v>
      </c>
      <c r="J903" t="s">
        <v>18</v>
      </c>
    </row>
    <row r="904" spans="1:10" hidden="1" x14ac:dyDescent="0.25">
      <c r="A904" t="s">
        <v>11</v>
      </c>
      <c r="B904" t="str">
        <f>"148614/780E"</f>
        <v>148614/780E</v>
      </c>
      <c r="C904" t="s">
        <v>12</v>
      </c>
      <c r="D904" t="s">
        <v>1752</v>
      </c>
      <c r="E904" t="str">
        <f t="shared" si="45"/>
        <v>5003052454</v>
      </c>
      <c r="F904" t="s">
        <v>14</v>
      </c>
      <c r="G904" t="s">
        <v>1780</v>
      </c>
      <c r="H904" t="s">
        <v>1781</v>
      </c>
      <c r="I904" t="s">
        <v>17</v>
      </c>
      <c r="J904" t="s">
        <v>18</v>
      </c>
    </row>
    <row r="905" spans="1:10" hidden="1" x14ac:dyDescent="0.25">
      <c r="A905" t="s">
        <v>11</v>
      </c>
      <c r="B905" t="str">
        <f>"148617/780E"</f>
        <v>148617/780E</v>
      </c>
      <c r="C905" t="s">
        <v>12</v>
      </c>
      <c r="D905" t="s">
        <v>1752</v>
      </c>
      <c r="E905" t="str">
        <f t="shared" si="45"/>
        <v>5003052454</v>
      </c>
      <c r="F905" t="s">
        <v>14</v>
      </c>
      <c r="G905" t="s">
        <v>1782</v>
      </c>
      <c r="H905" t="s">
        <v>1783</v>
      </c>
      <c r="I905" t="s">
        <v>17</v>
      </c>
      <c r="J905" t="s">
        <v>18</v>
      </c>
    </row>
    <row r="906" spans="1:10" hidden="1" x14ac:dyDescent="0.25">
      <c r="A906" t="s">
        <v>11</v>
      </c>
      <c r="B906" t="str">
        <f>"148618/780E"</f>
        <v>148618/780E</v>
      </c>
      <c r="C906" t="s">
        <v>12</v>
      </c>
      <c r="D906" t="s">
        <v>1752</v>
      </c>
      <c r="E906" t="str">
        <f t="shared" si="45"/>
        <v>5003052454</v>
      </c>
      <c r="F906" t="s">
        <v>14</v>
      </c>
      <c r="G906" t="s">
        <v>1784</v>
      </c>
      <c r="H906" t="s">
        <v>1785</v>
      </c>
      <c r="I906" t="s">
        <v>17</v>
      </c>
      <c r="J906" t="s">
        <v>18</v>
      </c>
    </row>
    <row r="907" spans="1:10" hidden="1" x14ac:dyDescent="0.25">
      <c r="A907" t="s">
        <v>11</v>
      </c>
      <c r="B907" t="str">
        <f>"148905/780E"</f>
        <v>148905/780E</v>
      </c>
      <c r="C907" t="s">
        <v>12</v>
      </c>
      <c r="D907" t="s">
        <v>1752</v>
      </c>
      <c r="E907" t="str">
        <f t="shared" si="45"/>
        <v>5003052454</v>
      </c>
      <c r="F907" t="s">
        <v>14</v>
      </c>
      <c r="G907" t="s">
        <v>1786</v>
      </c>
      <c r="H907" t="s">
        <v>1787</v>
      </c>
      <c r="I907" t="s">
        <v>17</v>
      </c>
      <c r="J907" t="s">
        <v>18</v>
      </c>
    </row>
    <row r="908" spans="1:10" hidden="1" x14ac:dyDescent="0.25">
      <c r="A908" t="s">
        <v>11</v>
      </c>
      <c r="B908" t="str">
        <f>"148906/780E"</f>
        <v>148906/780E</v>
      </c>
      <c r="C908" t="s">
        <v>12</v>
      </c>
      <c r="D908" t="s">
        <v>1752</v>
      </c>
      <c r="E908" t="str">
        <f t="shared" si="45"/>
        <v>5003052454</v>
      </c>
      <c r="F908" t="s">
        <v>14</v>
      </c>
      <c r="G908" t="s">
        <v>1788</v>
      </c>
      <c r="H908" t="s">
        <v>1789</v>
      </c>
      <c r="I908" t="s">
        <v>17</v>
      </c>
      <c r="J908" t="s">
        <v>18</v>
      </c>
    </row>
    <row r="909" spans="1:10" hidden="1" x14ac:dyDescent="0.25">
      <c r="A909" t="s">
        <v>11</v>
      </c>
      <c r="B909" t="str">
        <f>"148908/780E"</f>
        <v>148908/780E</v>
      </c>
      <c r="C909" t="s">
        <v>12</v>
      </c>
      <c r="D909" t="s">
        <v>1752</v>
      </c>
      <c r="E909" t="str">
        <f t="shared" si="45"/>
        <v>5003052454</v>
      </c>
      <c r="F909" t="s">
        <v>14</v>
      </c>
      <c r="G909" t="s">
        <v>200</v>
      </c>
      <c r="H909" t="s">
        <v>1790</v>
      </c>
      <c r="I909" t="s">
        <v>17</v>
      </c>
      <c r="J909" t="s">
        <v>18</v>
      </c>
    </row>
    <row r="910" spans="1:10" hidden="1" x14ac:dyDescent="0.25">
      <c r="A910" t="s">
        <v>11</v>
      </c>
      <c r="B910" t="str">
        <f>"148907/780E"</f>
        <v>148907/780E</v>
      </c>
      <c r="C910" t="s">
        <v>12</v>
      </c>
      <c r="D910" t="s">
        <v>1752</v>
      </c>
      <c r="E910" t="str">
        <f t="shared" si="45"/>
        <v>5003052454</v>
      </c>
      <c r="F910" t="s">
        <v>14</v>
      </c>
      <c r="G910" t="s">
        <v>1791</v>
      </c>
      <c r="H910" t="s">
        <v>1792</v>
      </c>
      <c r="I910" t="s">
        <v>17</v>
      </c>
      <c r="J910" t="s">
        <v>18</v>
      </c>
    </row>
    <row r="911" spans="1:10" hidden="1" x14ac:dyDescent="0.25">
      <c r="A911" t="s">
        <v>11</v>
      </c>
      <c r="B911" t="str">
        <f>"148910/780E"</f>
        <v>148910/780E</v>
      </c>
      <c r="C911" t="s">
        <v>12</v>
      </c>
      <c r="D911" t="s">
        <v>1752</v>
      </c>
      <c r="E911" t="str">
        <f t="shared" si="45"/>
        <v>5003052454</v>
      </c>
      <c r="F911" t="s">
        <v>14</v>
      </c>
      <c r="G911" t="s">
        <v>1793</v>
      </c>
      <c r="H911" t="s">
        <v>1794</v>
      </c>
      <c r="I911" t="s">
        <v>17</v>
      </c>
      <c r="J911" t="s">
        <v>18</v>
      </c>
    </row>
    <row r="912" spans="1:10" hidden="1" x14ac:dyDescent="0.25">
      <c r="A912" t="s">
        <v>11</v>
      </c>
      <c r="B912" t="str">
        <f>"148909/780E"</f>
        <v>148909/780E</v>
      </c>
      <c r="C912" t="s">
        <v>12</v>
      </c>
      <c r="D912" t="s">
        <v>1752</v>
      </c>
      <c r="E912" t="str">
        <f t="shared" si="45"/>
        <v>5003052454</v>
      </c>
      <c r="F912" t="s">
        <v>14</v>
      </c>
      <c r="G912" t="s">
        <v>1795</v>
      </c>
      <c r="H912" t="s">
        <v>1796</v>
      </c>
      <c r="I912" t="s">
        <v>17</v>
      </c>
      <c r="J912" t="s">
        <v>18</v>
      </c>
    </row>
    <row r="913" spans="1:10" hidden="1" x14ac:dyDescent="0.25">
      <c r="A913" t="s">
        <v>11</v>
      </c>
      <c r="B913" t="str">
        <f>"148911/780E"</f>
        <v>148911/780E</v>
      </c>
      <c r="C913" t="s">
        <v>12</v>
      </c>
      <c r="D913" t="s">
        <v>1752</v>
      </c>
      <c r="E913" t="str">
        <f t="shared" si="45"/>
        <v>5003052454</v>
      </c>
      <c r="F913" t="s">
        <v>14</v>
      </c>
      <c r="G913" t="s">
        <v>1797</v>
      </c>
      <c r="H913" t="s">
        <v>1798</v>
      </c>
      <c r="I913" t="s">
        <v>17</v>
      </c>
      <c r="J913" t="s">
        <v>18</v>
      </c>
    </row>
    <row r="914" spans="1:10" hidden="1" x14ac:dyDescent="0.25">
      <c r="A914" t="s">
        <v>11</v>
      </c>
      <c r="B914" t="str">
        <f>"148912/780E"</f>
        <v>148912/780E</v>
      </c>
      <c r="C914" t="s">
        <v>12</v>
      </c>
      <c r="D914" t="s">
        <v>1752</v>
      </c>
      <c r="E914" t="str">
        <f t="shared" si="45"/>
        <v>5003052454</v>
      </c>
      <c r="F914" t="s">
        <v>14</v>
      </c>
      <c r="G914" t="s">
        <v>1799</v>
      </c>
      <c r="H914" t="s">
        <v>1800</v>
      </c>
      <c r="I914" t="s">
        <v>17</v>
      </c>
      <c r="J914" t="s">
        <v>18</v>
      </c>
    </row>
    <row r="915" spans="1:10" hidden="1" x14ac:dyDescent="0.25">
      <c r="A915" t="s">
        <v>11</v>
      </c>
      <c r="B915" t="str">
        <f>"148914/780E"</f>
        <v>148914/780E</v>
      </c>
      <c r="C915" t="s">
        <v>12</v>
      </c>
      <c r="D915" t="s">
        <v>1752</v>
      </c>
      <c r="E915" t="str">
        <f t="shared" si="45"/>
        <v>5003052454</v>
      </c>
      <c r="F915" t="s">
        <v>14</v>
      </c>
      <c r="G915" t="s">
        <v>1801</v>
      </c>
      <c r="H915" t="s">
        <v>1802</v>
      </c>
      <c r="I915" t="s">
        <v>17</v>
      </c>
      <c r="J915" t="s">
        <v>18</v>
      </c>
    </row>
    <row r="916" spans="1:10" hidden="1" x14ac:dyDescent="0.25">
      <c r="A916" t="s">
        <v>11</v>
      </c>
      <c r="B916" t="str">
        <f>"148913/780E"</f>
        <v>148913/780E</v>
      </c>
      <c r="C916" t="s">
        <v>12</v>
      </c>
      <c r="D916" t="s">
        <v>1752</v>
      </c>
      <c r="E916" t="str">
        <f t="shared" si="45"/>
        <v>5003052454</v>
      </c>
      <c r="F916" t="s">
        <v>14</v>
      </c>
      <c r="G916" t="s">
        <v>1803</v>
      </c>
      <c r="H916" t="s">
        <v>1804</v>
      </c>
      <c r="I916" t="s">
        <v>17</v>
      </c>
      <c r="J916" t="s">
        <v>18</v>
      </c>
    </row>
    <row r="917" spans="1:10" hidden="1" x14ac:dyDescent="0.25">
      <c r="A917" t="s">
        <v>11</v>
      </c>
      <c r="B917" t="str">
        <f>"SR110022818"</f>
        <v>SR110022818</v>
      </c>
      <c r="C917" t="s">
        <v>12</v>
      </c>
      <c r="D917" t="s">
        <v>1752</v>
      </c>
      <c r="E917" t="str">
        <f>"4725006920"</f>
        <v>4725006920</v>
      </c>
      <c r="F917" t="s">
        <v>101</v>
      </c>
      <c r="G917" t="s">
        <v>1805</v>
      </c>
      <c r="H917" t="s">
        <v>1806</v>
      </c>
      <c r="I917" t="s">
        <v>17</v>
      </c>
      <c r="J917" t="s">
        <v>18</v>
      </c>
    </row>
    <row r="918" spans="1:10" hidden="1" x14ac:dyDescent="0.25">
      <c r="A918" t="s">
        <v>11</v>
      </c>
      <c r="B918" t="str">
        <f>"SR110022805"</f>
        <v>SR110022805</v>
      </c>
      <c r="C918" t="s">
        <v>12</v>
      </c>
      <c r="D918" t="s">
        <v>1752</v>
      </c>
      <c r="E918" t="str">
        <f>"4725006920"</f>
        <v>4725006920</v>
      </c>
      <c r="F918" t="s">
        <v>101</v>
      </c>
      <c r="G918" t="s">
        <v>1807</v>
      </c>
      <c r="H918" t="s">
        <v>1808</v>
      </c>
      <c r="I918" t="s">
        <v>17</v>
      </c>
      <c r="J918" t="s">
        <v>18</v>
      </c>
    </row>
    <row r="919" spans="1:10" hidden="1" x14ac:dyDescent="0.25">
      <c r="A919" t="s">
        <v>11</v>
      </c>
      <c r="B919" t="str">
        <f>"7810/8174375021"</f>
        <v>7810/8174375021</v>
      </c>
      <c r="C919" t="s">
        <v>12</v>
      </c>
      <c r="D919" t="s">
        <v>1752</v>
      </c>
      <c r="E919" t="str">
        <f>"5032260402"</f>
        <v>5032260402</v>
      </c>
      <c r="F919" t="s">
        <v>341</v>
      </c>
      <c r="G919" t="s">
        <v>1809</v>
      </c>
      <c r="H919" t="s">
        <v>1810</v>
      </c>
      <c r="I919" t="s">
        <v>17</v>
      </c>
      <c r="J919" t="s">
        <v>18</v>
      </c>
    </row>
    <row r="920" spans="1:10" x14ac:dyDescent="0.25">
      <c r="A920" t="s">
        <v>11</v>
      </c>
      <c r="B920" t="str">
        <f>"2023/40/03/0033884/06"</f>
        <v>2023/40/03/0033884/06</v>
      </c>
      <c r="C920" t="s">
        <v>49</v>
      </c>
      <c r="D920" t="s">
        <v>1752</v>
      </c>
      <c r="E920" t="str">
        <f t="shared" ref="E920:E930" si="46">"7718151150"</f>
        <v>7718151150</v>
      </c>
      <c r="F920" t="s">
        <v>54</v>
      </c>
      <c r="G920" t="s">
        <v>164</v>
      </c>
      <c r="H920" t="s">
        <v>1811</v>
      </c>
      <c r="I920" t="s">
        <v>17</v>
      </c>
      <c r="J920" t="s">
        <v>166</v>
      </c>
    </row>
    <row r="921" spans="1:10" x14ac:dyDescent="0.25">
      <c r="A921" t="s">
        <v>11</v>
      </c>
      <c r="B921" t="str">
        <f>"2023/40/03/0033885/06"</f>
        <v>2023/40/03/0033885/06</v>
      </c>
      <c r="C921" t="s">
        <v>49</v>
      </c>
      <c r="D921" t="s">
        <v>1752</v>
      </c>
      <c r="E921" t="str">
        <f t="shared" si="46"/>
        <v>7718151150</v>
      </c>
      <c r="F921" t="s">
        <v>54</v>
      </c>
      <c r="G921" t="s">
        <v>164</v>
      </c>
      <c r="H921" t="s">
        <v>1812</v>
      </c>
      <c r="I921" t="s">
        <v>17</v>
      </c>
      <c r="J921" t="s">
        <v>166</v>
      </c>
    </row>
    <row r="922" spans="1:10" x14ac:dyDescent="0.25">
      <c r="A922" t="s">
        <v>11</v>
      </c>
      <c r="B922" t="str">
        <f>"2023/40/03/0033882/06"</f>
        <v>2023/40/03/0033882/06</v>
      </c>
      <c r="C922" t="s">
        <v>49</v>
      </c>
      <c r="D922" t="s">
        <v>1752</v>
      </c>
      <c r="E922" t="str">
        <f t="shared" si="46"/>
        <v>7718151150</v>
      </c>
      <c r="F922" t="s">
        <v>54</v>
      </c>
      <c r="G922" t="s">
        <v>164</v>
      </c>
      <c r="H922" t="s">
        <v>1813</v>
      </c>
      <c r="I922" t="s">
        <v>17</v>
      </c>
      <c r="J922" t="s">
        <v>166</v>
      </c>
    </row>
    <row r="923" spans="1:10" x14ac:dyDescent="0.25">
      <c r="A923" t="s">
        <v>11</v>
      </c>
      <c r="B923" t="str">
        <f>"2023/40/03/0033881/06"</f>
        <v>2023/40/03/0033881/06</v>
      </c>
      <c r="C923" t="s">
        <v>49</v>
      </c>
      <c r="D923" t="s">
        <v>1752</v>
      </c>
      <c r="E923" t="str">
        <f t="shared" si="46"/>
        <v>7718151150</v>
      </c>
      <c r="F923" t="s">
        <v>54</v>
      </c>
      <c r="G923" t="s">
        <v>164</v>
      </c>
      <c r="H923" t="s">
        <v>1814</v>
      </c>
      <c r="I923" t="s">
        <v>17</v>
      </c>
      <c r="J923" t="s">
        <v>166</v>
      </c>
    </row>
    <row r="924" spans="1:10" x14ac:dyDescent="0.25">
      <c r="A924" t="s">
        <v>11</v>
      </c>
      <c r="B924" t="str">
        <f>"2023/40/03/0033883/06"</f>
        <v>2023/40/03/0033883/06</v>
      </c>
      <c r="C924" t="s">
        <v>49</v>
      </c>
      <c r="D924" t="s">
        <v>1752</v>
      </c>
      <c r="E924" t="str">
        <f t="shared" si="46"/>
        <v>7718151150</v>
      </c>
      <c r="F924" t="s">
        <v>54</v>
      </c>
      <c r="G924" t="s">
        <v>164</v>
      </c>
      <c r="H924" t="s">
        <v>1815</v>
      </c>
      <c r="I924" t="s">
        <v>17</v>
      </c>
      <c r="J924" t="s">
        <v>166</v>
      </c>
    </row>
    <row r="925" spans="1:10" x14ac:dyDescent="0.25">
      <c r="A925" t="s">
        <v>11</v>
      </c>
      <c r="B925" t="str">
        <f>"2023/40/03/0033532/06"</f>
        <v>2023/40/03/0033532/06</v>
      </c>
      <c r="C925" t="s">
        <v>49</v>
      </c>
      <c r="D925" t="s">
        <v>1752</v>
      </c>
      <c r="E925" t="str">
        <f t="shared" si="46"/>
        <v>7718151150</v>
      </c>
      <c r="F925" t="s">
        <v>54</v>
      </c>
      <c r="G925" t="s">
        <v>164</v>
      </c>
      <c r="H925" t="s">
        <v>1816</v>
      </c>
      <c r="I925" t="s">
        <v>17</v>
      </c>
      <c r="J925" t="s">
        <v>166</v>
      </c>
    </row>
    <row r="926" spans="1:10" x14ac:dyDescent="0.25">
      <c r="A926" t="s">
        <v>11</v>
      </c>
      <c r="B926" t="str">
        <f>"2023/40/03/0033369/06"</f>
        <v>2023/40/03/0033369/06</v>
      </c>
      <c r="C926" t="s">
        <v>49</v>
      </c>
      <c r="D926" t="s">
        <v>1752</v>
      </c>
      <c r="E926" t="str">
        <f t="shared" si="46"/>
        <v>7718151150</v>
      </c>
      <c r="F926" t="s">
        <v>54</v>
      </c>
      <c r="G926" t="s">
        <v>164</v>
      </c>
      <c r="H926" t="s">
        <v>1817</v>
      </c>
      <c r="I926" t="s">
        <v>17</v>
      </c>
      <c r="J926" t="s">
        <v>166</v>
      </c>
    </row>
    <row r="927" spans="1:10" x14ac:dyDescent="0.25">
      <c r="A927" t="s">
        <v>11</v>
      </c>
      <c r="B927" t="str">
        <f>"2023/40/03/0033182/06"</f>
        <v>2023/40/03/0033182/06</v>
      </c>
      <c r="C927" t="s">
        <v>49</v>
      </c>
      <c r="D927" t="s">
        <v>1752</v>
      </c>
      <c r="E927" t="str">
        <f t="shared" si="46"/>
        <v>7718151150</v>
      </c>
      <c r="F927" t="s">
        <v>54</v>
      </c>
      <c r="G927" t="s">
        <v>164</v>
      </c>
      <c r="H927" t="s">
        <v>1818</v>
      </c>
      <c r="I927" t="s">
        <v>17</v>
      </c>
      <c r="J927" t="s">
        <v>166</v>
      </c>
    </row>
    <row r="928" spans="1:10" x14ac:dyDescent="0.25">
      <c r="A928" t="s">
        <v>11</v>
      </c>
      <c r="B928" t="str">
        <f>"2023/40/03/0033179/06"</f>
        <v>2023/40/03/0033179/06</v>
      </c>
      <c r="C928" t="s">
        <v>49</v>
      </c>
      <c r="D928" t="s">
        <v>1752</v>
      </c>
      <c r="E928" t="str">
        <f t="shared" si="46"/>
        <v>7718151150</v>
      </c>
      <c r="F928" t="s">
        <v>54</v>
      </c>
      <c r="G928" t="s">
        <v>164</v>
      </c>
      <c r="H928" t="s">
        <v>1819</v>
      </c>
      <c r="I928" t="s">
        <v>17</v>
      </c>
      <c r="J928" t="s">
        <v>166</v>
      </c>
    </row>
    <row r="929" spans="1:10" x14ac:dyDescent="0.25">
      <c r="A929" t="s">
        <v>11</v>
      </c>
      <c r="B929" t="str">
        <f>"2023/40/03/0033181/06"</f>
        <v>2023/40/03/0033181/06</v>
      </c>
      <c r="C929" t="s">
        <v>49</v>
      </c>
      <c r="D929" t="s">
        <v>1752</v>
      </c>
      <c r="E929" t="str">
        <f t="shared" si="46"/>
        <v>7718151150</v>
      </c>
      <c r="F929" t="s">
        <v>54</v>
      </c>
      <c r="G929" t="s">
        <v>164</v>
      </c>
      <c r="H929" t="s">
        <v>1820</v>
      </c>
      <c r="I929" t="s">
        <v>17</v>
      </c>
      <c r="J929" t="s">
        <v>166</v>
      </c>
    </row>
    <row r="930" spans="1:10" x14ac:dyDescent="0.25">
      <c r="A930" t="s">
        <v>11</v>
      </c>
      <c r="B930" t="str">
        <f>"2023/40/03/0033180/06"</f>
        <v>2023/40/03/0033180/06</v>
      </c>
      <c r="C930" t="s">
        <v>49</v>
      </c>
      <c r="D930" t="s">
        <v>1752</v>
      </c>
      <c r="E930" t="str">
        <f t="shared" si="46"/>
        <v>7718151150</v>
      </c>
      <c r="F930" t="s">
        <v>54</v>
      </c>
      <c r="G930" t="s">
        <v>164</v>
      </c>
      <c r="H930" t="s">
        <v>1821</v>
      </c>
      <c r="I930" t="s">
        <v>17</v>
      </c>
      <c r="J930" t="s">
        <v>166</v>
      </c>
    </row>
    <row r="931" spans="1:10" hidden="1" x14ac:dyDescent="0.25">
      <c r="A931" t="s">
        <v>11</v>
      </c>
      <c r="B931" t="str">
        <f>"ОТ-3004-000019"</f>
        <v>ОТ-3004-000019</v>
      </c>
      <c r="C931" t="s">
        <v>49</v>
      </c>
      <c r="D931" t="s">
        <v>1752</v>
      </c>
      <c r="E931" t="str">
        <f t="shared" ref="E931:E937" si="47">"7839454551"</f>
        <v>7839454551</v>
      </c>
      <c r="F931" t="s">
        <v>57</v>
      </c>
      <c r="G931" t="s">
        <v>58</v>
      </c>
      <c r="H931" t="s">
        <v>1822</v>
      </c>
      <c r="I931" t="s">
        <v>17</v>
      </c>
      <c r="J931" t="s">
        <v>18</v>
      </c>
    </row>
    <row r="932" spans="1:10" hidden="1" x14ac:dyDescent="0.25">
      <c r="A932" t="s">
        <v>11</v>
      </c>
      <c r="B932" t="str">
        <f>"ОТ-3004-000018"</f>
        <v>ОТ-3004-000018</v>
      </c>
      <c r="C932" t="s">
        <v>49</v>
      </c>
      <c r="D932" t="s">
        <v>1752</v>
      </c>
      <c r="E932" t="str">
        <f t="shared" si="47"/>
        <v>7839454551</v>
      </c>
      <c r="F932" t="s">
        <v>57</v>
      </c>
      <c r="G932" t="s">
        <v>1823</v>
      </c>
      <c r="H932" t="s">
        <v>1824</v>
      </c>
      <c r="I932" t="s">
        <v>17</v>
      </c>
      <c r="J932" t="s">
        <v>18</v>
      </c>
    </row>
    <row r="933" spans="1:10" hidden="1" x14ac:dyDescent="0.25">
      <c r="A933" t="s">
        <v>11</v>
      </c>
      <c r="B933" t="str">
        <f>"ОТ-3004-000017"</f>
        <v>ОТ-3004-000017</v>
      </c>
      <c r="C933" t="s">
        <v>49</v>
      </c>
      <c r="D933" t="s">
        <v>1752</v>
      </c>
      <c r="E933" t="str">
        <f t="shared" si="47"/>
        <v>7839454551</v>
      </c>
      <c r="F933" t="s">
        <v>57</v>
      </c>
      <c r="G933" t="s">
        <v>58</v>
      </c>
      <c r="H933" t="s">
        <v>1825</v>
      </c>
      <c r="I933" t="s">
        <v>17</v>
      </c>
      <c r="J933" t="s">
        <v>18</v>
      </c>
    </row>
    <row r="934" spans="1:10" hidden="1" x14ac:dyDescent="0.25">
      <c r="A934" t="s">
        <v>11</v>
      </c>
      <c r="B934" t="str">
        <f>"ОТ-3004-000016"</f>
        <v>ОТ-3004-000016</v>
      </c>
      <c r="C934" t="s">
        <v>49</v>
      </c>
      <c r="D934" t="s">
        <v>1752</v>
      </c>
      <c r="E934" t="str">
        <f t="shared" si="47"/>
        <v>7839454551</v>
      </c>
      <c r="F934" t="s">
        <v>57</v>
      </c>
      <c r="G934" t="s">
        <v>58</v>
      </c>
      <c r="H934" t="s">
        <v>1826</v>
      </c>
      <c r="I934" t="s">
        <v>17</v>
      </c>
      <c r="J934" t="s">
        <v>18</v>
      </c>
    </row>
    <row r="935" spans="1:10" hidden="1" x14ac:dyDescent="0.25">
      <c r="A935" t="s">
        <v>11</v>
      </c>
      <c r="B935" t="str">
        <f>"УТ-305-000052"</f>
        <v>УТ-305-000052</v>
      </c>
      <c r="C935" t="s">
        <v>65</v>
      </c>
      <c r="D935" t="s">
        <v>1752</v>
      </c>
      <c r="E935" t="str">
        <f t="shared" si="47"/>
        <v>7839454551</v>
      </c>
      <c r="F935" t="s">
        <v>57</v>
      </c>
      <c r="G935" t="s">
        <v>1827</v>
      </c>
      <c r="H935" t="s">
        <v>1828</v>
      </c>
      <c r="I935" t="s">
        <v>17</v>
      </c>
      <c r="J935" t="s">
        <v>18</v>
      </c>
    </row>
    <row r="936" spans="1:10" hidden="1" x14ac:dyDescent="0.25">
      <c r="A936" t="s">
        <v>11</v>
      </c>
      <c r="B936" t="str">
        <f>"УТ-305-000045"</f>
        <v>УТ-305-000045</v>
      </c>
      <c r="C936" t="s">
        <v>65</v>
      </c>
      <c r="D936" t="s">
        <v>1752</v>
      </c>
      <c r="E936" t="str">
        <f t="shared" si="47"/>
        <v>7839454551</v>
      </c>
      <c r="F936" t="s">
        <v>57</v>
      </c>
      <c r="G936" t="s">
        <v>1829</v>
      </c>
      <c r="H936" t="s">
        <v>1830</v>
      </c>
      <c r="I936" t="s">
        <v>17</v>
      </c>
      <c r="J936" t="s">
        <v>18</v>
      </c>
    </row>
    <row r="937" spans="1:10" hidden="1" x14ac:dyDescent="0.25">
      <c r="A937" t="s">
        <v>11</v>
      </c>
      <c r="B937" t="str">
        <f>"УТ-305-000043"</f>
        <v>УТ-305-000043</v>
      </c>
      <c r="C937" t="s">
        <v>65</v>
      </c>
      <c r="D937" t="s">
        <v>1752</v>
      </c>
      <c r="E937" t="str">
        <f t="shared" si="47"/>
        <v>7839454551</v>
      </c>
      <c r="F937" t="s">
        <v>57</v>
      </c>
      <c r="G937" t="s">
        <v>1831</v>
      </c>
      <c r="H937" t="s">
        <v>1832</v>
      </c>
      <c r="I937" t="s">
        <v>17</v>
      </c>
      <c r="J937" t="s">
        <v>18</v>
      </c>
    </row>
    <row r="938" spans="1:10" hidden="1" x14ac:dyDescent="0.25">
      <c r="A938" t="s">
        <v>290</v>
      </c>
      <c r="B938" t="str">
        <f>"53"</f>
        <v>53</v>
      </c>
      <c r="C938" t="s">
        <v>49</v>
      </c>
      <c r="D938" t="s">
        <v>1752</v>
      </c>
      <c r="E938" t="str">
        <f>"6950006259"</f>
        <v>6950006259</v>
      </c>
      <c r="F938" t="s">
        <v>626</v>
      </c>
      <c r="G938" t="s">
        <v>1833</v>
      </c>
      <c r="H938" t="s">
        <v>1834</v>
      </c>
      <c r="I938" t="s">
        <v>17</v>
      </c>
      <c r="J938" t="s">
        <v>18</v>
      </c>
    </row>
    <row r="939" spans="1:10" hidden="1" x14ac:dyDescent="0.25">
      <c r="A939" t="s">
        <v>846</v>
      </c>
      <c r="B939" t="s">
        <v>847</v>
      </c>
      <c r="C939" t="s">
        <v>847</v>
      </c>
      <c r="D939" t="s">
        <v>1752</v>
      </c>
      <c r="E939" t="str">
        <f>"6950006259"</f>
        <v>6950006259</v>
      </c>
      <c r="F939" t="s">
        <v>626</v>
      </c>
      <c r="G939" t="s">
        <v>847</v>
      </c>
      <c r="H939" t="s">
        <v>1835</v>
      </c>
      <c r="I939" t="s">
        <v>17</v>
      </c>
      <c r="J939" t="s">
        <v>18</v>
      </c>
    </row>
    <row r="940" spans="1:10" hidden="1" x14ac:dyDescent="0.25">
      <c r="A940" t="s">
        <v>11</v>
      </c>
      <c r="B940" t="str">
        <f>"150095/780E"</f>
        <v>150095/780E</v>
      </c>
      <c r="C940" t="s">
        <v>65</v>
      </c>
      <c r="D940" t="s">
        <v>1752</v>
      </c>
      <c r="E940" t="str">
        <f t="shared" ref="E940:E950" si="48">"5003052454"</f>
        <v>5003052454</v>
      </c>
      <c r="F940" t="s">
        <v>14</v>
      </c>
      <c r="G940" t="s">
        <v>1836</v>
      </c>
      <c r="H940" t="s">
        <v>1837</v>
      </c>
      <c r="I940" t="s">
        <v>17</v>
      </c>
      <c r="J940" t="s">
        <v>18</v>
      </c>
    </row>
    <row r="941" spans="1:10" hidden="1" x14ac:dyDescent="0.25">
      <c r="A941" t="s">
        <v>11</v>
      </c>
      <c r="B941" t="str">
        <f>"150096/780E"</f>
        <v>150096/780E</v>
      </c>
      <c r="C941" t="s">
        <v>65</v>
      </c>
      <c r="D941" t="s">
        <v>1752</v>
      </c>
      <c r="E941" t="str">
        <f t="shared" si="48"/>
        <v>5003052454</v>
      </c>
      <c r="F941" t="s">
        <v>14</v>
      </c>
      <c r="G941" t="s">
        <v>1838</v>
      </c>
      <c r="H941" t="s">
        <v>1839</v>
      </c>
      <c r="I941" t="s">
        <v>17</v>
      </c>
      <c r="J941" t="s">
        <v>18</v>
      </c>
    </row>
    <row r="942" spans="1:10" hidden="1" x14ac:dyDescent="0.25">
      <c r="A942" t="s">
        <v>11</v>
      </c>
      <c r="B942" t="str">
        <f>"150099/780E"</f>
        <v>150099/780E</v>
      </c>
      <c r="C942" t="s">
        <v>65</v>
      </c>
      <c r="D942" t="s">
        <v>1752</v>
      </c>
      <c r="E942" t="str">
        <f t="shared" si="48"/>
        <v>5003052454</v>
      </c>
      <c r="F942" t="s">
        <v>14</v>
      </c>
      <c r="G942" t="s">
        <v>200</v>
      </c>
      <c r="H942" t="s">
        <v>1840</v>
      </c>
      <c r="I942" t="s">
        <v>17</v>
      </c>
      <c r="J942" t="s">
        <v>18</v>
      </c>
    </row>
    <row r="943" spans="1:10" hidden="1" x14ac:dyDescent="0.25">
      <c r="A943" t="s">
        <v>11</v>
      </c>
      <c r="B943" t="str">
        <f>"150097/780E"</f>
        <v>150097/780E</v>
      </c>
      <c r="C943" t="s">
        <v>65</v>
      </c>
      <c r="D943" t="s">
        <v>1752</v>
      </c>
      <c r="E943" t="str">
        <f t="shared" si="48"/>
        <v>5003052454</v>
      </c>
      <c r="F943" t="s">
        <v>14</v>
      </c>
      <c r="G943" t="s">
        <v>1841</v>
      </c>
      <c r="H943" t="s">
        <v>1842</v>
      </c>
      <c r="I943" t="s">
        <v>17</v>
      </c>
      <c r="J943" t="s">
        <v>18</v>
      </c>
    </row>
    <row r="944" spans="1:10" hidden="1" x14ac:dyDescent="0.25">
      <c r="A944" t="s">
        <v>11</v>
      </c>
      <c r="B944" t="str">
        <f>"150098/780E"</f>
        <v>150098/780E</v>
      </c>
      <c r="C944" t="s">
        <v>65</v>
      </c>
      <c r="D944" t="s">
        <v>1752</v>
      </c>
      <c r="E944" t="str">
        <f t="shared" si="48"/>
        <v>5003052454</v>
      </c>
      <c r="F944" t="s">
        <v>14</v>
      </c>
      <c r="G944" t="s">
        <v>1843</v>
      </c>
      <c r="H944" t="s">
        <v>1844</v>
      </c>
      <c r="I944" t="s">
        <v>17</v>
      </c>
      <c r="J944" t="s">
        <v>18</v>
      </c>
    </row>
    <row r="945" spans="1:10" hidden="1" x14ac:dyDescent="0.25">
      <c r="A945" t="s">
        <v>11</v>
      </c>
      <c r="B945" t="str">
        <f>"150101/780E"</f>
        <v>150101/780E</v>
      </c>
      <c r="C945" t="s">
        <v>65</v>
      </c>
      <c r="D945" t="s">
        <v>1752</v>
      </c>
      <c r="E945" t="str">
        <f t="shared" si="48"/>
        <v>5003052454</v>
      </c>
      <c r="F945" t="s">
        <v>14</v>
      </c>
      <c r="G945" t="s">
        <v>1845</v>
      </c>
      <c r="H945" t="s">
        <v>1846</v>
      </c>
      <c r="I945" t="s">
        <v>17</v>
      </c>
      <c r="J945" t="s">
        <v>18</v>
      </c>
    </row>
    <row r="946" spans="1:10" hidden="1" x14ac:dyDescent="0.25">
      <c r="A946" t="s">
        <v>11</v>
      </c>
      <c r="B946" t="str">
        <f>"150100/780E"</f>
        <v>150100/780E</v>
      </c>
      <c r="C946" t="s">
        <v>65</v>
      </c>
      <c r="D946" t="s">
        <v>1752</v>
      </c>
      <c r="E946" t="str">
        <f t="shared" si="48"/>
        <v>5003052454</v>
      </c>
      <c r="F946" t="s">
        <v>14</v>
      </c>
      <c r="G946" t="s">
        <v>1847</v>
      </c>
      <c r="H946" t="s">
        <v>1848</v>
      </c>
      <c r="I946" t="s">
        <v>17</v>
      </c>
      <c r="J946" t="s">
        <v>18</v>
      </c>
    </row>
    <row r="947" spans="1:10" hidden="1" x14ac:dyDescent="0.25">
      <c r="A947" t="s">
        <v>11</v>
      </c>
      <c r="B947" t="str">
        <f>"150102/780E"</f>
        <v>150102/780E</v>
      </c>
      <c r="C947" t="s">
        <v>65</v>
      </c>
      <c r="D947" t="s">
        <v>1752</v>
      </c>
      <c r="E947" t="str">
        <f t="shared" si="48"/>
        <v>5003052454</v>
      </c>
      <c r="F947" t="s">
        <v>14</v>
      </c>
      <c r="G947" t="s">
        <v>1849</v>
      </c>
      <c r="H947" t="s">
        <v>1850</v>
      </c>
      <c r="I947" t="s">
        <v>17</v>
      </c>
      <c r="J947" t="s">
        <v>18</v>
      </c>
    </row>
    <row r="948" spans="1:10" hidden="1" x14ac:dyDescent="0.25">
      <c r="A948" t="s">
        <v>11</v>
      </c>
      <c r="B948" t="str">
        <f>"150392/780E"</f>
        <v>150392/780E</v>
      </c>
      <c r="C948" t="s">
        <v>65</v>
      </c>
      <c r="D948" t="s">
        <v>1752</v>
      </c>
      <c r="E948" t="str">
        <f t="shared" si="48"/>
        <v>5003052454</v>
      </c>
      <c r="F948" t="s">
        <v>14</v>
      </c>
      <c r="G948" t="s">
        <v>1851</v>
      </c>
      <c r="H948" t="s">
        <v>1852</v>
      </c>
      <c r="I948" t="s">
        <v>17</v>
      </c>
      <c r="J948" t="s">
        <v>18</v>
      </c>
    </row>
    <row r="949" spans="1:10" hidden="1" x14ac:dyDescent="0.25">
      <c r="A949" t="s">
        <v>11</v>
      </c>
      <c r="B949" t="str">
        <f>"150393/780E"</f>
        <v>150393/780E</v>
      </c>
      <c r="C949" t="s">
        <v>65</v>
      </c>
      <c r="D949" t="s">
        <v>1752</v>
      </c>
      <c r="E949" t="str">
        <f t="shared" si="48"/>
        <v>5003052454</v>
      </c>
      <c r="F949" t="s">
        <v>14</v>
      </c>
      <c r="G949" t="s">
        <v>863</v>
      </c>
      <c r="H949" t="s">
        <v>1853</v>
      </c>
      <c r="I949" t="s">
        <v>17</v>
      </c>
      <c r="J949" t="s">
        <v>18</v>
      </c>
    </row>
    <row r="950" spans="1:10" hidden="1" x14ac:dyDescent="0.25">
      <c r="A950" t="s">
        <v>11</v>
      </c>
      <c r="B950" t="str">
        <f>"150394/780E"</f>
        <v>150394/780E</v>
      </c>
      <c r="C950" t="s">
        <v>65</v>
      </c>
      <c r="D950" t="s">
        <v>1752</v>
      </c>
      <c r="E950" t="str">
        <f t="shared" si="48"/>
        <v>5003052454</v>
      </c>
      <c r="F950" t="s">
        <v>14</v>
      </c>
      <c r="G950" t="s">
        <v>1854</v>
      </c>
      <c r="H950" t="s">
        <v>1855</v>
      </c>
      <c r="I950" t="s">
        <v>17</v>
      </c>
      <c r="J950" t="s">
        <v>18</v>
      </c>
    </row>
    <row r="951" spans="1:10" hidden="1" x14ac:dyDescent="0.25">
      <c r="A951" t="s">
        <v>11</v>
      </c>
      <c r="B951" t="str">
        <f>"UT-106712"</f>
        <v>UT-106712</v>
      </c>
      <c r="C951" t="s">
        <v>65</v>
      </c>
      <c r="D951" t="s">
        <v>1752</v>
      </c>
      <c r="E951" t="str">
        <f t="shared" ref="E951:E961" si="49">"7806385951"</f>
        <v>7806385951</v>
      </c>
      <c r="F951" t="s">
        <v>26</v>
      </c>
      <c r="G951" t="s">
        <v>220</v>
      </c>
      <c r="H951" t="s">
        <v>1856</v>
      </c>
      <c r="I951" t="s">
        <v>17</v>
      </c>
      <c r="J951" t="s">
        <v>18</v>
      </c>
    </row>
    <row r="952" spans="1:10" hidden="1" x14ac:dyDescent="0.25">
      <c r="A952" t="s">
        <v>11</v>
      </c>
      <c r="B952" t="str">
        <f>"UT-106631"</f>
        <v>UT-106631</v>
      </c>
      <c r="C952" t="s">
        <v>65</v>
      </c>
      <c r="D952" t="s">
        <v>1752</v>
      </c>
      <c r="E952" t="str">
        <f t="shared" si="49"/>
        <v>7806385951</v>
      </c>
      <c r="F952" t="s">
        <v>26</v>
      </c>
      <c r="G952" t="s">
        <v>1857</v>
      </c>
      <c r="H952" t="s">
        <v>1858</v>
      </c>
      <c r="I952" t="s">
        <v>17</v>
      </c>
      <c r="J952" t="s">
        <v>18</v>
      </c>
    </row>
    <row r="953" spans="1:10" hidden="1" x14ac:dyDescent="0.25">
      <c r="A953" t="s">
        <v>11</v>
      </c>
      <c r="B953" t="str">
        <f>"UT-106677"</f>
        <v>UT-106677</v>
      </c>
      <c r="C953" t="s">
        <v>65</v>
      </c>
      <c r="D953" t="s">
        <v>1752</v>
      </c>
      <c r="E953" t="str">
        <f t="shared" si="49"/>
        <v>7806385951</v>
      </c>
      <c r="F953" t="s">
        <v>26</v>
      </c>
      <c r="G953" t="s">
        <v>1859</v>
      </c>
      <c r="H953" t="s">
        <v>1860</v>
      </c>
      <c r="I953" t="s">
        <v>17</v>
      </c>
      <c r="J953" t="s">
        <v>18</v>
      </c>
    </row>
    <row r="954" spans="1:10" hidden="1" x14ac:dyDescent="0.25">
      <c r="A954" t="s">
        <v>11</v>
      </c>
      <c r="B954" t="str">
        <f>"UT-106630"</f>
        <v>UT-106630</v>
      </c>
      <c r="C954" t="s">
        <v>65</v>
      </c>
      <c r="D954" t="s">
        <v>1752</v>
      </c>
      <c r="E954" t="str">
        <f t="shared" si="49"/>
        <v>7806385951</v>
      </c>
      <c r="F954" t="s">
        <v>26</v>
      </c>
      <c r="G954" t="s">
        <v>1861</v>
      </c>
      <c r="H954" t="s">
        <v>1862</v>
      </c>
      <c r="I954" t="s">
        <v>17</v>
      </c>
      <c r="J954" t="s">
        <v>18</v>
      </c>
    </row>
    <row r="955" spans="1:10" hidden="1" x14ac:dyDescent="0.25">
      <c r="A955" t="s">
        <v>11</v>
      </c>
      <c r="B955" t="str">
        <f>"UT-106713"</f>
        <v>UT-106713</v>
      </c>
      <c r="C955" t="s">
        <v>65</v>
      </c>
      <c r="D955" t="s">
        <v>1752</v>
      </c>
      <c r="E955" t="str">
        <f t="shared" si="49"/>
        <v>7806385951</v>
      </c>
      <c r="F955" t="s">
        <v>26</v>
      </c>
      <c r="G955" t="s">
        <v>1863</v>
      </c>
      <c r="H955" t="s">
        <v>1864</v>
      </c>
      <c r="I955" t="s">
        <v>17</v>
      </c>
      <c r="J955" t="s">
        <v>18</v>
      </c>
    </row>
    <row r="956" spans="1:10" hidden="1" x14ac:dyDescent="0.25">
      <c r="A956" t="s">
        <v>11</v>
      </c>
      <c r="B956" t="str">
        <f>"UT-107023"</f>
        <v>UT-107023</v>
      </c>
      <c r="C956" t="s">
        <v>65</v>
      </c>
      <c r="D956" t="s">
        <v>1752</v>
      </c>
      <c r="E956" t="str">
        <f t="shared" si="49"/>
        <v>7806385951</v>
      </c>
      <c r="F956" t="s">
        <v>26</v>
      </c>
      <c r="G956" t="s">
        <v>1865</v>
      </c>
      <c r="H956" t="s">
        <v>1866</v>
      </c>
      <c r="I956" t="s">
        <v>17</v>
      </c>
      <c r="J956" t="s">
        <v>18</v>
      </c>
    </row>
    <row r="957" spans="1:10" hidden="1" x14ac:dyDescent="0.25">
      <c r="A957" t="s">
        <v>11</v>
      </c>
      <c r="B957" t="str">
        <f>"UT-106752"</f>
        <v>UT-106752</v>
      </c>
      <c r="C957" t="s">
        <v>65</v>
      </c>
      <c r="D957" t="s">
        <v>1752</v>
      </c>
      <c r="E957" t="str">
        <f t="shared" si="49"/>
        <v>7806385951</v>
      </c>
      <c r="F957" t="s">
        <v>26</v>
      </c>
      <c r="G957" t="s">
        <v>1867</v>
      </c>
      <c r="H957" t="s">
        <v>1868</v>
      </c>
      <c r="I957" t="s">
        <v>17</v>
      </c>
      <c r="J957" t="s">
        <v>18</v>
      </c>
    </row>
    <row r="958" spans="1:10" hidden="1" x14ac:dyDescent="0.25">
      <c r="A958" t="s">
        <v>11</v>
      </c>
      <c r="B958" t="str">
        <f>"UT-106869"</f>
        <v>UT-106869</v>
      </c>
      <c r="C958" t="s">
        <v>65</v>
      </c>
      <c r="D958" t="s">
        <v>1752</v>
      </c>
      <c r="E958" t="str">
        <f t="shared" si="49"/>
        <v>7806385951</v>
      </c>
      <c r="F958" t="s">
        <v>26</v>
      </c>
      <c r="G958" t="s">
        <v>1869</v>
      </c>
      <c r="H958" t="s">
        <v>1870</v>
      </c>
      <c r="I958" t="s">
        <v>17</v>
      </c>
      <c r="J958" t="s">
        <v>18</v>
      </c>
    </row>
    <row r="959" spans="1:10" hidden="1" x14ac:dyDescent="0.25">
      <c r="A959" t="s">
        <v>11</v>
      </c>
      <c r="B959" t="str">
        <f>"UT-106969"</f>
        <v>UT-106969</v>
      </c>
      <c r="C959" t="s">
        <v>65</v>
      </c>
      <c r="D959" t="s">
        <v>1752</v>
      </c>
      <c r="E959" t="str">
        <f t="shared" si="49"/>
        <v>7806385951</v>
      </c>
      <c r="F959" t="s">
        <v>26</v>
      </c>
      <c r="G959" t="s">
        <v>1871</v>
      </c>
      <c r="H959" t="s">
        <v>1872</v>
      </c>
      <c r="I959" t="s">
        <v>17</v>
      </c>
      <c r="J959" t="s">
        <v>18</v>
      </c>
    </row>
    <row r="960" spans="1:10" hidden="1" x14ac:dyDescent="0.25">
      <c r="A960" t="s">
        <v>11</v>
      </c>
      <c r="B960" t="str">
        <f>"UT-107024"</f>
        <v>UT-107024</v>
      </c>
      <c r="C960" t="s">
        <v>65</v>
      </c>
      <c r="D960" t="s">
        <v>1752</v>
      </c>
      <c r="E960" t="str">
        <f t="shared" si="49"/>
        <v>7806385951</v>
      </c>
      <c r="F960" t="s">
        <v>26</v>
      </c>
      <c r="G960" t="s">
        <v>1873</v>
      </c>
      <c r="H960" t="s">
        <v>1874</v>
      </c>
      <c r="I960" t="s">
        <v>17</v>
      </c>
      <c r="J960" t="s">
        <v>18</v>
      </c>
    </row>
    <row r="961" spans="1:10" hidden="1" x14ac:dyDescent="0.25">
      <c r="A961" t="s">
        <v>11</v>
      </c>
      <c r="B961" t="str">
        <f>"UT-107025"</f>
        <v>UT-107025</v>
      </c>
      <c r="C961" t="s">
        <v>65</v>
      </c>
      <c r="D961" t="s">
        <v>1752</v>
      </c>
      <c r="E961" t="str">
        <f t="shared" si="49"/>
        <v>7806385951</v>
      </c>
      <c r="F961" t="s">
        <v>26</v>
      </c>
      <c r="G961" t="s">
        <v>1875</v>
      </c>
      <c r="H961" t="s">
        <v>1876</v>
      </c>
      <c r="I961" t="s">
        <v>17</v>
      </c>
      <c r="J961" t="s">
        <v>18</v>
      </c>
    </row>
    <row r="962" spans="1:10" hidden="1" x14ac:dyDescent="0.25">
      <c r="A962" t="s">
        <v>11</v>
      </c>
      <c r="B962" t="str">
        <f>"УТР0166800"</f>
        <v>УТР0166800</v>
      </c>
      <c r="C962" t="s">
        <v>65</v>
      </c>
      <c r="D962" t="s">
        <v>1752</v>
      </c>
      <c r="E962" t="str">
        <f>"7804044258"</f>
        <v>7804044258</v>
      </c>
      <c r="F962" t="s">
        <v>155</v>
      </c>
      <c r="G962" t="s">
        <v>1877</v>
      </c>
      <c r="H962" t="s">
        <v>1878</v>
      </c>
      <c r="I962" t="s">
        <v>17</v>
      </c>
      <c r="J962" t="s">
        <v>18</v>
      </c>
    </row>
    <row r="963" spans="1:10" hidden="1" x14ac:dyDescent="0.25">
      <c r="A963" t="s">
        <v>11</v>
      </c>
      <c r="B963" t="str">
        <f>"860"</f>
        <v>860</v>
      </c>
      <c r="C963" t="s">
        <v>49</v>
      </c>
      <c r="D963" t="s">
        <v>1752</v>
      </c>
      <c r="E963" t="str">
        <f>"7704340969"</f>
        <v>7704340969</v>
      </c>
      <c r="F963" t="s">
        <v>76</v>
      </c>
      <c r="G963" t="s">
        <v>1879</v>
      </c>
      <c r="H963" t="s">
        <v>1880</v>
      </c>
      <c r="I963" t="s">
        <v>17</v>
      </c>
      <c r="J963" t="s">
        <v>18</v>
      </c>
    </row>
    <row r="964" spans="1:10" hidden="1" x14ac:dyDescent="0.25">
      <c r="A964" t="s">
        <v>11</v>
      </c>
      <c r="B964" t="str">
        <f>"894"</f>
        <v>894</v>
      </c>
      <c r="C964" t="s">
        <v>49</v>
      </c>
      <c r="D964" t="s">
        <v>1752</v>
      </c>
      <c r="E964" t="str">
        <f>"7704340969"</f>
        <v>7704340969</v>
      </c>
      <c r="F964" t="s">
        <v>76</v>
      </c>
      <c r="G964" t="s">
        <v>1881</v>
      </c>
      <c r="H964" t="s">
        <v>1882</v>
      </c>
      <c r="I964" t="s">
        <v>17</v>
      </c>
      <c r="J964" t="s">
        <v>18</v>
      </c>
    </row>
    <row r="965" spans="1:10" hidden="1" x14ac:dyDescent="0.25">
      <c r="A965" t="s">
        <v>11</v>
      </c>
      <c r="B965" t="str">
        <f>"921"</f>
        <v>921</v>
      </c>
      <c r="C965" t="s">
        <v>49</v>
      </c>
      <c r="D965" t="s">
        <v>1752</v>
      </c>
      <c r="E965" t="str">
        <f>"7704340969"</f>
        <v>7704340969</v>
      </c>
      <c r="F965" t="s">
        <v>76</v>
      </c>
      <c r="G965" t="s">
        <v>1883</v>
      </c>
      <c r="H965" t="s">
        <v>1884</v>
      </c>
      <c r="I965" t="s">
        <v>17</v>
      </c>
      <c r="J965" t="s">
        <v>18</v>
      </c>
    </row>
    <row r="966" spans="1:10" hidden="1" x14ac:dyDescent="0.25">
      <c r="A966" t="s">
        <v>11</v>
      </c>
      <c r="B966" t="str">
        <f>"965"</f>
        <v>965</v>
      </c>
      <c r="C966" t="s">
        <v>49</v>
      </c>
      <c r="D966" t="s">
        <v>1752</v>
      </c>
      <c r="E966" t="str">
        <f>"7704340969"</f>
        <v>7704340969</v>
      </c>
      <c r="F966" t="s">
        <v>76</v>
      </c>
      <c r="G966" t="s">
        <v>1885</v>
      </c>
      <c r="H966" t="s">
        <v>1886</v>
      </c>
      <c r="I966" t="s">
        <v>17</v>
      </c>
      <c r="J966" t="s">
        <v>18</v>
      </c>
    </row>
    <row r="967" spans="1:10" hidden="1" x14ac:dyDescent="0.25">
      <c r="A967" t="s">
        <v>11</v>
      </c>
      <c r="B967" t="str">
        <f>"2285"</f>
        <v>2285</v>
      </c>
      <c r="C967" t="s">
        <v>12</v>
      </c>
      <c r="D967" t="s">
        <v>1752</v>
      </c>
      <c r="E967" t="str">
        <f>"7825076677"</f>
        <v>7825076677</v>
      </c>
      <c r="F967" t="s">
        <v>891</v>
      </c>
      <c r="G967" t="s">
        <v>1887</v>
      </c>
      <c r="H967" t="s">
        <v>1888</v>
      </c>
      <c r="I967" t="s">
        <v>17</v>
      </c>
      <c r="J967" t="s">
        <v>388</v>
      </c>
    </row>
    <row r="968" spans="1:10" hidden="1" x14ac:dyDescent="0.25">
      <c r="A968" t="s">
        <v>11</v>
      </c>
      <c r="B968" t="str">
        <f>"2284"</f>
        <v>2284</v>
      </c>
      <c r="C968" t="s">
        <v>12</v>
      </c>
      <c r="D968" t="s">
        <v>1752</v>
      </c>
      <c r="E968" t="str">
        <f>"7825076677"</f>
        <v>7825076677</v>
      </c>
      <c r="F968" t="s">
        <v>891</v>
      </c>
      <c r="G968" t="s">
        <v>1889</v>
      </c>
      <c r="H968" t="s">
        <v>1890</v>
      </c>
      <c r="I968" t="s">
        <v>17</v>
      </c>
      <c r="J968" t="s">
        <v>388</v>
      </c>
    </row>
    <row r="969" spans="1:10" hidden="1" x14ac:dyDescent="0.25">
      <c r="A969" t="s">
        <v>11</v>
      </c>
      <c r="B969" t="str">
        <f>"2283"</f>
        <v>2283</v>
      </c>
      <c r="C969" t="s">
        <v>12</v>
      </c>
      <c r="D969" t="s">
        <v>1752</v>
      </c>
      <c r="E969" t="str">
        <f>"7825076677"</f>
        <v>7825076677</v>
      </c>
      <c r="F969" t="s">
        <v>891</v>
      </c>
      <c r="G969" t="s">
        <v>1887</v>
      </c>
      <c r="H969" t="s">
        <v>1891</v>
      </c>
      <c r="I969" t="s">
        <v>17</v>
      </c>
      <c r="J969" t="s">
        <v>388</v>
      </c>
    </row>
    <row r="970" spans="1:10" hidden="1" x14ac:dyDescent="0.25">
      <c r="A970" t="s">
        <v>11</v>
      </c>
      <c r="B970" t="str">
        <f>"2023/40/03/0034403/06"</f>
        <v>2023/40/03/0034403/06</v>
      </c>
      <c r="C970" t="s">
        <v>12</v>
      </c>
      <c r="D970" t="s">
        <v>1752</v>
      </c>
      <c r="E970" t="str">
        <f>"7718151150"</f>
        <v>7718151150</v>
      </c>
      <c r="F970" t="s">
        <v>54</v>
      </c>
      <c r="G970" t="s">
        <v>1892</v>
      </c>
      <c r="H970" t="s">
        <v>1893</v>
      </c>
      <c r="I970" t="s">
        <v>17</v>
      </c>
      <c r="J970" t="s">
        <v>18</v>
      </c>
    </row>
    <row r="971" spans="1:10" hidden="1" x14ac:dyDescent="0.25">
      <c r="A971" t="s">
        <v>11</v>
      </c>
      <c r="B971" t="str">
        <f>"2023/40/03/0034404/06"</f>
        <v>2023/40/03/0034404/06</v>
      </c>
      <c r="C971" t="s">
        <v>12</v>
      </c>
      <c r="D971" t="s">
        <v>1752</v>
      </c>
      <c r="E971" t="str">
        <f>"7718151150"</f>
        <v>7718151150</v>
      </c>
      <c r="F971" t="s">
        <v>54</v>
      </c>
      <c r="G971" t="s">
        <v>1894</v>
      </c>
      <c r="H971" t="s">
        <v>1895</v>
      </c>
      <c r="I971" t="s">
        <v>17</v>
      </c>
      <c r="J971" t="s">
        <v>18</v>
      </c>
    </row>
    <row r="972" spans="1:10" hidden="1" x14ac:dyDescent="0.25">
      <c r="A972" t="s">
        <v>11</v>
      </c>
      <c r="B972" t="str">
        <f>"28307388"</f>
        <v>28307388</v>
      </c>
      <c r="C972" t="s">
        <v>12</v>
      </c>
      <c r="D972" t="s">
        <v>1752</v>
      </c>
      <c r="E972" t="str">
        <f>"7721793895"</f>
        <v>7721793895</v>
      </c>
      <c r="F972" t="s">
        <v>109</v>
      </c>
      <c r="G972" t="s">
        <v>1896</v>
      </c>
      <c r="H972" t="s">
        <v>1897</v>
      </c>
      <c r="I972" t="s">
        <v>17</v>
      </c>
      <c r="J972" t="s">
        <v>18</v>
      </c>
    </row>
    <row r="973" spans="1:10" hidden="1" x14ac:dyDescent="0.25">
      <c r="A973" t="s">
        <v>11</v>
      </c>
      <c r="B973" t="str">
        <f>"27777"</f>
        <v>27777</v>
      </c>
      <c r="C973" t="s">
        <v>12</v>
      </c>
      <c r="D973" t="s">
        <v>1752</v>
      </c>
      <c r="E973" t="str">
        <f>"7729488999"</f>
        <v>7729488999</v>
      </c>
      <c r="F973" t="s">
        <v>85</v>
      </c>
      <c r="G973" t="s">
        <v>1898</v>
      </c>
      <c r="H973" t="s">
        <v>1899</v>
      </c>
      <c r="I973" t="s">
        <v>17</v>
      </c>
      <c r="J973" t="s">
        <v>18</v>
      </c>
    </row>
    <row r="974" spans="1:10" hidden="1" x14ac:dyDescent="0.25">
      <c r="A974" t="s">
        <v>11</v>
      </c>
      <c r="B974" t="str">
        <f>"27771"</f>
        <v>27771</v>
      </c>
      <c r="C974" t="s">
        <v>12</v>
      </c>
      <c r="D974" t="s">
        <v>1752</v>
      </c>
      <c r="E974" t="str">
        <f>"7729488999"</f>
        <v>7729488999</v>
      </c>
      <c r="F974" t="s">
        <v>85</v>
      </c>
      <c r="G974" t="s">
        <v>1900</v>
      </c>
      <c r="H974" t="s">
        <v>1901</v>
      </c>
      <c r="I974" t="s">
        <v>17</v>
      </c>
      <c r="J974" t="s">
        <v>18</v>
      </c>
    </row>
    <row r="975" spans="1:10" hidden="1" x14ac:dyDescent="0.25">
      <c r="A975" t="s">
        <v>11</v>
      </c>
      <c r="B975" t="str">
        <f>"27758"</f>
        <v>27758</v>
      </c>
      <c r="C975" t="s">
        <v>12</v>
      </c>
      <c r="D975" t="s">
        <v>1752</v>
      </c>
      <c r="E975" t="str">
        <f>"7729488999"</f>
        <v>7729488999</v>
      </c>
      <c r="F975" t="s">
        <v>85</v>
      </c>
      <c r="G975" t="s">
        <v>1902</v>
      </c>
      <c r="H975" t="s">
        <v>1903</v>
      </c>
      <c r="I975" t="s">
        <v>17</v>
      </c>
      <c r="J975" t="s">
        <v>18</v>
      </c>
    </row>
    <row r="976" spans="1:10" hidden="1" x14ac:dyDescent="0.25">
      <c r="A976" t="s">
        <v>11</v>
      </c>
      <c r="B976" t="str">
        <f>"27729"</f>
        <v>27729</v>
      </c>
      <c r="C976" t="s">
        <v>12</v>
      </c>
      <c r="D976" t="s">
        <v>1752</v>
      </c>
      <c r="E976" t="str">
        <f>"7729488999"</f>
        <v>7729488999</v>
      </c>
      <c r="F976" t="s">
        <v>85</v>
      </c>
      <c r="G976" t="s">
        <v>1904</v>
      </c>
      <c r="H976" t="s">
        <v>1905</v>
      </c>
      <c r="I976" t="s">
        <v>17</v>
      </c>
      <c r="J976" t="s">
        <v>18</v>
      </c>
    </row>
    <row r="977" spans="1:10" hidden="1" x14ac:dyDescent="0.25">
      <c r="A977" t="s">
        <v>11</v>
      </c>
      <c r="B977" t="str">
        <f>"27711"</f>
        <v>27711</v>
      </c>
      <c r="C977" t="s">
        <v>12</v>
      </c>
      <c r="D977" t="s">
        <v>1752</v>
      </c>
      <c r="E977" t="str">
        <f>"7729488999"</f>
        <v>7729488999</v>
      </c>
      <c r="F977" t="s">
        <v>85</v>
      </c>
      <c r="G977" t="s">
        <v>1906</v>
      </c>
      <c r="H977" t="s">
        <v>1907</v>
      </c>
      <c r="I977" t="s">
        <v>17</v>
      </c>
      <c r="J977" t="s">
        <v>18</v>
      </c>
    </row>
    <row r="978" spans="1:10" hidden="1" x14ac:dyDescent="0.25">
      <c r="A978" t="s">
        <v>11</v>
      </c>
      <c r="B978" t="str">
        <f>"28310350"</f>
        <v>28310350</v>
      </c>
      <c r="C978" t="s">
        <v>12</v>
      </c>
      <c r="D978" t="s">
        <v>1752</v>
      </c>
      <c r="E978" t="str">
        <f>"7721793895"</f>
        <v>7721793895</v>
      </c>
      <c r="F978" t="s">
        <v>109</v>
      </c>
      <c r="G978" t="s">
        <v>1908</v>
      </c>
      <c r="H978" t="s">
        <v>1909</v>
      </c>
      <c r="I978" t="s">
        <v>17</v>
      </c>
      <c r="J978" t="s">
        <v>18</v>
      </c>
    </row>
    <row r="979" spans="1:10" hidden="1" x14ac:dyDescent="0.25">
      <c r="A979" t="s">
        <v>11</v>
      </c>
      <c r="B979" t="str">
        <f>"БАШМ0428/10"</f>
        <v>БАШМ0428/10</v>
      </c>
      <c r="C979" t="s">
        <v>559</v>
      </c>
      <c r="D979" t="s">
        <v>1752</v>
      </c>
      <c r="E979" t="str">
        <f>"7735126034"</f>
        <v>7735126034</v>
      </c>
      <c r="F979" t="s">
        <v>131</v>
      </c>
      <c r="G979" t="s">
        <v>1910</v>
      </c>
      <c r="H979" t="s">
        <v>1911</v>
      </c>
      <c r="I979" t="s">
        <v>17</v>
      </c>
      <c r="J979" t="s">
        <v>18</v>
      </c>
    </row>
    <row r="980" spans="1:10" hidden="1" x14ac:dyDescent="0.25">
      <c r="A980" t="s">
        <v>11</v>
      </c>
      <c r="B980" t="str">
        <f>"УТ-2804-000078"</f>
        <v>УТ-2804-000078</v>
      </c>
      <c r="C980" t="s">
        <v>559</v>
      </c>
      <c r="D980" t="s">
        <v>1752</v>
      </c>
      <c r="E980" t="str">
        <f>"7839454551"</f>
        <v>7839454551</v>
      </c>
      <c r="F980" t="s">
        <v>57</v>
      </c>
      <c r="G980" t="s">
        <v>1912</v>
      </c>
      <c r="H980" t="s">
        <v>1913</v>
      </c>
      <c r="I980" t="s">
        <v>17</v>
      </c>
      <c r="J980" t="s">
        <v>18</v>
      </c>
    </row>
    <row r="981" spans="1:10" hidden="1" x14ac:dyDescent="0.25">
      <c r="A981" t="s">
        <v>11</v>
      </c>
      <c r="B981" t="str">
        <f>"УТ-2804-000077"</f>
        <v>УТ-2804-000077</v>
      </c>
      <c r="C981" t="s">
        <v>559</v>
      </c>
      <c r="D981" t="s">
        <v>1752</v>
      </c>
      <c r="E981" t="str">
        <f>"7839454551"</f>
        <v>7839454551</v>
      </c>
      <c r="F981" t="s">
        <v>57</v>
      </c>
      <c r="G981" t="s">
        <v>1914</v>
      </c>
      <c r="H981" t="s">
        <v>1915</v>
      </c>
      <c r="I981" t="s">
        <v>17</v>
      </c>
      <c r="J981" t="s">
        <v>18</v>
      </c>
    </row>
    <row r="982" spans="1:10" hidden="1" x14ac:dyDescent="0.25">
      <c r="A982" t="s">
        <v>11</v>
      </c>
      <c r="B982" t="str">
        <f>"УТР0164977"</f>
        <v>УТР0164977</v>
      </c>
      <c r="C982" t="s">
        <v>1916</v>
      </c>
      <c r="D982" t="s">
        <v>1752</v>
      </c>
      <c r="E982" t="str">
        <f>"7804044258"</f>
        <v>7804044258</v>
      </c>
      <c r="F982" t="s">
        <v>155</v>
      </c>
      <c r="G982" t="s">
        <v>1917</v>
      </c>
      <c r="H982" t="s">
        <v>1918</v>
      </c>
      <c r="I982" t="s">
        <v>17</v>
      </c>
      <c r="J982" t="s">
        <v>18</v>
      </c>
    </row>
    <row r="983" spans="1:10" hidden="1" x14ac:dyDescent="0.25">
      <c r="A983" t="s">
        <v>11</v>
      </c>
      <c r="B983" t="str">
        <f>"УТ-405-000088"</f>
        <v>УТ-405-000088</v>
      </c>
      <c r="C983" t="s">
        <v>100</v>
      </c>
      <c r="D983" t="s">
        <v>1752</v>
      </c>
      <c r="E983" t="str">
        <f>"7839454551"</f>
        <v>7839454551</v>
      </c>
      <c r="F983" t="s">
        <v>57</v>
      </c>
      <c r="G983" t="s">
        <v>1919</v>
      </c>
      <c r="H983" t="s">
        <v>1920</v>
      </c>
      <c r="I983" t="s">
        <v>17</v>
      </c>
      <c r="J983" t="s">
        <v>18</v>
      </c>
    </row>
    <row r="984" spans="1:10" hidden="1" x14ac:dyDescent="0.25">
      <c r="A984" t="s">
        <v>11</v>
      </c>
      <c r="B984" t="str">
        <f>"УТ-405-000083"</f>
        <v>УТ-405-000083</v>
      </c>
      <c r="C984" t="s">
        <v>100</v>
      </c>
      <c r="D984" t="s">
        <v>1752</v>
      </c>
      <c r="E984" t="str">
        <f>"7839454551"</f>
        <v>7839454551</v>
      </c>
      <c r="F984" t="s">
        <v>57</v>
      </c>
      <c r="G984" t="s">
        <v>1921</v>
      </c>
      <c r="H984" t="s">
        <v>1922</v>
      </c>
      <c r="I984" t="s">
        <v>17</v>
      </c>
      <c r="J984" t="s">
        <v>18</v>
      </c>
    </row>
    <row r="985" spans="1:10" hidden="1" x14ac:dyDescent="0.25">
      <c r="A985" t="s">
        <v>11</v>
      </c>
      <c r="B985" t="str">
        <f>"УТ-405-000082"</f>
        <v>УТ-405-000082</v>
      </c>
      <c r="C985" t="s">
        <v>100</v>
      </c>
      <c r="D985" t="s">
        <v>1752</v>
      </c>
      <c r="E985" t="str">
        <f>"7839454551"</f>
        <v>7839454551</v>
      </c>
      <c r="F985" t="s">
        <v>57</v>
      </c>
      <c r="G985" t="s">
        <v>1923</v>
      </c>
      <c r="H985" t="s">
        <v>1924</v>
      </c>
      <c r="I985" t="s">
        <v>17</v>
      </c>
      <c r="J985" t="s">
        <v>18</v>
      </c>
    </row>
    <row r="986" spans="1:10" hidden="1" x14ac:dyDescent="0.25">
      <c r="A986" t="s">
        <v>11</v>
      </c>
      <c r="B986" t="str">
        <f>"28312319"</f>
        <v>28312319</v>
      </c>
      <c r="C986" t="s">
        <v>65</v>
      </c>
      <c r="D986" t="s">
        <v>1752</v>
      </c>
      <c r="E986" t="str">
        <f>"7721793895"</f>
        <v>7721793895</v>
      </c>
      <c r="F986" t="s">
        <v>109</v>
      </c>
      <c r="G986" t="s">
        <v>1925</v>
      </c>
      <c r="H986" t="s">
        <v>1926</v>
      </c>
      <c r="I986" t="s">
        <v>17</v>
      </c>
      <c r="J986" t="s">
        <v>18</v>
      </c>
    </row>
    <row r="987" spans="1:10" hidden="1" x14ac:dyDescent="0.25">
      <c r="A987" t="s">
        <v>11</v>
      </c>
      <c r="B987" t="str">
        <f>"SR110023188"</f>
        <v>SR110023188</v>
      </c>
      <c r="C987" t="s">
        <v>65</v>
      </c>
      <c r="D987" t="s">
        <v>1752</v>
      </c>
      <c r="E987" t="str">
        <f>"4725006920"</f>
        <v>4725006920</v>
      </c>
      <c r="F987" t="s">
        <v>101</v>
      </c>
      <c r="G987" t="s">
        <v>1927</v>
      </c>
      <c r="H987" t="s">
        <v>1928</v>
      </c>
      <c r="I987" t="s">
        <v>17</v>
      </c>
      <c r="J987" t="s">
        <v>18</v>
      </c>
    </row>
    <row r="988" spans="1:10" hidden="1" x14ac:dyDescent="0.25">
      <c r="A988" t="s">
        <v>11</v>
      </c>
      <c r="B988" t="str">
        <f>"160"</f>
        <v>160</v>
      </c>
      <c r="C988" t="s">
        <v>49</v>
      </c>
      <c r="D988" t="s">
        <v>1752</v>
      </c>
      <c r="E988" t="str">
        <f>"7702392168"</f>
        <v>7702392168</v>
      </c>
      <c r="F988" t="s">
        <v>97</v>
      </c>
      <c r="G988" t="s">
        <v>1929</v>
      </c>
      <c r="H988" t="s">
        <v>1930</v>
      </c>
      <c r="I988" t="s">
        <v>17</v>
      </c>
      <c r="J988" t="s">
        <v>18</v>
      </c>
    </row>
    <row r="989" spans="1:10" hidden="1" x14ac:dyDescent="0.25">
      <c r="A989" t="s">
        <v>11</v>
      </c>
      <c r="B989" t="str">
        <f>"UT-108186"</f>
        <v>UT-108186</v>
      </c>
      <c r="C989" t="s">
        <v>100</v>
      </c>
      <c r="D989" t="s">
        <v>1752</v>
      </c>
      <c r="E989" t="str">
        <f>"7806385951"</f>
        <v>7806385951</v>
      </c>
      <c r="F989" t="s">
        <v>26</v>
      </c>
      <c r="G989" t="s">
        <v>1931</v>
      </c>
      <c r="H989" t="s">
        <v>1932</v>
      </c>
      <c r="I989" t="s">
        <v>17</v>
      </c>
      <c r="J989" t="s">
        <v>18</v>
      </c>
    </row>
    <row r="990" spans="1:10" hidden="1" x14ac:dyDescent="0.25">
      <c r="A990" t="s">
        <v>11</v>
      </c>
      <c r="B990" t="str">
        <f>"UT-108216"</f>
        <v>UT-108216</v>
      </c>
      <c r="C990" t="s">
        <v>100</v>
      </c>
      <c r="D990" t="s">
        <v>1752</v>
      </c>
      <c r="E990" t="str">
        <f>"7806385951"</f>
        <v>7806385951</v>
      </c>
      <c r="F990" t="s">
        <v>26</v>
      </c>
      <c r="G990" t="s">
        <v>1933</v>
      </c>
      <c r="H990" t="s">
        <v>1934</v>
      </c>
      <c r="I990" t="s">
        <v>17</v>
      </c>
      <c r="J990" t="s">
        <v>18</v>
      </c>
    </row>
    <row r="991" spans="1:10" hidden="1" x14ac:dyDescent="0.25">
      <c r="A991" t="s">
        <v>11</v>
      </c>
      <c r="B991" t="str">
        <f>"UT-108217"</f>
        <v>UT-108217</v>
      </c>
      <c r="C991" t="s">
        <v>100</v>
      </c>
      <c r="D991" t="s">
        <v>1752</v>
      </c>
      <c r="E991" t="str">
        <f>"7806385951"</f>
        <v>7806385951</v>
      </c>
      <c r="F991" t="s">
        <v>26</v>
      </c>
      <c r="G991" t="s">
        <v>1935</v>
      </c>
      <c r="H991" t="s">
        <v>1936</v>
      </c>
      <c r="I991" t="s">
        <v>17</v>
      </c>
      <c r="J991" t="s">
        <v>18</v>
      </c>
    </row>
    <row r="992" spans="1:10" hidden="1" x14ac:dyDescent="0.25">
      <c r="A992" t="s">
        <v>11</v>
      </c>
      <c r="B992" t="str">
        <f>"UT-108357"</f>
        <v>UT-108357</v>
      </c>
      <c r="C992" t="s">
        <v>100</v>
      </c>
      <c r="D992" t="s">
        <v>1752</v>
      </c>
      <c r="E992" t="str">
        <f>"7806385951"</f>
        <v>7806385951</v>
      </c>
      <c r="F992" t="s">
        <v>26</v>
      </c>
      <c r="G992" t="s">
        <v>1937</v>
      </c>
      <c r="H992" t="s">
        <v>1938</v>
      </c>
      <c r="I992" t="s">
        <v>17</v>
      </c>
      <c r="J992" t="s">
        <v>18</v>
      </c>
    </row>
    <row r="993" spans="1:10" hidden="1" x14ac:dyDescent="0.25">
      <c r="A993" t="s">
        <v>11</v>
      </c>
      <c r="B993" t="str">
        <f>"UT-108218"</f>
        <v>UT-108218</v>
      </c>
      <c r="C993" t="s">
        <v>100</v>
      </c>
      <c r="D993" t="s">
        <v>1752</v>
      </c>
      <c r="E993" t="str">
        <f>"7806385951"</f>
        <v>7806385951</v>
      </c>
      <c r="F993" t="s">
        <v>26</v>
      </c>
      <c r="G993" t="s">
        <v>1939</v>
      </c>
      <c r="H993" t="s">
        <v>1940</v>
      </c>
      <c r="I993" t="s">
        <v>17</v>
      </c>
      <c r="J993" t="s">
        <v>18</v>
      </c>
    </row>
    <row r="994" spans="1:10" hidden="1" x14ac:dyDescent="0.25">
      <c r="A994" t="s">
        <v>11</v>
      </c>
      <c r="B994" t="str">
        <f>"SR110023399"</f>
        <v>SR110023399</v>
      </c>
      <c r="C994" t="s">
        <v>100</v>
      </c>
      <c r="D994" t="s">
        <v>1752</v>
      </c>
      <c r="E994" t="str">
        <f>"4725006920"</f>
        <v>4725006920</v>
      </c>
      <c r="F994" t="s">
        <v>101</v>
      </c>
      <c r="G994" t="s">
        <v>1941</v>
      </c>
      <c r="H994" t="s">
        <v>1942</v>
      </c>
      <c r="I994" t="s">
        <v>17</v>
      </c>
      <c r="J994" t="s">
        <v>18</v>
      </c>
    </row>
    <row r="995" spans="1:10" hidden="1" x14ac:dyDescent="0.25">
      <c r="A995" t="s">
        <v>11</v>
      </c>
      <c r="B995" t="str">
        <f>"SR110023397"</f>
        <v>SR110023397</v>
      </c>
      <c r="C995" t="s">
        <v>100</v>
      </c>
      <c r="D995" t="s">
        <v>1752</v>
      </c>
      <c r="E995" t="str">
        <f>"4725006920"</f>
        <v>4725006920</v>
      </c>
      <c r="F995" t="s">
        <v>101</v>
      </c>
      <c r="G995" t="s">
        <v>1943</v>
      </c>
      <c r="H995" t="s">
        <v>1944</v>
      </c>
      <c r="I995" t="s">
        <v>17</v>
      </c>
      <c r="J995" t="s">
        <v>18</v>
      </c>
    </row>
    <row r="996" spans="1:10" hidden="1" x14ac:dyDescent="0.25">
      <c r="A996" t="s">
        <v>11</v>
      </c>
      <c r="B996" t="str">
        <f>"SR110023402"</f>
        <v>SR110023402</v>
      </c>
      <c r="C996" t="s">
        <v>100</v>
      </c>
      <c r="D996" t="s">
        <v>1752</v>
      </c>
      <c r="E996" t="str">
        <f>"4725006920"</f>
        <v>4725006920</v>
      </c>
      <c r="F996" t="s">
        <v>101</v>
      </c>
      <c r="G996" t="s">
        <v>1945</v>
      </c>
      <c r="H996" t="s">
        <v>1946</v>
      </c>
      <c r="I996" t="s">
        <v>17</v>
      </c>
      <c r="J996" t="s">
        <v>18</v>
      </c>
    </row>
    <row r="997" spans="1:10" hidden="1" x14ac:dyDescent="0.25">
      <c r="A997" t="s">
        <v>11</v>
      </c>
      <c r="B997" t="str">
        <f>"7810/8174471683"</f>
        <v>7810/8174471683</v>
      </c>
      <c r="C997" t="s">
        <v>100</v>
      </c>
      <c r="D997" t="s">
        <v>1752</v>
      </c>
      <c r="E997" t="str">
        <f>"5032260402"</f>
        <v>5032260402</v>
      </c>
      <c r="F997" t="s">
        <v>341</v>
      </c>
      <c r="G997" t="s">
        <v>1947</v>
      </c>
      <c r="H997" t="s">
        <v>1948</v>
      </c>
      <c r="I997" t="s">
        <v>17</v>
      </c>
      <c r="J997" t="s">
        <v>18</v>
      </c>
    </row>
    <row r="998" spans="1:10" hidden="1" x14ac:dyDescent="0.25">
      <c r="A998" t="s">
        <v>11</v>
      </c>
      <c r="B998" t="str">
        <f>"7810/8174471747"</f>
        <v>7810/8174471747</v>
      </c>
      <c r="C998" t="s">
        <v>100</v>
      </c>
      <c r="D998" t="s">
        <v>1752</v>
      </c>
      <c r="E998" t="str">
        <f>"5032260402"</f>
        <v>5032260402</v>
      </c>
      <c r="F998" t="s">
        <v>341</v>
      </c>
      <c r="G998" t="s">
        <v>1949</v>
      </c>
      <c r="H998" t="s">
        <v>1950</v>
      </c>
      <c r="I998" t="s">
        <v>17</v>
      </c>
      <c r="J998" t="s">
        <v>18</v>
      </c>
    </row>
    <row r="999" spans="1:10" hidden="1" x14ac:dyDescent="0.25">
      <c r="A999" t="s">
        <v>11</v>
      </c>
      <c r="B999" t="str">
        <f>"SR110023412"</f>
        <v>SR110023412</v>
      </c>
      <c r="C999" t="s">
        <v>100</v>
      </c>
      <c r="D999" t="s">
        <v>1752</v>
      </c>
      <c r="E999" t="str">
        <f>"4725006920"</f>
        <v>4725006920</v>
      </c>
      <c r="F999" t="s">
        <v>101</v>
      </c>
      <c r="G999" t="s">
        <v>1951</v>
      </c>
      <c r="H999" t="s">
        <v>1952</v>
      </c>
      <c r="I999" t="s">
        <v>17</v>
      </c>
      <c r="J999" t="s">
        <v>18</v>
      </c>
    </row>
    <row r="1000" spans="1:10" hidden="1" x14ac:dyDescent="0.25">
      <c r="A1000" t="s">
        <v>11</v>
      </c>
      <c r="B1000" t="str">
        <f>"SR110023410"</f>
        <v>SR110023410</v>
      </c>
      <c r="C1000" t="s">
        <v>100</v>
      </c>
      <c r="D1000" t="s">
        <v>1752</v>
      </c>
      <c r="E1000" t="str">
        <f>"4725006920"</f>
        <v>4725006920</v>
      </c>
      <c r="F1000" t="s">
        <v>101</v>
      </c>
      <c r="G1000" t="s">
        <v>427</v>
      </c>
      <c r="H1000" t="s">
        <v>1953</v>
      </c>
      <c r="I1000" t="s">
        <v>17</v>
      </c>
      <c r="J1000" t="s">
        <v>18</v>
      </c>
    </row>
    <row r="1001" spans="1:10" hidden="1" x14ac:dyDescent="0.25">
      <c r="A1001" t="s">
        <v>11</v>
      </c>
      <c r="B1001" t="str">
        <f>"SR110023407"</f>
        <v>SR110023407</v>
      </c>
      <c r="C1001" t="s">
        <v>100</v>
      </c>
      <c r="D1001" t="s">
        <v>1752</v>
      </c>
      <c r="E1001" t="str">
        <f>"4725006920"</f>
        <v>4725006920</v>
      </c>
      <c r="F1001" t="s">
        <v>101</v>
      </c>
      <c r="G1001" t="s">
        <v>1954</v>
      </c>
      <c r="H1001" t="s">
        <v>1955</v>
      </c>
      <c r="I1001" t="s">
        <v>17</v>
      </c>
      <c r="J1001" t="s">
        <v>18</v>
      </c>
    </row>
    <row r="1002" spans="1:10" hidden="1" x14ac:dyDescent="0.25">
      <c r="A1002" t="s">
        <v>11</v>
      </c>
      <c r="B1002" t="str">
        <f>"2023/40/03/0034969/06"</f>
        <v>2023/40/03/0034969/06</v>
      </c>
      <c r="C1002" t="s">
        <v>65</v>
      </c>
      <c r="D1002" t="s">
        <v>1752</v>
      </c>
      <c r="E1002" t="str">
        <f>"7718151150"</f>
        <v>7718151150</v>
      </c>
      <c r="F1002" t="s">
        <v>54</v>
      </c>
      <c r="G1002" t="s">
        <v>1956</v>
      </c>
      <c r="H1002" t="s">
        <v>1957</v>
      </c>
      <c r="I1002" t="s">
        <v>17</v>
      </c>
      <c r="J1002" t="s">
        <v>18</v>
      </c>
    </row>
    <row r="1003" spans="1:10" hidden="1" x14ac:dyDescent="0.25">
      <c r="A1003" t="s">
        <v>11</v>
      </c>
      <c r="B1003" t="str">
        <f>"2023/40/03/0034994/06"</f>
        <v>2023/40/03/0034994/06</v>
      </c>
      <c r="C1003" t="s">
        <v>65</v>
      </c>
      <c r="D1003" t="s">
        <v>1752</v>
      </c>
      <c r="E1003" t="str">
        <f>"7718151150"</f>
        <v>7718151150</v>
      </c>
      <c r="F1003" t="s">
        <v>54</v>
      </c>
      <c r="G1003" t="s">
        <v>1958</v>
      </c>
      <c r="H1003" t="s">
        <v>1959</v>
      </c>
      <c r="I1003" t="s">
        <v>17</v>
      </c>
      <c r="J1003" t="s">
        <v>18</v>
      </c>
    </row>
    <row r="1004" spans="1:10" hidden="1" x14ac:dyDescent="0.25">
      <c r="A1004" t="s">
        <v>11</v>
      </c>
      <c r="B1004" t="str">
        <f>"2023/40/03/0034993/06"</f>
        <v>2023/40/03/0034993/06</v>
      </c>
      <c r="C1004" t="s">
        <v>65</v>
      </c>
      <c r="D1004" t="s">
        <v>1752</v>
      </c>
      <c r="E1004" t="str">
        <f>"7718151150"</f>
        <v>7718151150</v>
      </c>
      <c r="F1004" t="s">
        <v>54</v>
      </c>
      <c r="G1004" t="s">
        <v>1960</v>
      </c>
      <c r="H1004" t="s">
        <v>1961</v>
      </c>
      <c r="I1004" t="s">
        <v>17</v>
      </c>
      <c r="J1004" t="s">
        <v>18</v>
      </c>
    </row>
    <row r="1005" spans="1:10" hidden="1" x14ac:dyDescent="0.25">
      <c r="A1005" t="s">
        <v>11</v>
      </c>
      <c r="B1005" t="str">
        <f>"28339940"</f>
        <v>28339940</v>
      </c>
      <c r="C1005" t="s">
        <v>65</v>
      </c>
      <c r="D1005" t="s">
        <v>1752</v>
      </c>
      <c r="E1005" t="str">
        <f>"7721793895"</f>
        <v>7721793895</v>
      </c>
      <c r="F1005" t="s">
        <v>109</v>
      </c>
      <c r="G1005" t="s">
        <v>1962</v>
      </c>
      <c r="H1005" t="s">
        <v>1963</v>
      </c>
      <c r="I1005" t="s">
        <v>17</v>
      </c>
      <c r="J1005" t="s">
        <v>21</v>
      </c>
    </row>
    <row r="1006" spans="1:10" hidden="1" x14ac:dyDescent="0.25">
      <c r="A1006" t="s">
        <v>11</v>
      </c>
      <c r="B1006" t="str">
        <f>"1098"</f>
        <v>1098</v>
      </c>
      <c r="C1006" t="s">
        <v>508</v>
      </c>
      <c r="D1006" t="s">
        <v>1752</v>
      </c>
      <c r="E1006" t="str">
        <f>"9729019493"</f>
        <v>9729019493</v>
      </c>
      <c r="F1006" t="s">
        <v>560</v>
      </c>
      <c r="G1006" t="s">
        <v>1335</v>
      </c>
      <c r="H1006" t="s">
        <v>1964</v>
      </c>
      <c r="I1006" t="s">
        <v>17</v>
      </c>
      <c r="J1006" t="s">
        <v>18</v>
      </c>
    </row>
    <row r="1007" spans="1:10" hidden="1" x14ac:dyDescent="0.25">
      <c r="A1007" t="s">
        <v>11</v>
      </c>
      <c r="B1007" t="str">
        <f>"1096"</f>
        <v>1096</v>
      </c>
      <c r="C1007" t="s">
        <v>559</v>
      </c>
      <c r="D1007" t="s">
        <v>1752</v>
      </c>
      <c r="E1007" t="str">
        <f>"9729019493"</f>
        <v>9729019493</v>
      </c>
      <c r="F1007" t="s">
        <v>560</v>
      </c>
      <c r="G1007" t="s">
        <v>1965</v>
      </c>
      <c r="H1007" t="s">
        <v>1966</v>
      </c>
      <c r="I1007" t="s">
        <v>17</v>
      </c>
      <c r="J1007" t="s">
        <v>18</v>
      </c>
    </row>
    <row r="1008" spans="1:10" hidden="1" x14ac:dyDescent="0.25">
      <c r="A1008" t="s">
        <v>11</v>
      </c>
      <c r="B1008" t="str">
        <f>"1110"</f>
        <v>1110</v>
      </c>
      <c r="C1008" t="s">
        <v>559</v>
      </c>
      <c r="D1008" t="s">
        <v>1752</v>
      </c>
      <c r="E1008" t="str">
        <f>"9729019493"</f>
        <v>9729019493</v>
      </c>
      <c r="F1008" t="s">
        <v>560</v>
      </c>
      <c r="G1008" t="s">
        <v>561</v>
      </c>
      <c r="H1008" t="s">
        <v>1967</v>
      </c>
      <c r="I1008" t="s">
        <v>17</v>
      </c>
      <c r="J1008" t="s">
        <v>388</v>
      </c>
    </row>
    <row r="1009" spans="1:10" hidden="1" x14ac:dyDescent="0.25">
      <c r="A1009" t="s">
        <v>11</v>
      </c>
      <c r="B1009" t="str">
        <f>"28325"</f>
        <v>28325</v>
      </c>
      <c r="C1009" t="s">
        <v>106</v>
      </c>
      <c r="D1009" t="s">
        <v>1752</v>
      </c>
      <c r="E1009" t="str">
        <f>"7729488999"</f>
        <v>7729488999</v>
      </c>
      <c r="F1009" t="s">
        <v>85</v>
      </c>
      <c r="G1009" t="s">
        <v>1968</v>
      </c>
      <c r="H1009" t="s">
        <v>1969</v>
      </c>
      <c r="I1009" t="s">
        <v>17</v>
      </c>
      <c r="J1009" t="s">
        <v>18</v>
      </c>
    </row>
    <row r="1010" spans="1:10" hidden="1" x14ac:dyDescent="0.25">
      <c r="A1010" t="s">
        <v>11</v>
      </c>
      <c r="B1010" t="str">
        <f>"154752/780E"</f>
        <v>154752/780E</v>
      </c>
      <c r="C1010" t="s">
        <v>106</v>
      </c>
      <c r="D1010" t="s">
        <v>1752</v>
      </c>
      <c r="E1010" t="str">
        <f t="shared" ref="E1010:E1025" si="50">"5003052454"</f>
        <v>5003052454</v>
      </c>
      <c r="F1010" t="s">
        <v>14</v>
      </c>
      <c r="G1010" t="s">
        <v>1970</v>
      </c>
      <c r="H1010" t="s">
        <v>1971</v>
      </c>
      <c r="I1010" t="s">
        <v>17</v>
      </c>
      <c r="J1010" t="s">
        <v>18</v>
      </c>
    </row>
    <row r="1011" spans="1:10" hidden="1" x14ac:dyDescent="0.25">
      <c r="A1011" t="s">
        <v>11</v>
      </c>
      <c r="B1011" t="str">
        <f>"154754/780E"</f>
        <v>154754/780E</v>
      </c>
      <c r="C1011" t="s">
        <v>106</v>
      </c>
      <c r="D1011" t="s">
        <v>1752</v>
      </c>
      <c r="E1011" t="str">
        <f t="shared" si="50"/>
        <v>5003052454</v>
      </c>
      <c r="F1011" t="s">
        <v>14</v>
      </c>
      <c r="G1011" t="s">
        <v>1972</v>
      </c>
      <c r="H1011" t="s">
        <v>1973</v>
      </c>
      <c r="I1011" t="s">
        <v>17</v>
      </c>
      <c r="J1011" t="s">
        <v>18</v>
      </c>
    </row>
    <row r="1012" spans="1:10" hidden="1" x14ac:dyDescent="0.25">
      <c r="A1012" t="s">
        <v>11</v>
      </c>
      <c r="B1012" t="str">
        <f>"154753/780E"</f>
        <v>154753/780E</v>
      </c>
      <c r="C1012" t="s">
        <v>106</v>
      </c>
      <c r="D1012" t="s">
        <v>1752</v>
      </c>
      <c r="E1012" t="str">
        <f t="shared" si="50"/>
        <v>5003052454</v>
      </c>
      <c r="F1012" t="s">
        <v>14</v>
      </c>
      <c r="G1012" t="s">
        <v>1974</v>
      </c>
      <c r="H1012" t="s">
        <v>1975</v>
      </c>
      <c r="I1012" t="s">
        <v>17</v>
      </c>
      <c r="J1012" t="s">
        <v>18</v>
      </c>
    </row>
    <row r="1013" spans="1:10" hidden="1" x14ac:dyDescent="0.25">
      <c r="A1013" t="s">
        <v>11</v>
      </c>
      <c r="B1013" t="str">
        <f>"154755/780E"</f>
        <v>154755/780E</v>
      </c>
      <c r="C1013" t="s">
        <v>106</v>
      </c>
      <c r="D1013" t="s">
        <v>1752</v>
      </c>
      <c r="E1013" t="str">
        <f t="shared" si="50"/>
        <v>5003052454</v>
      </c>
      <c r="F1013" t="s">
        <v>14</v>
      </c>
      <c r="G1013" t="s">
        <v>1976</v>
      </c>
      <c r="H1013" t="s">
        <v>1977</v>
      </c>
      <c r="I1013" t="s">
        <v>17</v>
      </c>
      <c r="J1013" t="s">
        <v>18</v>
      </c>
    </row>
    <row r="1014" spans="1:10" hidden="1" x14ac:dyDescent="0.25">
      <c r="A1014" t="s">
        <v>11</v>
      </c>
      <c r="B1014" t="str">
        <f>"154756/780E"</f>
        <v>154756/780E</v>
      </c>
      <c r="C1014" t="s">
        <v>106</v>
      </c>
      <c r="D1014" t="s">
        <v>1752</v>
      </c>
      <c r="E1014" t="str">
        <f t="shared" si="50"/>
        <v>5003052454</v>
      </c>
      <c r="F1014" t="s">
        <v>14</v>
      </c>
      <c r="G1014" t="s">
        <v>200</v>
      </c>
      <c r="H1014" t="s">
        <v>1978</v>
      </c>
      <c r="I1014" t="s">
        <v>17</v>
      </c>
      <c r="J1014" t="s">
        <v>18</v>
      </c>
    </row>
    <row r="1015" spans="1:10" hidden="1" x14ac:dyDescent="0.25">
      <c r="A1015" t="s">
        <v>11</v>
      </c>
      <c r="B1015" t="str">
        <f>"154757/780E"</f>
        <v>154757/780E</v>
      </c>
      <c r="C1015" t="s">
        <v>106</v>
      </c>
      <c r="D1015" t="s">
        <v>1752</v>
      </c>
      <c r="E1015" t="str">
        <f t="shared" si="50"/>
        <v>5003052454</v>
      </c>
      <c r="F1015" t="s">
        <v>14</v>
      </c>
      <c r="G1015" t="s">
        <v>1979</v>
      </c>
      <c r="H1015" t="s">
        <v>1980</v>
      </c>
      <c r="I1015" t="s">
        <v>17</v>
      </c>
      <c r="J1015" t="s">
        <v>18</v>
      </c>
    </row>
    <row r="1016" spans="1:10" hidden="1" x14ac:dyDescent="0.25">
      <c r="A1016" t="s">
        <v>11</v>
      </c>
      <c r="B1016" t="str">
        <f>"154758/780E"</f>
        <v>154758/780E</v>
      </c>
      <c r="C1016" t="s">
        <v>106</v>
      </c>
      <c r="D1016" t="s">
        <v>1752</v>
      </c>
      <c r="E1016" t="str">
        <f t="shared" si="50"/>
        <v>5003052454</v>
      </c>
      <c r="F1016" t="s">
        <v>14</v>
      </c>
      <c r="G1016" t="s">
        <v>1981</v>
      </c>
      <c r="H1016" t="s">
        <v>1982</v>
      </c>
      <c r="I1016" t="s">
        <v>17</v>
      </c>
      <c r="J1016" t="s">
        <v>18</v>
      </c>
    </row>
    <row r="1017" spans="1:10" hidden="1" x14ac:dyDescent="0.25">
      <c r="A1017" t="s">
        <v>11</v>
      </c>
      <c r="B1017" t="str">
        <f>"154759/780E"</f>
        <v>154759/780E</v>
      </c>
      <c r="C1017" t="s">
        <v>106</v>
      </c>
      <c r="D1017" t="s">
        <v>1752</v>
      </c>
      <c r="E1017" t="str">
        <f t="shared" si="50"/>
        <v>5003052454</v>
      </c>
      <c r="F1017" t="s">
        <v>14</v>
      </c>
      <c r="G1017" t="s">
        <v>1983</v>
      </c>
      <c r="H1017" t="s">
        <v>1984</v>
      </c>
      <c r="I1017" t="s">
        <v>17</v>
      </c>
      <c r="J1017" t="s">
        <v>18</v>
      </c>
    </row>
    <row r="1018" spans="1:10" hidden="1" x14ac:dyDescent="0.25">
      <c r="A1018" t="s">
        <v>11</v>
      </c>
      <c r="B1018" t="str">
        <f>"154761/780E"</f>
        <v>154761/780E</v>
      </c>
      <c r="C1018" t="s">
        <v>106</v>
      </c>
      <c r="D1018" t="s">
        <v>1752</v>
      </c>
      <c r="E1018" t="str">
        <f t="shared" si="50"/>
        <v>5003052454</v>
      </c>
      <c r="F1018" t="s">
        <v>14</v>
      </c>
      <c r="G1018" t="s">
        <v>1985</v>
      </c>
      <c r="H1018" t="s">
        <v>1986</v>
      </c>
      <c r="I1018" t="s">
        <v>17</v>
      </c>
      <c r="J1018" t="s">
        <v>18</v>
      </c>
    </row>
    <row r="1019" spans="1:10" hidden="1" x14ac:dyDescent="0.25">
      <c r="A1019" t="s">
        <v>11</v>
      </c>
      <c r="B1019" t="str">
        <f>"154762/780E"</f>
        <v>154762/780E</v>
      </c>
      <c r="C1019" t="s">
        <v>106</v>
      </c>
      <c r="D1019" t="s">
        <v>1752</v>
      </c>
      <c r="E1019" t="str">
        <f t="shared" si="50"/>
        <v>5003052454</v>
      </c>
      <c r="F1019" t="s">
        <v>14</v>
      </c>
      <c r="G1019" t="s">
        <v>1987</v>
      </c>
      <c r="H1019" t="s">
        <v>1988</v>
      </c>
      <c r="I1019" t="s">
        <v>17</v>
      </c>
      <c r="J1019" t="s">
        <v>18</v>
      </c>
    </row>
    <row r="1020" spans="1:10" hidden="1" x14ac:dyDescent="0.25">
      <c r="A1020" t="s">
        <v>11</v>
      </c>
      <c r="B1020" t="str">
        <f>"154760/780E"</f>
        <v>154760/780E</v>
      </c>
      <c r="C1020" t="s">
        <v>106</v>
      </c>
      <c r="D1020" t="s">
        <v>1752</v>
      </c>
      <c r="E1020" t="str">
        <f t="shared" si="50"/>
        <v>5003052454</v>
      </c>
      <c r="F1020" t="s">
        <v>14</v>
      </c>
      <c r="G1020" t="s">
        <v>1989</v>
      </c>
      <c r="H1020" t="s">
        <v>1990</v>
      </c>
      <c r="I1020" t="s">
        <v>17</v>
      </c>
      <c r="J1020" t="s">
        <v>18</v>
      </c>
    </row>
    <row r="1021" spans="1:10" hidden="1" x14ac:dyDescent="0.25">
      <c r="A1021" t="s">
        <v>11</v>
      </c>
      <c r="B1021" t="str">
        <f>"3876/780I"</f>
        <v>3876/780I</v>
      </c>
      <c r="C1021" t="s">
        <v>106</v>
      </c>
      <c r="D1021" t="s">
        <v>1752</v>
      </c>
      <c r="E1021" t="str">
        <f t="shared" si="50"/>
        <v>5003052454</v>
      </c>
      <c r="F1021" t="s">
        <v>14</v>
      </c>
      <c r="G1021" t="s">
        <v>1991</v>
      </c>
      <c r="H1021" t="s">
        <v>1992</v>
      </c>
      <c r="I1021" t="s">
        <v>17</v>
      </c>
      <c r="J1021" t="s">
        <v>18</v>
      </c>
    </row>
    <row r="1022" spans="1:10" hidden="1" x14ac:dyDescent="0.25">
      <c r="A1022" t="s">
        <v>11</v>
      </c>
      <c r="B1022" t="str">
        <f>"3877/780I"</f>
        <v>3877/780I</v>
      </c>
      <c r="C1022" t="s">
        <v>106</v>
      </c>
      <c r="D1022" t="s">
        <v>1752</v>
      </c>
      <c r="E1022" t="str">
        <f t="shared" si="50"/>
        <v>5003052454</v>
      </c>
      <c r="F1022" t="s">
        <v>14</v>
      </c>
      <c r="G1022" t="s">
        <v>1993</v>
      </c>
      <c r="H1022" t="s">
        <v>1994</v>
      </c>
      <c r="I1022" t="s">
        <v>17</v>
      </c>
      <c r="J1022" t="s">
        <v>18</v>
      </c>
    </row>
    <row r="1023" spans="1:10" hidden="1" x14ac:dyDescent="0.25">
      <c r="A1023" t="s">
        <v>11</v>
      </c>
      <c r="B1023" t="str">
        <f>"3878/780I"</f>
        <v>3878/780I</v>
      </c>
      <c r="C1023" t="s">
        <v>106</v>
      </c>
      <c r="D1023" t="s">
        <v>1752</v>
      </c>
      <c r="E1023" t="str">
        <f t="shared" si="50"/>
        <v>5003052454</v>
      </c>
      <c r="F1023" t="s">
        <v>14</v>
      </c>
      <c r="G1023" t="s">
        <v>1995</v>
      </c>
      <c r="H1023" t="s">
        <v>1996</v>
      </c>
      <c r="I1023" t="s">
        <v>17</v>
      </c>
      <c r="J1023" t="s">
        <v>18</v>
      </c>
    </row>
    <row r="1024" spans="1:10" hidden="1" x14ac:dyDescent="0.25">
      <c r="A1024" t="s">
        <v>11</v>
      </c>
      <c r="B1024" t="str">
        <f>"3880/780I"</f>
        <v>3880/780I</v>
      </c>
      <c r="C1024" t="s">
        <v>106</v>
      </c>
      <c r="D1024" t="s">
        <v>1752</v>
      </c>
      <c r="E1024" t="str">
        <f t="shared" si="50"/>
        <v>5003052454</v>
      </c>
      <c r="F1024" t="s">
        <v>14</v>
      </c>
      <c r="G1024" t="s">
        <v>1997</v>
      </c>
      <c r="H1024" t="s">
        <v>1998</v>
      </c>
      <c r="I1024" t="s">
        <v>17</v>
      </c>
      <c r="J1024" t="s">
        <v>18</v>
      </c>
    </row>
    <row r="1025" spans="1:10" hidden="1" x14ac:dyDescent="0.25">
      <c r="A1025" t="s">
        <v>11</v>
      </c>
      <c r="B1025" t="str">
        <f>"3879/780I"</f>
        <v>3879/780I</v>
      </c>
      <c r="C1025" t="s">
        <v>106</v>
      </c>
      <c r="D1025" t="s">
        <v>1752</v>
      </c>
      <c r="E1025" t="str">
        <f t="shared" si="50"/>
        <v>5003052454</v>
      </c>
      <c r="F1025" t="s">
        <v>14</v>
      </c>
      <c r="G1025" t="s">
        <v>1999</v>
      </c>
      <c r="H1025" t="s">
        <v>2000</v>
      </c>
      <c r="I1025" t="s">
        <v>17</v>
      </c>
      <c r="J1025" t="s">
        <v>18</v>
      </c>
    </row>
    <row r="1026" spans="1:10" hidden="1" x14ac:dyDescent="0.25">
      <c r="A1026" t="s">
        <v>11</v>
      </c>
      <c r="B1026" t="str">
        <f>"UT-109499"</f>
        <v>UT-109499</v>
      </c>
      <c r="C1026" t="s">
        <v>106</v>
      </c>
      <c r="D1026" t="s">
        <v>1752</v>
      </c>
      <c r="E1026" t="str">
        <f>"7806385951"</f>
        <v>7806385951</v>
      </c>
      <c r="F1026" t="s">
        <v>26</v>
      </c>
      <c r="G1026" t="s">
        <v>2001</v>
      </c>
      <c r="H1026" t="s">
        <v>2002</v>
      </c>
      <c r="I1026" t="s">
        <v>17</v>
      </c>
      <c r="J1026" t="s">
        <v>18</v>
      </c>
    </row>
    <row r="1027" spans="1:10" hidden="1" x14ac:dyDescent="0.25">
      <c r="A1027" t="s">
        <v>11</v>
      </c>
      <c r="B1027" t="str">
        <f>"UT-109654"</f>
        <v>UT-109654</v>
      </c>
      <c r="C1027" t="s">
        <v>106</v>
      </c>
      <c r="D1027" t="s">
        <v>1752</v>
      </c>
      <c r="E1027" t="str">
        <f>"7806385951"</f>
        <v>7806385951</v>
      </c>
      <c r="F1027" t="s">
        <v>26</v>
      </c>
      <c r="G1027" t="s">
        <v>2003</v>
      </c>
      <c r="H1027" t="s">
        <v>2004</v>
      </c>
      <c r="I1027" t="s">
        <v>17</v>
      </c>
      <c r="J1027" t="s">
        <v>18</v>
      </c>
    </row>
    <row r="1028" spans="1:10" hidden="1" x14ac:dyDescent="0.25">
      <c r="A1028" t="s">
        <v>11</v>
      </c>
      <c r="B1028" t="str">
        <f>"UT-109655"</f>
        <v>UT-109655</v>
      </c>
      <c r="C1028" t="s">
        <v>106</v>
      </c>
      <c r="D1028" t="s">
        <v>1752</v>
      </c>
      <c r="E1028" t="str">
        <f>"7806385951"</f>
        <v>7806385951</v>
      </c>
      <c r="F1028" t="s">
        <v>26</v>
      </c>
      <c r="G1028" t="s">
        <v>2005</v>
      </c>
      <c r="H1028" t="s">
        <v>2006</v>
      </c>
      <c r="I1028" t="s">
        <v>17</v>
      </c>
      <c r="J1028" t="s">
        <v>18</v>
      </c>
    </row>
    <row r="1029" spans="1:10" hidden="1" x14ac:dyDescent="0.25">
      <c r="A1029" t="s">
        <v>11</v>
      </c>
      <c r="B1029" t="str">
        <f>"28359963"</f>
        <v>28359963</v>
      </c>
      <c r="C1029" t="s">
        <v>100</v>
      </c>
      <c r="D1029" t="s">
        <v>1752</v>
      </c>
      <c r="E1029" t="str">
        <f>"7721793895"</f>
        <v>7721793895</v>
      </c>
      <c r="F1029" t="s">
        <v>109</v>
      </c>
      <c r="G1029" t="s">
        <v>2007</v>
      </c>
      <c r="H1029" t="s">
        <v>2008</v>
      </c>
      <c r="I1029" t="s">
        <v>17</v>
      </c>
      <c r="J1029" t="s">
        <v>18</v>
      </c>
    </row>
    <row r="1030" spans="1:10" hidden="1" x14ac:dyDescent="0.25">
      <c r="A1030" t="s">
        <v>11</v>
      </c>
      <c r="B1030" t="str">
        <f>"28360470"</f>
        <v>28360470</v>
      </c>
      <c r="C1030" t="s">
        <v>100</v>
      </c>
      <c r="D1030" t="s">
        <v>1752</v>
      </c>
      <c r="E1030" t="str">
        <f>"7721793895"</f>
        <v>7721793895</v>
      </c>
      <c r="F1030" t="s">
        <v>109</v>
      </c>
      <c r="G1030" t="s">
        <v>2009</v>
      </c>
      <c r="H1030" t="s">
        <v>2010</v>
      </c>
      <c r="I1030" t="s">
        <v>17</v>
      </c>
      <c r="J1030" t="s">
        <v>18</v>
      </c>
    </row>
    <row r="1031" spans="1:10" hidden="1" x14ac:dyDescent="0.25">
      <c r="A1031" t="s">
        <v>11</v>
      </c>
      <c r="B1031" t="str">
        <f>"34235"</f>
        <v>34235</v>
      </c>
      <c r="C1031" t="s">
        <v>106</v>
      </c>
      <c r="D1031" t="s">
        <v>1752</v>
      </c>
      <c r="E1031" t="str">
        <f>"7806429510"</f>
        <v>7806429510</v>
      </c>
      <c r="F1031" t="s">
        <v>152</v>
      </c>
      <c r="G1031" t="s">
        <v>2011</v>
      </c>
      <c r="H1031" t="s">
        <v>2012</v>
      </c>
      <c r="I1031" t="s">
        <v>17</v>
      </c>
      <c r="J1031" t="s">
        <v>18</v>
      </c>
    </row>
    <row r="1032" spans="1:10" hidden="1" x14ac:dyDescent="0.25">
      <c r="A1032" t="s">
        <v>11</v>
      </c>
      <c r="B1032" t="str">
        <f>"UT-109656"</f>
        <v>UT-109656</v>
      </c>
      <c r="C1032" t="s">
        <v>106</v>
      </c>
      <c r="D1032" t="s">
        <v>1752</v>
      </c>
      <c r="E1032" t="str">
        <f>"7806385951"</f>
        <v>7806385951</v>
      </c>
      <c r="F1032" t="s">
        <v>26</v>
      </c>
      <c r="G1032" t="s">
        <v>2013</v>
      </c>
      <c r="H1032" t="s">
        <v>2014</v>
      </c>
      <c r="I1032" t="s">
        <v>17</v>
      </c>
      <c r="J1032" t="s">
        <v>18</v>
      </c>
    </row>
    <row r="1033" spans="1:10" hidden="1" x14ac:dyDescent="0.25">
      <c r="A1033" t="s">
        <v>11</v>
      </c>
      <c r="B1033" t="str">
        <f>"UT-109500"</f>
        <v>UT-109500</v>
      </c>
      <c r="C1033" t="s">
        <v>106</v>
      </c>
      <c r="D1033" t="s">
        <v>1752</v>
      </c>
      <c r="E1033" t="str">
        <f>"7806385951"</f>
        <v>7806385951</v>
      </c>
      <c r="F1033" t="s">
        <v>26</v>
      </c>
      <c r="G1033" t="s">
        <v>2015</v>
      </c>
      <c r="H1033" t="s">
        <v>2016</v>
      </c>
      <c r="I1033" t="s">
        <v>17</v>
      </c>
      <c r="J1033" t="s">
        <v>18</v>
      </c>
    </row>
    <row r="1034" spans="1:10" hidden="1" x14ac:dyDescent="0.25">
      <c r="A1034" t="s">
        <v>11</v>
      </c>
      <c r="B1034" t="str">
        <f>"30/00159914-23"</f>
        <v>30/00159914-23</v>
      </c>
      <c r="C1034" t="s">
        <v>106</v>
      </c>
      <c r="D1034" t="s">
        <v>1752</v>
      </c>
      <c r="E1034" t="str">
        <f>"7705034202"</f>
        <v>7705034202</v>
      </c>
      <c r="F1034" t="s">
        <v>407</v>
      </c>
      <c r="G1034" t="s">
        <v>2017</v>
      </c>
      <c r="H1034" t="s">
        <v>2018</v>
      </c>
      <c r="I1034" t="s">
        <v>17</v>
      </c>
      <c r="J1034" t="s">
        <v>18</v>
      </c>
    </row>
    <row r="1035" spans="1:10" hidden="1" x14ac:dyDescent="0.25">
      <c r="A1035" t="s">
        <v>11</v>
      </c>
      <c r="B1035" t="str">
        <f>"2023/40/03/0035280/06"</f>
        <v>2023/40/03/0035280/06</v>
      </c>
      <c r="C1035" t="s">
        <v>100</v>
      </c>
      <c r="D1035" t="s">
        <v>1752</v>
      </c>
      <c r="E1035" t="str">
        <f>"7718151150"</f>
        <v>7718151150</v>
      </c>
      <c r="F1035" t="s">
        <v>54</v>
      </c>
      <c r="G1035" t="s">
        <v>2019</v>
      </c>
      <c r="H1035" t="s">
        <v>2020</v>
      </c>
      <c r="I1035" t="s">
        <v>17</v>
      </c>
      <c r="J1035" t="s">
        <v>18</v>
      </c>
    </row>
    <row r="1036" spans="1:10" hidden="1" x14ac:dyDescent="0.25">
      <c r="A1036" t="s">
        <v>11</v>
      </c>
      <c r="B1036" t="str">
        <f>"2023/40/03/0035303/06"</f>
        <v>2023/40/03/0035303/06</v>
      </c>
      <c r="C1036" t="s">
        <v>100</v>
      </c>
      <c r="D1036" t="s">
        <v>1752</v>
      </c>
      <c r="E1036" t="str">
        <f>"7718151150"</f>
        <v>7718151150</v>
      </c>
      <c r="F1036" t="s">
        <v>54</v>
      </c>
      <c r="G1036" t="s">
        <v>2021</v>
      </c>
      <c r="H1036" t="s">
        <v>2022</v>
      </c>
      <c r="I1036" t="s">
        <v>17</v>
      </c>
      <c r="J1036" t="s">
        <v>18</v>
      </c>
    </row>
    <row r="1037" spans="1:10" hidden="1" x14ac:dyDescent="0.25">
      <c r="A1037" t="s">
        <v>11</v>
      </c>
      <c r="B1037" t="str">
        <f>"2023/40/03/0035310/06"</f>
        <v>2023/40/03/0035310/06</v>
      </c>
      <c r="C1037" t="s">
        <v>100</v>
      </c>
      <c r="D1037" t="s">
        <v>1752</v>
      </c>
      <c r="E1037" t="str">
        <f>"7718151150"</f>
        <v>7718151150</v>
      </c>
      <c r="F1037" t="s">
        <v>54</v>
      </c>
      <c r="G1037" t="s">
        <v>2023</v>
      </c>
      <c r="H1037" t="s">
        <v>2024</v>
      </c>
      <c r="I1037" t="s">
        <v>17</v>
      </c>
      <c r="J1037" t="s">
        <v>18</v>
      </c>
    </row>
    <row r="1038" spans="1:10" hidden="1" x14ac:dyDescent="0.25">
      <c r="A1038" t="s">
        <v>11</v>
      </c>
      <c r="B1038" t="str">
        <f>"2023/40/03/0035274/06"</f>
        <v>2023/40/03/0035274/06</v>
      </c>
      <c r="C1038" t="s">
        <v>100</v>
      </c>
      <c r="D1038" t="s">
        <v>1752</v>
      </c>
      <c r="E1038" t="str">
        <f>"7718151150"</f>
        <v>7718151150</v>
      </c>
      <c r="F1038" t="s">
        <v>54</v>
      </c>
      <c r="G1038" t="s">
        <v>1960</v>
      </c>
      <c r="H1038" t="s">
        <v>2025</v>
      </c>
      <c r="I1038" t="s">
        <v>17</v>
      </c>
      <c r="J1038" t="s">
        <v>18</v>
      </c>
    </row>
    <row r="1039" spans="1:10" hidden="1" x14ac:dyDescent="0.25">
      <c r="A1039" t="s">
        <v>11</v>
      </c>
      <c r="B1039" t="str">
        <f>"7810/8174517801"</f>
        <v>7810/8174517801</v>
      </c>
      <c r="C1039" t="s">
        <v>106</v>
      </c>
      <c r="D1039" t="s">
        <v>1752</v>
      </c>
      <c r="E1039" t="str">
        <f>"5032260402"</f>
        <v>5032260402</v>
      </c>
      <c r="F1039" t="s">
        <v>341</v>
      </c>
      <c r="G1039" t="s">
        <v>2026</v>
      </c>
      <c r="H1039" t="s">
        <v>2027</v>
      </c>
      <c r="I1039" t="s">
        <v>17</v>
      </c>
      <c r="J1039" t="s">
        <v>18</v>
      </c>
    </row>
    <row r="1040" spans="1:10" hidden="1" x14ac:dyDescent="0.25">
      <c r="A1040" t="s">
        <v>11</v>
      </c>
      <c r="B1040" t="str">
        <f>"УТ-505-000067"</f>
        <v>УТ-505-000067</v>
      </c>
      <c r="C1040" t="s">
        <v>106</v>
      </c>
      <c r="D1040" t="s">
        <v>1752</v>
      </c>
      <c r="E1040" t="str">
        <f>"7839454551"</f>
        <v>7839454551</v>
      </c>
      <c r="F1040" t="s">
        <v>57</v>
      </c>
      <c r="G1040" t="s">
        <v>2028</v>
      </c>
      <c r="H1040" t="s">
        <v>2029</v>
      </c>
      <c r="I1040" t="s">
        <v>17</v>
      </c>
      <c r="J1040" t="s">
        <v>18</v>
      </c>
    </row>
    <row r="1041" spans="1:10" hidden="1" x14ac:dyDescent="0.25">
      <c r="A1041" t="s">
        <v>11</v>
      </c>
      <c r="B1041" t="str">
        <f>"УТ-505-000065"</f>
        <v>УТ-505-000065</v>
      </c>
      <c r="C1041" t="s">
        <v>106</v>
      </c>
      <c r="D1041" t="s">
        <v>1752</v>
      </c>
      <c r="E1041" t="str">
        <f>"7839454551"</f>
        <v>7839454551</v>
      </c>
      <c r="F1041" t="s">
        <v>57</v>
      </c>
      <c r="G1041" t="s">
        <v>2030</v>
      </c>
      <c r="H1041" t="s">
        <v>2031</v>
      </c>
      <c r="I1041" t="s">
        <v>17</v>
      </c>
      <c r="J1041" t="s">
        <v>18</v>
      </c>
    </row>
    <row r="1042" spans="1:10" hidden="1" x14ac:dyDescent="0.25">
      <c r="A1042" t="s">
        <v>11</v>
      </c>
      <c r="B1042" t="str">
        <f>"УТ-505-000064"</f>
        <v>УТ-505-000064</v>
      </c>
      <c r="C1042" t="s">
        <v>106</v>
      </c>
      <c r="D1042" t="s">
        <v>1752</v>
      </c>
      <c r="E1042" t="str">
        <f>"7839454551"</f>
        <v>7839454551</v>
      </c>
      <c r="F1042" t="s">
        <v>57</v>
      </c>
      <c r="G1042" t="s">
        <v>2032</v>
      </c>
      <c r="H1042" t="s">
        <v>2033</v>
      </c>
      <c r="I1042" t="s">
        <v>17</v>
      </c>
      <c r="J1042" t="s">
        <v>18</v>
      </c>
    </row>
    <row r="1043" spans="1:10" hidden="1" x14ac:dyDescent="0.25">
      <c r="A1043" t="s">
        <v>11</v>
      </c>
      <c r="B1043" t="str">
        <f>"БАШМ0505/01"</f>
        <v>БАШМ0505/01</v>
      </c>
      <c r="C1043" t="s">
        <v>106</v>
      </c>
      <c r="D1043" t="s">
        <v>1752</v>
      </c>
      <c r="E1043" t="str">
        <f>"7735126034"</f>
        <v>7735126034</v>
      </c>
      <c r="F1043" t="s">
        <v>131</v>
      </c>
      <c r="G1043" t="s">
        <v>2034</v>
      </c>
      <c r="H1043" t="s">
        <v>2035</v>
      </c>
      <c r="I1043" t="s">
        <v>17</v>
      </c>
      <c r="J1043" t="s">
        <v>18</v>
      </c>
    </row>
    <row r="1044" spans="1:10" hidden="1" x14ac:dyDescent="0.25">
      <c r="A1044" t="s">
        <v>11</v>
      </c>
      <c r="B1044" t="str">
        <f>"БАШМ0505/02"</f>
        <v>БАШМ0505/02</v>
      </c>
      <c r="C1044" t="s">
        <v>106</v>
      </c>
      <c r="D1044" t="s">
        <v>1752</v>
      </c>
      <c r="E1044" t="str">
        <f>"7735126034"</f>
        <v>7735126034</v>
      </c>
      <c r="F1044" t="s">
        <v>131</v>
      </c>
      <c r="G1044" t="s">
        <v>2036</v>
      </c>
      <c r="H1044" t="s">
        <v>2037</v>
      </c>
      <c r="I1044" t="s">
        <v>17</v>
      </c>
      <c r="J1044" t="s">
        <v>18</v>
      </c>
    </row>
    <row r="1045" spans="1:10" hidden="1" x14ac:dyDescent="0.25">
      <c r="A1045" t="s">
        <v>11</v>
      </c>
      <c r="B1045" t="str">
        <f>"УТ-605-000111"</f>
        <v>УТ-605-000111</v>
      </c>
      <c r="C1045" t="s">
        <v>420</v>
      </c>
      <c r="D1045" t="s">
        <v>1752</v>
      </c>
      <c r="E1045" t="str">
        <f>"7839454551"</f>
        <v>7839454551</v>
      </c>
      <c r="F1045" t="s">
        <v>57</v>
      </c>
      <c r="G1045" t="s">
        <v>2038</v>
      </c>
      <c r="H1045" t="s">
        <v>2039</v>
      </c>
      <c r="I1045" t="s">
        <v>17</v>
      </c>
      <c r="J1045" t="s">
        <v>18</v>
      </c>
    </row>
    <row r="1046" spans="1:10" hidden="1" x14ac:dyDescent="0.25">
      <c r="A1046" t="s">
        <v>11</v>
      </c>
      <c r="B1046" t="str">
        <f>"УТ-605-000104"</f>
        <v>УТ-605-000104</v>
      </c>
      <c r="C1046" t="s">
        <v>420</v>
      </c>
      <c r="D1046" t="s">
        <v>1752</v>
      </c>
      <c r="E1046" t="str">
        <f>"7839454551"</f>
        <v>7839454551</v>
      </c>
      <c r="F1046" t="s">
        <v>57</v>
      </c>
      <c r="G1046" t="s">
        <v>608</v>
      </c>
      <c r="H1046" t="s">
        <v>2040</v>
      </c>
      <c r="I1046" t="s">
        <v>17</v>
      </c>
      <c r="J1046" t="s">
        <v>18</v>
      </c>
    </row>
    <row r="1047" spans="1:10" hidden="1" x14ac:dyDescent="0.25">
      <c r="A1047" t="s">
        <v>11</v>
      </c>
      <c r="B1047" t="str">
        <f>"УТ-605-000103"</f>
        <v>УТ-605-000103</v>
      </c>
      <c r="C1047" t="s">
        <v>420</v>
      </c>
      <c r="D1047" t="s">
        <v>1752</v>
      </c>
      <c r="E1047" t="str">
        <f>"7839454551"</f>
        <v>7839454551</v>
      </c>
      <c r="F1047" t="s">
        <v>57</v>
      </c>
      <c r="G1047" t="s">
        <v>2041</v>
      </c>
      <c r="H1047" t="s">
        <v>2042</v>
      </c>
      <c r="I1047" t="s">
        <v>17</v>
      </c>
      <c r="J1047" t="s">
        <v>18</v>
      </c>
    </row>
    <row r="1048" spans="1:10" hidden="1" x14ac:dyDescent="0.25">
      <c r="A1048" t="s">
        <v>11</v>
      </c>
      <c r="B1048" t="str">
        <f>"SR110023960"</f>
        <v>SR110023960</v>
      </c>
      <c r="C1048" t="s">
        <v>420</v>
      </c>
      <c r="D1048" t="s">
        <v>1752</v>
      </c>
      <c r="E1048" t="str">
        <f>"4725006920"</f>
        <v>4725006920</v>
      </c>
      <c r="F1048" t="s">
        <v>101</v>
      </c>
      <c r="G1048" t="s">
        <v>2043</v>
      </c>
      <c r="H1048" t="s">
        <v>2044</v>
      </c>
      <c r="I1048" t="s">
        <v>17</v>
      </c>
      <c r="J1048" t="s">
        <v>18</v>
      </c>
    </row>
    <row r="1049" spans="1:10" hidden="1" x14ac:dyDescent="0.25">
      <c r="A1049" t="s">
        <v>11</v>
      </c>
      <c r="B1049" t="str">
        <f>"SR110023950"</f>
        <v>SR110023950</v>
      </c>
      <c r="C1049" t="s">
        <v>420</v>
      </c>
      <c r="D1049" t="s">
        <v>1752</v>
      </c>
      <c r="E1049" t="str">
        <f>"4725006920"</f>
        <v>4725006920</v>
      </c>
      <c r="F1049" t="s">
        <v>101</v>
      </c>
      <c r="G1049" t="s">
        <v>2045</v>
      </c>
      <c r="H1049" t="s">
        <v>2046</v>
      </c>
      <c r="I1049" t="s">
        <v>17</v>
      </c>
      <c r="J1049" t="s">
        <v>18</v>
      </c>
    </row>
    <row r="1050" spans="1:10" hidden="1" x14ac:dyDescent="0.25">
      <c r="A1050" t="s">
        <v>11</v>
      </c>
      <c r="B1050" t="str">
        <f>"SR110023946"</f>
        <v>SR110023946</v>
      </c>
      <c r="C1050" t="s">
        <v>420</v>
      </c>
      <c r="D1050" t="s">
        <v>1752</v>
      </c>
      <c r="E1050" t="str">
        <f>"4725006920"</f>
        <v>4725006920</v>
      </c>
      <c r="F1050" t="s">
        <v>101</v>
      </c>
      <c r="G1050" t="s">
        <v>2047</v>
      </c>
      <c r="H1050" t="s">
        <v>2048</v>
      </c>
      <c r="I1050" t="s">
        <v>17</v>
      </c>
      <c r="J1050" t="s">
        <v>18</v>
      </c>
    </row>
    <row r="1051" spans="1:10" hidden="1" x14ac:dyDescent="0.25">
      <c r="A1051" t="s">
        <v>11</v>
      </c>
      <c r="B1051" t="str">
        <f>"SR110023909"</f>
        <v>SR110023909</v>
      </c>
      <c r="C1051" t="s">
        <v>420</v>
      </c>
      <c r="D1051" t="s">
        <v>1752</v>
      </c>
      <c r="E1051" t="str">
        <f>"4725006920"</f>
        <v>4725006920</v>
      </c>
      <c r="F1051" t="s">
        <v>101</v>
      </c>
      <c r="G1051" t="s">
        <v>2049</v>
      </c>
      <c r="H1051" t="s">
        <v>2050</v>
      </c>
      <c r="I1051" t="s">
        <v>17</v>
      </c>
      <c r="J1051" t="s">
        <v>18</v>
      </c>
    </row>
    <row r="1052" spans="1:10" hidden="1" x14ac:dyDescent="0.25">
      <c r="A1052" t="s">
        <v>11</v>
      </c>
      <c r="B1052" t="str">
        <f>"УТР0166262"</f>
        <v>УТР0166262</v>
      </c>
      <c r="C1052" t="s">
        <v>508</v>
      </c>
      <c r="D1052" t="s">
        <v>2051</v>
      </c>
      <c r="E1052" t="str">
        <f>"7804044258"</f>
        <v>7804044258</v>
      </c>
      <c r="F1052" t="s">
        <v>155</v>
      </c>
      <c r="G1052" t="s">
        <v>2052</v>
      </c>
      <c r="H1052" t="s">
        <v>2053</v>
      </c>
      <c r="I1052" t="s">
        <v>17</v>
      </c>
      <c r="J1052" t="s">
        <v>18</v>
      </c>
    </row>
    <row r="1053" spans="1:10" x14ac:dyDescent="0.25">
      <c r="A1053" t="s">
        <v>11</v>
      </c>
      <c r="B1053" t="str">
        <f>"УТР0166219"</f>
        <v>УТР0166219</v>
      </c>
      <c r="C1053" t="s">
        <v>508</v>
      </c>
      <c r="D1053" t="s">
        <v>2051</v>
      </c>
      <c r="E1053" t="str">
        <f>"7804044258"</f>
        <v>7804044258</v>
      </c>
      <c r="F1053" t="s">
        <v>155</v>
      </c>
      <c r="G1053" t="s">
        <v>2052</v>
      </c>
      <c r="H1053" t="s">
        <v>2054</v>
      </c>
      <c r="I1053" t="s">
        <v>17</v>
      </c>
      <c r="J1053" t="s">
        <v>166</v>
      </c>
    </row>
    <row r="1054" spans="1:10" hidden="1" x14ac:dyDescent="0.25">
      <c r="A1054" t="s">
        <v>11</v>
      </c>
      <c r="B1054" t="str">
        <f>"28270572"</f>
        <v>28270572</v>
      </c>
      <c r="C1054" t="s">
        <v>559</v>
      </c>
      <c r="D1054" t="s">
        <v>2051</v>
      </c>
      <c r="E1054" t="str">
        <f>"7721793895"</f>
        <v>7721793895</v>
      </c>
      <c r="F1054" t="s">
        <v>109</v>
      </c>
      <c r="G1054" t="s">
        <v>2055</v>
      </c>
      <c r="H1054" t="s">
        <v>2056</v>
      </c>
      <c r="I1054" t="s">
        <v>17</v>
      </c>
      <c r="J1054" t="s">
        <v>18</v>
      </c>
    </row>
    <row r="1055" spans="1:10" hidden="1" x14ac:dyDescent="0.25">
      <c r="A1055" t="s">
        <v>11</v>
      </c>
      <c r="B1055" t="str">
        <f>"28276625"</f>
        <v>28276625</v>
      </c>
      <c r="C1055" t="s">
        <v>559</v>
      </c>
      <c r="D1055" t="s">
        <v>2051</v>
      </c>
      <c r="E1055" t="str">
        <f>"7721793895"</f>
        <v>7721793895</v>
      </c>
      <c r="F1055" t="s">
        <v>109</v>
      </c>
      <c r="G1055" t="s">
        <v>2057</v>
      </c>
      <c r="H1055" t="s">
        <v>2058</v>
      </c>
      <c r="I1055" t="s">
        <v>17</v>
      </c>
      <c r="J1055" t="s">
        <v>18</v>
      </c>
    </row>
    <row r="1056" spans="1:10" hidden="1" x14ac:dyDescent="0.25">
      <c r="A1056" t="s">
        <v>11</v>
      </c>
      <c r="B1056" t="str">
        <f>"28278897"</f>
        <v>28278897</v>
      </c>
      <c r="C1056" t="s">
        <v>559</v>
      </c>
      <c r="D1056" t="s">
        <v>2051</v>
      </c>
      <c r="E1056" t="str">
        <f>"7721793895"</f>
        <v>7721793895</v>
      </c>
      <c r="F1056" t="s">
        <v>109</v>
      </c>
      <c r="G1056" t="s">
        <v>2059</v>
      </c>
      <c r="H1056" t="s">
        <v>2060</v>
      </c>
      <c r="I1056" t="s">
        <v>17</v>
      </c>
      <c r="J1056" t="s">
        <v>21</v>
      </c>
    </row>
    <row r="1057" spans="1:10" hidden="1" x14ac:dyDescent="0.25">
      <c r="A1057" t="s">
        <v>11</v>
      </c>
      <c r="B1057" t="str">
        <f>"7810/8174366811"</f>
        <v>7810/8174366811</v>
      </c>
      <c r="C1057" t="s">
        <v>12</v>
      </c>
      <c r="D1057" t="s">
        <v>2051</v>
      </c>
      <c r="E1057" t="str">
        <f>"5032260402"</f>
        <v>5032260402</v>
      </c>
      <c r="F1057" t="s">
        <v>341</v>
      </c>
      <c r="G1057" t="s">
        <v>2061</v>
      </c>
      <c r="H1057" t="s">
        <v>2062</v>
      </c>
      <c r="I1057" t="s">
        <v>17</v>
      </c>
      <c r="J1057" t="s">
        <v>18</v>
      </c>
    </row>
    <row r="1058" spans="1:10" hidden="1" x14ac:dyDescent="0.25">
      <c r="A1058" t="s">
        <v>11</v>
      </c>
      <c r="B1058" t="str">
        <f>"2023/40/03/0033879/06"</f>
        <v>2023/40/03/0033879/06</v>
      </c>
      <c r="C1058" t="s">
        <v>49</v>
      </c>
      <c r="D1058" t="s">
        <v>2051</v>
      </c>
      <c r="E1058" t="str">
        <f>"7718151150"</f>
        <v>7718151150</v>
      </c>
      <c r="F1058" t="s">
        <v>54</v>
      </c>
      <c r="G1058" t="s">
        <v>2063</v>
      </c>
      <c r="H1058" t="s">
        <v>2064</v>
      </c>
      <c r="I1058" t="s">
        <v>17</v>
      </c>
      <c r="J1058" t="s">
        <v>18</v>
      </c>
    </row>
    <row r="1059" spans="1:10" hidden="1" x14ac:dyDescent="0.25">
      <c r="A1059" t="s">
        <v>11</v>
      </c>
      <c r="B1059" t="str">
        <f>"2023/40/03/0033893/06"</f>
        <v>2023/40/03/0033893/06</v>
      </c>
      <c r="C1059" t="s">
        <v>49</v>
      </c>
      <c r="D1059" t="s">
        <v>2051</v>
      </c>
      <c r="E1059" t="str">
        <f>"7718151150"</f>
        <v>7718151150</v>
      </c>
      <c r="F1059" t="s">
        <v>54</v>
      </c>
      <c r="G1059" t="s">
        <v>2065</v>
      </c>
      <c r="H1059" t="s">
        <v>2066</v>
      </c>
      <c r="I1059" t="s">
        <v>17</v>
      </c>
      <c r="J1059" t="s">
        <v>21</v>
      </c>
    </row>
    <row r="1060" spans="1:10" hidden="1" x14ac:dyDescent="0.25">
      <c r="A1060" t="s">
        <v>11</v>
      </c>
      <c r="B1060" t="str">
        <f>"2023/40/03/0032318/06"</f>
        <v>2023/40/03/0032318/06</v>
      </c>
      <c r="C1060" t="s">
        <v>53</v>
      </c>
      <c r="D1060" t="s">
        <v>2051</v>
      </c>
      <c r="E1060" t="str">
        <f>"7718151150"</f>
        <v>7718151150</v>
      </c>
      <c r="F1060" t="s">
        <v>54</v>
      </c>
      <c r="G1060" t="s">
        <v>61</v>
      </c>
      <c r="H1060" t="s">
        <v>2067</v>
      </c>
      <c r="I1060" t="s">
        <v>17</v>
      </c>
      <c r="J1060" t="s">
        <v>18</v>
      </c>
    </row>
    <row r="1061" spans="1:10" hidden="1" x14ac:dyDescent="0.25">
      <c r="A1061" t="s">
        <v>11</v>
      </c>
      <c r="B1061" t="str">
        <f>"2023/40/03/0032301/06"</f>
        <v>2023/40/03/0032301/06</v>
      </c>
      <c r="C1061" t="s">
        <v>53</v>
      </c>
      <c r="D1061" t="s">
        <v>2051</v>
      </c>
      <c r="E1061" t="str">
        <f>"7718151150"</f>
        <v>7718151150</v>
      </c>
      <c r="F1061" t="s">
        <v>54</v>
      </c>
      <c r="G1061" t="s">
        <v>2068</v>
      </c>
      <c r="H1061" t="s">
        <v>2069</v>
      </c>
      <c r="I1061" t="s">
        <v>17</v>
      </c>
      <c r="J1061" t="s">
        <v>18</v>
      </c>
    </row>
    <row r="1062" spans="1:10" hidden="1" x14ac:dyDescent="0.25">
      <c r="A1062" t="s">
        <v>11</v>
      </c>
      <c r="B1062" t="str">
        <f>"КО-315"</f>
        <v>КО-315</v>
      </c>
      <c r="C1062" t="s">
        <v>559</v>
      </c>
      <c r="D1062" t="s">
        <v>2051</v>
      </c>
      <c r="E1062" t="str">
        <f>"4205199585"</f>
        <v>4205199585</v>
      </c>
      <c r="F1062" t="s">
        <v>2070</v>
      </c>
      <c r="G1062" t="s">
        <v>2071</v>
      </c>
      <c r="H1062" t="s">
        <v>2072</v>
      </c>
      <c r="I1062" t="s">
        <v>17</v>
      </c>
      <c r="J1062" t="s">
        <v>21</v>
      </c>
    </row>
    <row r="1063" spans="1:10" hidden="1" x14ac:dyDescent="0.25">
      <c r="A1063" t="s">
        <v>11</v>
      </c>
      <c r="B1063" t="str">
        <f>"КО-322"</f>
        <v>КО-322</v>
      </c>
      <c r="C1063" t="s">
        <v>559</v>
      </c>
      <c r="D1063" t="s">
        <v>2051</v>
      </c>
      <c r="E1063" t="str">
        <f>"4205199585"</f>
        <v>4205199585</v>
      </c>
      <c r="F1063" t="s">
        <v>2070</v>
      </c>
      <c r="G1063" t="s">
        <v>2073</v>
      </c>
      <c r="H1063" t="s">
        <v>2074</v>
      </c>
      <c r="I1063" t="s">
        <v>17</v>
      </c>
      <c r="J1063" t="s">
        <v>21</v>
      </c>
    </row>
    <row r="1064" spans="1:10" hidden="1" x14ac:dyDescent="0.25">
      <c r="A1064" t="s">
        <v>11</v>
      </c>
      <c r="B1064" t="str">
        <f>"ОТ-3004-000021"</f>
        <v>ОТ-3004-000021</v>
      </c>
      <c r="C1064" t="s">
        <v>49</v>
      </c>
      <c r="D1064" t="s">
        <v>2051</v>
      </c>
      <c r="E1064" t="str">
        <f>"7839454551"</f>
        <v>7839454551</v>
      </c>
      <c r="F1064" t="s">
        <v>57</v>
      </c>
      <c r="G1064" t="s">
        <v>837</v>
      </c>
      <c r="H1064" t="s">
        <v>2075</v>
      </c>
      <c r="I1064" t="s">
        <v>17</v>
      </c>
      <c r="J1064" t="s">
        <v>21</v>
      </c>
    </row>
    <row r="1065" spans="1:10" hidden="1" x14ac:dyDescent="0.25">
      <c r="A1065" t="s">
        <v>11</v>
      </c>
      <c r="B1065" t="str">
        <f>"ОТ-3004-000020"</f>
        <v>ОТ-3004-000020</v>
      </c>
      <c r="C1065" t="s">
        <v>49</v>
      </c>
      <c r="D1065" t="s">
        <v>2051</v>
      </c>
      <c r="E1065" t="str">
        <f>"7839454551"</f>
        <v>7839454551</v>
      </c>
      <c r="F1065" t="s">
        <v>57</v>
      </c>
      <c r="G1065" t="s">
        <v>837</v>
      </c>
      <c r="H1065" t="s">
        <v>2076</v>
      </c>
      <c r="I1065" t="s">
        <v>17</v>
      </c>
      <c r="J1065" t="s">
        <v>21</v>
      </c>
    </row>
    <row r="1066" spans="1:10" hidden="1" x14ac:dyDescent="0.25">
      <c r="A1066" t="s">
        <v>11</v>
      </c>
      <c r="B1066" t="str">
        <f>"УТР0166260"</f>
        <v>УТР0166260</v>
      </c>
      <c r="C1066" t="s">
        <v>508</v>
      </c>
      <c r="D1066" t="s">
        <v>2051</v>
      </c>
      <c r="E1066" t="str">
        <f>"7804044258"</f>
        <v>7804044258</v>
      </c>
      <c r="F1066" t="s">
        <v>155</v>
      </c>
      <c r="G1066" t="s">
        <v>2052</v>
      </c>
      <c r="H1066" t="s">
        <v>2077</v>
      </c>
      <c r="I1066" t="s">
        <v>17</v>
      </c>
      <c r="J1066" t="s">
        <v>18</v>
      </c>
    </row>
    <row r="1067" spans="1:10" hidden="1" x14ac:dyDescent="0.25">
      <c r="A1067" t="s">
        <v>11</v>
      </c>
      <c r="B1067" t="str">
        <f>"SR110022879"</f>
        <v>SR110022879</v>
      </c>
      <c r="C1067" t="s">
        <v>12</v>
      </c>
      <c r="D1067" t="s">
        <v>2051</v>
      </c>
      <c r="E1067" t="str">
        <f>"4725006920"</f>
        <v>4725006920</v>
      </c>
      <c r="F1067" t="s">
        <v>101</v>
      </c>
      <c r="G1067" t="s">
        <v>2078</v>
      </c>
      <c r="H1067" t="s">
        <v>2079</v>
      </c>
      <c r="I1067" t="s">
        <v>17</v>
      </c>
      <c r="J1067" t="s">
        <v>18</v>
      </c>
    </row>
    <row r="1068" spans="1:10" hidden="1" x14ac:dyDescent="0.25">
      <c r="A1068" t="s">
        <v>290</v>
      </c>
      <c r="B1068" t="str">
        <f>"54"</f>
        <v>54</v>
      </c>
      <c r="C1068" t="s">
        <v>49</v>
      </c>
      <c r="D1068" t="s">
        <v>2051</v>
      </c>
      <c r="E1068" t="str">
        <f>"6950006259"</f>
        <v>6950006259</v>
      </c>
      <c r="F1068" t="s">
        <v>626</v>
      </c>
      <c r="G1068" t="s">
        <v>627</v>
      </c>
      <c r="H1068" t="s">
        <v>2080</v>
      </c>
      <c r="I1068" t="s">
        <v>17</v>
      </c>
      <c r="J1068" t="s">
        <v>21</v>
      </c>
    </row>
    <row r="1069" spans="1:10" hidden="1" x14ac:dyDescent="0.25">
      <c r="A1069" t="s">
        <v>11</v>
      </c>
      <c r="B1069" t="str">
        <f>"150395/780E"</f>
        <v>150395/780E</v>
      </c>
      <c r="C1069" t="s">
        <v>65</v>
      </c>
      <c r="D1069" t="s">
        <v>2051</v>
      </c>
      <c r="E1069" t="str">
        <f t="shared" ref="E1069:E1089" si="51">"5003052454"</f>
        <v>5003052454</v>
      </c>
      <c r="F1069" t="s">
        <v>14</v>
      </c>
      <c r="G1069" t="s">
        <v>200</v>
      </c>
      <c r="H1069" t="s">
        <v>2081</v>
      </c>
      <c r="I1069" t="s">
        <v>17</v>
      </c>
      <c r="J1069" t="s">
        <v>18</v>
      </c>
    </row>
    <row r="1070" spans="1:10" hidden="1" x14ac:dyDescent="0.25">
      <c r="A1070" t="s">
        <v>11</v>
      </c>
      <c r="B1070" t="str">
        <f>"150397/780E"</f>
        <v>150397/780E</v>
      </c>
      <c r="C1070" t="s">
        <v>65</v>
      </c>
      <c r="D1070" t="s">
        <v>2051</v>
      </c>
      <c r="E1070" t="str">
        <f t="shared" si="51"/>
        <v>5003052454</v>
      </c>
      <c r="F1070" t="s">
        <v>14</v>
      </c>
      <c r="G1070" t="s">
        <v>2082</v>
      </c>
      <c r="H1070" t="s">
        <v>2083</v>
      </c>
      <c r="I1070" t="s">
        <v>17</v>
      </c>
      <c r="J1070" t="s">
        <v>18</v>
      </c>
    </row>
    <row r="1071" spans="1:10" hidden="1" x14ac:dyDescent="0.25">
      <c r="A1071" t="s">
        <v>11</v>
      </c>
      <c r="B1071" t="str">
        <f>"150399/780E"</f>
        <v>150399/780E</v>
      </c>
      <c r="C1071" t="s">
        <v>65</v>
      </c>
      <c r="D1071" t="s">
        <v>2051</v>
      </c>
      <c r="E1071" t="str">
        <f t="shared" si="51"/>
        <v>5003052454</v>
      </c>
      <c r="F1071" t="s">
        <v>14</v>
      </c>
      <c r="G1071" t="s">
        <v>2084</v>
      </c>
      <c r="H1071" t="s">
        <v>2085</v>
      </c>
      <c r="I1071" t="s">
        <v>17</v>
      </c>
      <c r="J1071" t="s">
        <v>18</v>
      </c>
    </row>
    <row r="1072" spans="1:10" hidden="1" x14ac:dyDescent="0.25">
      <c r="A1072" t="s">
        <v>11</v>
      </c>
      <c r="B1072" t="str">
        <f>"150398/780E"</f>
        <v>150398/780E</v>
      </c>
      <c r="C1072" t="s">
        <v>65</v>
      </c>
      <c r="D1072" t="s">
        <v>2051</v>
      </c>
      <c r="E1072" t="str">
        <f t="shared" si="51"/>
        <v>5003052454</v>
      </c>
      <c r="F1072" t="s">
        <v>14</v>
      </c>
      <c r="G1072" t="s">
        <v>2086</v>
      </c>
      <c r="H1072" t="s">
        <v>2087</v>
      </c>
      <c r="I1072" t="s">
        <v>17</v>
      </c>
      <c r="J1072" t="s">
        <v>18</v>
      </c>
    </row>
    <row r="1073" spans="1:10" hidden="1" x14ac:dyDescent="0.25">
      <c r="A1073" t="s">
        <v>11</v>
      </c>
      <c r="B1073" t="str">
        <f>"150396/780E"</f>
        <v>150396/780E</v>
      </c>
      <c r="C1073" t="s">
        <v>65</v>
      </c>
      <c r="D1073" t="s">
        <v>2051</v>
      </c>
      <c r="E1073" t="str">
        <f t="shared" si="51"/>
        <v>5003052454</v>
      </c>
      <c r="F1073" t="s">
        <v>14</v>
      </c>
      <c r="G1073" t="s">
        <v>2088</v>
      </c>
      <c r="H1073" t="s">
        <v>2089</v>
      </c>
      <c r="I1073" t="s">
        <v>17</v>
      </c>
      <c r="J1073" t="s">
        <v>18</v>
      </c>
    </row>
    <row r="1074" spans="1:10" hidden="1" x14ac:dyDescent="0.25">
      <c r="A1074" t="s">
        <v>11</v>
      </c>
      <c r="B1074" t="str">
        <f>"150400/780E"</f>
        <v>150400/780E</v>
      </c>
      <c r="C1074" t="s">
        <v>65</v>
      </c>
      <c r="D1074" t="s">
        <v>2051</v>
      </c>
      <c r="E1074" t="str">
        <f t="shared" si="51"/>
        <v>5003052454</v>
      </c>
      <c r="F1074" t="s">
        <v>14</v>
      </c>
      <c r="G1074" t="s">
        <v>2090</v>
      </c>
      <c r="H1074" t="s">
        <v>2091</v>
      </c>
      <c r="I1074" t="s">
        <v>17</v>
      </c>
      <c r="J1074" t="s">
        <v>18</v>
      </c>
    </row>
    <row r="1075" spans="1:10" hidden="1" x14ac:dyDescent="0.25">
      <c r="A1075" t="s">
        <v>11</v>
      </c>
      <c r="B1075" t="str">
        <f>"150401/780E"</f>
        <v>150401/780E</v>
      </c>
      <c r="C1075" t="s">
        <v>65</v>
      </c>
      <c r="D1075" t="s">
        <v>2051</v>
      </c>
      <c r="E1075" t="str">
        <f t="shared" si="51"/>
        <v>5003052454</v>
      </c>
      <c r="F1075" t="s">
        <v>14</v>
      </c>
      <c r="G1075" t="s">
        <v>2092</v>
      </c>
      <c r="H1075" t="s">
        <v>2093</v>
      </c>
      <c r="I1075" t="s">
        <v>17</v>
      </c>
      <c r="J1075" t="s">
        <v>18</v>
      </c>
    </row>
    <row r="1076" spans="1:10" hidden="1" x14ac:dyDescent="0.25">
      <c r="A1076" t="s">
        <v>11</v>
      </c>
      <c r="B1076" t="str">
        <f>"150402/780E"</f>
        <v>150402/780E</v>
      </c>
      <c r="C1076" t="s">
        <v>65</v>
      </c>
      <c r="D1076" t="s">
        <v>2051</v>
      </c>
      <c r="E1076" t="str">
        <f t="shared" si="51"/>
        <v>5003052454</v>
      </c>
      <c r="F1076" t="s">
        <v>14</v>
      </c>
      <c r="G1076" t="s">
        <v>2094</v>
      </c>
      <c r="H1076" t="s">
        <v>2095</v>
      </c>
      <c r="I1076" t="s">
        <v>17</v>
      </c>
      <c r="J1076" t="s">
        <v>18</v>
      </c>
    </row>
    <row r="1077" spans="1:10" hidden="1" x14ac:dyDescent="0.25">
      <c r="A1077" t="s">
        <v>11</v>
      </c>
      <c r="B1077" t="str">
        <f>"150404/780E"</f>
        <v>150404/780E</v>
      </c>
      <c r="C1077" t="s">
        <v>65</v>
      </c>
      <c r="D1077" t="s">
        <v>2051</v>
      </c>
      <c r="E1077" t="str">
        <f t="shared" si="51"/>
        <v>5003052454</v>
      </c>
      <c r="F1077" t="s">
        <v>14</v>
      </c>
      <c r="G1077" t="s">
        <v>476</v>
      </c>
      <c r="H1077" t="s">
        <v>2096</v>
      </c>
      <c r="I1077" t="s">
        <v>17</v>
      </c>
      <c r="J1077" t="s">
        <v>18</v>
      </c>
    </row>
    <row r="1078" spans="1:10" hidden="1" x14ac:dyDescent="0.25">
      <c r="A1078" t="s">
        <v>11</v>
      </c>
      <c r="B1078" t="str">
        <f>"150403/780E"</f>
        <v>150403/780E</v>
      </c>
      <c r="C1078" t="s">
        <v>65</v>
      </c>
      <c r="D1078" t="s">
        <v>2051</v>
      </c>
      <c r="E1078" t="str">
        <f t="shared" si="51"/>
        <v>5003052454</v>
      </c>
      <c r="F1078" t="s">
        <v>14</v>
      </c>
      <c r="G1078" t="s">
        <v>2097</v>
      </c>
      <c r="H1078" t="s">
        <v>2098</v>
      </c>
      <c r="I1078" t="s">
        <v>17</v>
      </c>
      <c r="J1078" t="s">
        <v>18</v>
      </c>
    </row>
    <row r="1079" spans="1:10" hidden="1" x14ac:dyDescent="0.25">
      <c r="A1079" t="s">
        <v>11</v>
      </c>
      <c r="B1079" t="str">
        <f>"150406/780E"</f>
        <v>150406/780E</v>
      </c>
      <c r="C1079" t="s">
        <v>65</v>
      </c>
      <c r="D1079" t="s">
        <v>2051</v>
      </c>
      <c r="E1079" t="str">
        <f t="shared" si="51"/>
        <v>5003052454</v>
      </c>
      <c r="F1079" t="s">
        <v>14</v>
      </c>
      <c r="G1079" t="s">
        <v>633</v>
      </c>
      <c r="H1079" t="s">
        <v>2099</v>
      </c>
      <c r="I1079" t="s">
        <v>17</v>
      </c>
      <c r="J1079" t="s">
        <v>18</v>
      </c>
    </row>
    <row r="1080" spans="1:10" hidden="1" x14ac:dyDescent="0.25">
      <c r="A1080" t="s">
        <v>11</v>
      </c>
      <c r="B1080" t="str">
        <f>"150405/780E"</f>
        <v>150405/780E</v>
      </c>
      <c r="C1080" t="s">
        <v>65</v>
      </c>
      <c r="D1080" t="s">
        <v>2051</v>
      </c>
      <c r="E1080" t="str">
        <f t="shared" si="51"/>
        <v>5003052454</v>
      </c>
      <c r="F1080" t="s">
        <v>14</v>
      </c>
      <c r="G1080" t="s">
        <v>200</v>
      </c>
      <c r="H1080" t="s">
        <v>2100</v>
      </c>
      <c r="I1080" t="s">
        <v>17</v>
      </c>
      <c r="J1080" t="s">
        <v>18</v>
      </c>
    </row>
    <row r="1081" spans="1:10" hidden="1" x14ac:dyDescent="0.25">
      <c r="A1081" t="s">
        <v>11</v>
      </c>
      <c r="B1081" t="str">
        <f>"150408/780E"</f>
        <v>150408/780E</v>
      </c>
      <c r="C1081" t="s">
        <v>65</v>
      </c>
      <c r="D1081" t="s">
        <v>2051</v>
      </c>
      <c r="E1081" t="str">
        <f t="shared" si="51"/>
        <v>5003052454</v>
      </c>
      <c r="F1081" t="s">
        <v>14</v>
      </c>
      <c r="G1081" t="s">
        <v>2101</v>
      </c>
      <c r="H1081" t="s">
        <v>2102</v>
      </c>
      <c r="I1081" t="s">
        <v>17</v>
      </c>
      <c r="J1081" t="s">
        <v>18</v>
      </c>
    </row>
    <row r="1082" spans="1:10" hidden="1" x14ac:dyDescent="0.25">
      <c r="A1082" t="s">
        <v>11</v>
      </c>
      <c r="B1082" t="str">
        <f>"150409/780E"</f>
        <v>150409/780E</v>
      </c>
      <c r="C1082" t="s">
        <v>65</v>
      </c>
      <c r="D1082" t="s">
        <v>2051</v>
      </c>
      <c r="E1082" t="str">
        <f t="shared" si="51"/>
        <v>5003052454</v>
      </c>
      <c r="F1082" t="s">
        <v>14</v>
      </c>
      <c r="G1082" t="s">
        <v>2103</v>
      </c>
      <c r="H1082" t="s">
        <v>2104</v>
      </c>
      <c r="I1082" t="s">
        <v>17</v>
      </c>
      <c r="J1082" t="s">
        <v>18</v>
      </c>
    </row>
    <row r="1083" spans="1:10" hidden="1" x14ac:dyDescent="0.25">
      <c r="A1083" t="s">
        <v>11</v>
      </c>
      <c r="B1083" t="str">
        <f>"150407/780E"</f>
        <v>150407/780E</v>
      </c>
      <c r="C1083" t="s">
        <v>65</v>
      </c>
      <c r="D1083" t="s">
        <v>2051</v>
      </c>
      <c r="E1083" t="str">
        <f t="shared" si="51"/>
        <v>5003052454</v>
      </c>
      <c r="F1083" t="s">
        <v>14</v>
      </c>
      <c r="G1083" t="s">
        <v>2105</v>
      </c>
      <c r="H1083" t="s">
        <v>2106</v>
      </c>
      <c r="I1083" t="s">
        <v>17</v>
      </c>
      <c r="J1083" t="s">
        <v>18</v>
      </c>
    </row>
    <row r="1084" spans="1:10" hidden="1" x14ac:dyDescent="0.25">
      <c r="A1084" t="s">
        <v>11</v>
      </c>
      <c r="B1084" t="str">
        <f>"150410/780E"</f>
        <v>150410/780E</v>
      </c>
      <c r="C1084" t="s">
        <v>65</v>
      </c>
      <c r="D1084" t="s">
        <v>2051</v>
      </c>
      <c r="E1084" t="str">
        <f t="shared" si="51"/>
        <v>5003052454</v>
      </c>
      <c r="F1084" t="s">
        <v>14</v>
      </c>
      <c r="G1084" t="s">
        <v>2107</v>
      </c>
      <c r="H1084" t="s">
        <v>2108</v>
      </c>
      <c r="I1084" t="s">
        <v>17</v>
      </c>
      <c r="J1084" t="s">
        <v>18</v>
      </c>
    </row>
    <row r="1085" spans="1:10" hidden="1" x14ac:dyDescent="0.25">
      <c r="A1085" t="s">
        <v>11</v>
      </c>
      <c r="B1085" t="str">
        <f>"150412/780E"</f>
        <v>150412/780E</v>
      </c>
      <c r="C1085" t="s">
        <v>65</v>
      </c>
      <c r="D1085" t="s">
        <v>2051</v>
      </c>
      <c r="E1085" t="str">
        <f t="shared" si="51"/>
        <v>5003052454</v>
      </c>
      <c r="F1085" t="s">
        <v>14</v>
      </c>
      <c r="G1085" t="s">
        <v>857</v>
      </c>
      <c r="H1085" t="s">
        <v>2109</v>
      </c>
      <c r="I1085" t="s">
        <v>17</v>
      </c>
      <c r="J1085" t="s">
        <v>18</v>
      </c>
    </row>
    <row r="1086" spans="1:10" hidden="1" x14ac:dyDescent="0.25">
      <c r="A1086" t="s">
        <v>11</v>
      </c>
      <c r="B1086" t="str">
        <f>"150411/780E"</f>
        <v>150411/780E</v>
      </c>
      <c r="C1086" t="s">
        <v>65</v>
      </c>
      <c r="D1086" t="s">
        <v>2051</v>
      </c>
      <c r="E1086" t="str">
        <f t="shared" si="51"/>
        <v>5003052454</v>
      </c>
      <c r="F1086" t="s">
        <v>14</v>
      </c>
      <c r="G1086" t="s">
        <v>2110</v>
      </c>
      <c r="H1086" t="s">
        <v>2111</v>
      </c>
      <c r="I1086" t="s">
        <v>17</v>
      </c>
      <c r="J1086" t="s">
        <v>18</v>
      </c>
    </row>
    <row r="1087" spans="1:10" hidden="1" x14ac:dyDescent="0.25">
      <c r="A1087" t="s">
        <v>11</v>
      </c>
      <c r="B1087" t="str">
        <f>"150413/780E"</f>
        <v>150413/780E</v>
      </c>
      <c r="C1087" t="s">
        <v>65</v>
      </c>
      <c r="D1087" t="s">
        <v>2051</v>
      </c>
      <c r="E1087" t="str">
        <f t="shared" si="51"/>
        <v>5003052454</v>
      </c>
      <c r="F1087" t="s">
        <v>14</v>
      </c>
      <c r="G1087" t="s">
        <v>2112</v>
      </c>
      <c r="H1087" t="s">
        <v>2113</v>
      </c>
      <c r="I1087" t="s">
        <v>17</v>
      </c>
      <c r="J1087" t="s">
        <v>18</v>
      </c>
    </row>
    <row r="1088" spans="1:10" hidden="1" x14ac:dyDescent="0.25">
      <c r="A1088" t="s">
        <v>11</v>
      </c>
      <c r="B1088" t="str">
        <f>"150414/780E"</f>
        <v>150414/780E</v>
      </c>
      <c r="C1088" t="s">
        <v>65</v>
      </c>
      <c r="D1088" t="s">
        <v>2051</v>
      </c>
      <c r="E1088" t="str">
        <f t="shared" si="51"/>
        <v>5003052454</v>
      </c>
      <c r="F1088" t="s">
        <v>14</v>
      </c>
      <c r="G1088" t="s">
        <v>2114</v>
      </c>
      <c r="H1088" t="s">
        <v>2115</v>
      </c>
      <c r="I1088" t="s">
        <v>17</v>
      </c>
      <c r="J1088" t="s">
        <v>18</v>
      </c>
    </row>
    <row r="1089" spans="1:10" hidden="1" x14ac:dyDescent="0.25">
      <c r="A1089" t="s">
        <v>11</v>
      </c>
      <c r="B1089" t="str">
        <f>"150415/780E"</f>
        <v>150415/780E</v>
      </c>
      <c r="C1089" t="s">
        <v>65</v>
      </c>
      <c r="D1089" t="s">
        <v>2051</v>
      </c>
      <c r="E1089" t="str">
        <f t="shared" si="51"/>
        <v>5003052454</v>
      </c>
      <c r="F1089" t="s">
        <v>14</v>
      </c>
      <c r="G1089" t="s">
        <v>2116</v>
      </c>
      <c r="H1089" t="s">
        <v>2117</v>
      </c>
      <c r="I1089" t="s">
        <v>17</v>
      </c>
      <c r="J1089" t="s">
        <v>18</v>
      </c>
    </row>
    <row r="1090" spans="1:10" hidden="1" x14ac:dyDescent="0.25">
      <c r="A1090" t="s">
        <v>11</v>
      </c>
      <c r="B1090" t="str">
        <f>"UT-107026"</f>
        <v>UT-107026</v>
      </c>
      <c r="C1090" t="s">
        <v>65</v>
      </c>
      <c r="D1090" t="s">
        <v>2051</v>
      </c>
      <c r="E1090" t="str">
        <f>"7806385951"</f>
        <v>7806385951</v>
      </c>
      <c r="F1090" t="s">
        <v>26</v>
      </c>
      <c r="G1090" t="s">
        <v>368</v>
      </c>
      <c r="H1090" t="s">
        <v>2118</v>
      </c>
      <c r="I1090" t="s">
        <v>17</v>
      </c>
      <c r="J1090" t="s">
        <v>18</v>
      </c>
    </row>
    <row r="1091" spans="1:10" hidden="1" x14ac:dyDescent="0.25">
      <c r="A1091" t="s">
        <v>11</v>
      </c>
      <c r="B1091" t="str">
        <f>"28285958"</f>
        <v>28285958</v>
      </c>
      <c r="C1091" t="s">
        <v>12</v>
      </c>
      <c r="D1091" t="s">
        <v>2051</v>
      </c>
      <c r="E1091" t="str">
        <f>"7721793895"</f>
        <v>7721793895</v>
      </c>
      <c r="F1091" t="s">
        <v>109</v>
      </c>
      <c r="G1091" t="s">
        <v>2119</v>
      </c>
      <c r="H1091" t="s">
        <v>2120</v>
      </c>
      <c r="I1091" t="s">
        <v>17</v>
      </c>
      <c r="J1091" t="s">
        <v>18</v>
      </c>
    </row>
    <row r="1092" spans="1:10" hidden="1" x14ac:dyDescent="0.25">
      <c r="A1092" t="s">
        <v>11</v>
      </c>
      <c r="B1092" t="str">
        <f>"UT-106971"</f>
        <v>UT-106971</v>
      </c>
      <c r="C1092" t="s">
        <v>65</v>
      </c>
      <c r="D1092" t="s">
        <v>2051</v>
      </c>
      <c r="E1092" t="str">
        <f>"7806385951"</f>
        <v>7806385951</v>
      </c>
      <c r="F1092" t="s">
        <v>26</v>
      </c>
      <c r="G1092" t="s">
        <v>2121</v>
      </c>
      <c r="H1092" t="s">
        <v>2122</v>
      </c>
      <c r="I1092" t="s">
        <v>17</v>
      </c>
      <c r="J1092" t="s">
        <v>18</v>
      </c>
    </row>
    <row r="1093" spans="1:10" hidden="1" x14ac:dyDescent="0.25">
      <c r="A1093" t="s">
        <v>11</v>
      </c>
      <c r="B1093" t="str">
        <f>"UT-107028"</f>
        <v>UT-107028</v>
      </c>
      <c r="C1093" t="s">
        <v>65</v>
      </c>
      <c r="D1093" t="s">
        <v>2051</v>
      </c>
      <c r="E1093" t="str">
        <f>"7806385951"</f>
        <v>7806385951</v>
      </c>
      <c r="F1093" t="s">
        <v>26</v>
      </c>
      <c r="G1093" t="s">
        <v>2123</v>
      </c>
      <c r="H1093" t="s">
        <v>2124</v>
      </c>
      <c r="I1093" t="s">
        <v>17</v>
      </c>
      <c r="J1093" t="s">
        <v>18</v>
      </c>
    </row>
    <row r="1094" spans="1:10" hidden="1" x14ac:dyDescent="0.25">
      <c r="A1094" t="s">
        <v>11</v>
      </c>
      <c r="B1094" t="str">
        <f>"28286152"</f>
        <v>28286152</v>
      </c>
      <c r="C1094" t="s">
        <v>12</v>
      </c>
      <c r="D1094" t="s">
        <v>2051</v>
      </c>
      <c r="E1094" t="str">
        <f>"7721793895"</f>
        <v>7721793895</v>
      </c>
      <c r="F1094" t="s">
        <v>109</v>
      </c>
      <c r="G1094" t="s">
        <v>2125</v>
      </c>
      <c r="H1094" t="s">
        <v>2126</v>
      </c>
      <c r="I1094" t="s">
        <v>17</v>
      </c>
      <c r="J1094" t="s">
        <v>18</v>
      </c>
    </row>
    <row r="1095" spans="1:10" hidden="1" x14ac:dyDescent="0.25">
      <c r="A1095" t="s">
        <v>11</v>
      </c>
      <c r="B1095" t="str">
        <f>"UT-106970"</f>
        <v>UT-106970</v>
      </c>
      <c r="C1095" t="s">
        <v>65</v>
      </c>
      <c r="D1095" t="s">
        <v>2051</v>
      </c>
      <c r="E1095" t="str">
        <f>"7806385951"</f>
        <v>7806385951</v>
      </c>
      <c r="F1095" t="s">
        <v>26</v>
      </c>
      <c r="G1095" t="s">
        <v>2127</v>
      </c>
      <c r="H1095" t="s">
        <v>2128</v>
      </c>
      <c r="I1095" t="s">
        <v>17</v>
      </c>
      <c r="J1095" t="s">
        <v>18</v>
      </c>
    </row>
    <row r="1096" spans="1:10" hidden="1" x14ac:dyDescent="0.25">
      <c r="A1096" t="s">
        <v>11</v>
      </c>
      <c r="B1096" t="str">
        <f>"UT-107027"</f>
        <v>UT-107027</v>
      </c>
      <c r="C1096" t="s">
        <v>65</v>
      </c>
      <c r="D1096" t="s">
        <v>2051</v>
      </c>
      <c r="E1096" t="str">
        <f>"7806385951"</f>
        <v>7806385951</v>
      </c>
      <c r="F1096" t="s">
        <v>26</v>
      </c>
      <c r="G1096" t="s">
        <v>2129</v>
      </c>
      <c r="H1096" t="s">
        <v>2130</v>
      </c>
      <c r="I1096" t="s">
        <v>17</v>
      </c>
      <c r="J1096" t="s">
        <v>18</v>
      </c>
    </row>
    <row r="1097" spans="1:10" hidden="1" x14ac:dyDescent="0.25">
      <c r="A1097" t="s">
        <v>11</v>
      </c>
      <c r="B1097" t="str">
        <f>"SR110023049"</f>
        <v>SR110023049</v>
      </c>
      <c r="C1097" t="s">
        <v>65</v>
      </c>
      <c r="D1097" t="s">
        <v>2051</v>
      </c>
      <c r="E1097" t="str">
        <f>"4725006920"</f>
        <v>4725006920</v>
      </c>
      <c r="F1097" t="s">
        <v>101</v>
      </c>
      <c r="G1097" t="s">
        <v>2131</v>
      </c>
      <c r="H1097" t="s">
        <v>2132</v>
      </c>
      <c r="I1097" t="s">
        <v>17</v>
      </c>
      <c r="J1097" t="s">
        <v>18</v>
      </c>
    </row>
    <row r="1098" spans="1:10" hidden="1" x14ac:dyDescent="0.25">
      <c r="A1098" t="s">
        <v>11</v>
      </c>
      <c r="B1098" t="str">
        <f>"SR110023038"</f>
        <v>SR110023038</v>
      </c>
      <c r="C1098" t="s">
        <v>65</v>
      </c>
      <c r="D1098" t="s">
        <v>2051</v>
      </c>
      <c r="E1098" t="str">
        <f>"4725006920"</f>
        <v>4725006920</v>
      </c>
      <c r="F1098" t="s">
        <v>101</v>
      </c>
      <c r="G1098" t="s">
        <v>2133</v>
      </c>
      <c r="H1098" t="s">
        <v>2134</v>
      </c>
      <c r="I1098" t="s">
        <v>17</v>
      </c>
      <c r="J1098" t="s">
        <v>18</v>
      </c>
    </row>
    <row r="1099" spans="1:10" hidden="1" x14ac:dyDescent="0.25">
      <c r="A1099" t="s">
        <v>11</v>
      </c>
      <c r="B1099" t="str">
        <f>"861"</f>
        <v>861</v>
      </c>
      <c r="C1099" t="s">
        <v>49</v>
      </c>
      <c r="D1099" t="s">
        <v>2051</v>
      </c>
      <c r="E1099" t="str">
        <f>"7704340969"</f>
        <v>7704340969</v>
      </c>
      <c r="F1099" t="s">
        <v>76</v>
      </c>
      <c r="G1099" t="s">
        <v>665</v>
      </c>
      <c r="H1099" t="s">
        <v>2135</v>
      </c>
      <c r="I1099" t="s">
        <v>17</v>
      </c>
      <c r="J1099" t="s">
        <v>21</v>
      </c>
    </row>
    <row r="1100" spans="1:10" hidden="1" x14ac:dyDescent="0.25">
      <c r="A1100" t="s">
        <v>11</v>
      </c>
      <c r="B1100" t="str">
        <f>"895"</f>
        <v>895</v>
      </c>
      <c r="C1100" t="s">
        <v>49</v>
      </c>
      <c r="D1100" t="s">
        <v>2051</v>
      </c>
      <c r="E1100" t="str">
        <f>"7704340969"</f>
        <v>7704340969</v>
      </c>
      <c r="F1100" t="s">
        <v>76</v>
      </c>
      <c r="G1100" t="s">
        <v>669</v>
      </c>
      <c r="H1100" t="s">
        <v>2136</v>
      </c>
      <c r="I1100" t="s">
        <v>17</v>
      </c>
      <c r="J1100" t="s">
        <v>18</v>
      </c>
    </row>
    <row r="1101" spans="1:10" hidden="1" x14ac:dyDescent="0.25">
      <c r="A1101" t="s">
        <v>11</v>
      </c>
      <c r="B1101" t="str">
        <f>"922"</f>
        <v>922</v>
      </c>
      <c r="C1101" t="s">
        <v>49</v>
      </c>
      <c r="D1101" t="s">
        <v>2051</v>
      </c>
      <c r="E1101" t="str">
        <f>"7704340969"</f>
        <v>7704340969</v>
      </c>
      <c r="F1101" t="s">
        <v>76</v>
      </c>
      <c r="G1101" t="s">
        <v>671</v>
      </c>
      <c r="H1101" t="s">
        <v>2137</v>
      </c>
      <c r="I1101" t="s">
        <v>17</v>
      </c>
      <c r="J1101" t="s">
        <v>21</v>
      </c>
    </row>
    <row r="1102" spans="1:10" hidden="1" x14ac:dyDescent="0.25">
      <c r="A1102" t="s">
        <v>11</v>
      </c>
      <c r="B1102" t="str">
        <f>"966"</f>
        <v>966</v>
      </c>
      <c r="C1102" t="s">
        <v>49</v>
      </c>
      <c r="D1102" t="s">
        <v>2051</v>
      </c>
      <c r="E1102" t="str">
        <f>"7704340969"</f>
        <v>7704340969</v>
      </c>
      <c r="F1102" t="s">
        <v>76</v>
      </c>
      <c r="G1102" t="s">
        <v>673</v>
      </c>
      <c r="H1102" t="s">
        <v>2138</v>
      </c>
      <c r="I1102" t="s">
        <v>17</v>
      </c>
      <c r="J1102" t="s">
        <v>21</v>
      </c>
    </row>
    <row r="1103" spans="1:10" hidden="1" x14ac:dyDescent="0.25">
      <c r="A1103" t="s">
        <v>11</v>
      </c>
      <c r="B1103" t="str">
        <f>"2023/40/03/0034319/06"</f>
        <v>2023/40/03/0034319/06</v>
      </c>
      <c r="C1103" t="s">
        <v>12</v>
      </c>
      <c r="D1103" t="s">
        <v>2051</v>
      </c>
      <c r="E1103" t="str">
        <f>"7718151150"</f>
        <v>7718151150</v>
      </c>
      <c r="F1103" t="s">
        <v>54</v>
      </c>
      <c r="G1103" t="s">
        <v>55</v>
      </c>
      <c r="H1103" t="s">
        <v>2139</v>
      </c>
      <c r="I1103" t="s">
        <v>17</v>
      </c>
      <c r="J1103" t="s">
        <v>18</v>
      </c>
    </row>
    <row r="1104" spans="1:10" hidden="1" x14ac:dyDescent="0.25">
      <c r="A1104" t="s">
        <v>11</v>
      </c>
      <c r="B1104" t="str">
        <f>"2023/40/03/0034296/06"</f>
        <v>2023/40/03/0034296/06</v>
      </c>
      <c r="C1104" t="s">
        <v>12</v>
      </c>
      <c r="D1104" t="s">
        <v>2051</v>
      </c>
      <c r="E1104" t="str">
        <f>"7718151150"</f>
        <v>7718151150</v>
      </c>
      <c r="F1104" t="s">
        <v>54</v>
      </c>
      <c r="G1104" t="s">
        <v>745</v>
      </c>
      <c r="H1104" t="s">
        <v>2140</v>
      </c>
      <c r="I1104" t="s">
        <v>17</v>
      </c>
      <c r="J1104" t="s">
        <v>18</v>
      </c>
    </row>
    <row r="1105" spans="1:10" hidden="1" x14ac:dyDescent="0.25">
      <c r="A1105" t="s">
        <v>11</v>
      </c>
      <c r="B1105" t="str">
        <f>"2023/40/03/0034291/06"</f>
        <v>2023/40/03/0034291/06</v>
      </c>
      <c r="C1105" t="s">
        <v>12</v>
      </c>
      <c r="D1105" t="s">
        <v>2051</v>
      </c>
      <c r="E1105" t="str">
        <f>"7718151150"</f>
        <v>7718151150</v>
      </c>
      <c r="F1105" t="s">
        <v>54</v>
      </c>
      <c r="G1105" t="s">
        <v>345</v>
      </c>
      <c r="H1105" t="s">
        <v>2141</v>
      </c>
      <c r="I1105" t="s">
        <v>17</v>
      </c>
      <c r="J1105" t="s">
        <v>18</v>
      </c>
    </row>
    <row r="1106" spans="1:10" hidden="1" x14ac:dyDescent="0.25">
      <c r="A1106" t="s">
        <v>11</v>
      </c>
      <c r="B1106" t="str">
        <f>"28083"</f>
        <v>28083</v>
      </c>
      <c r="C1106" t="s">
        <v>65</v>
      </c>
      <c r="D1106" t="s">
        <v>2051</v>
      </c>
      <c r="E1106" t="str">
        <f t="shared" ref="E1106:E1118" si="52">"7729488999"</f>
        <v>7729488999</v>
      </c>
      <c r="F1106" t="s">
        <v>85</v>
      </c>
      <c r="G1106" t="s">
        <v>2142</v>
      </c>
      <c r="H1106" t="s">
        <v>2143</v>
      </c>
      <c r="I1106" t="s">
        <v>17</v>
      </c>
      <c r="J1106" t="s">
        <v>18</v>
      </c>
    </row>
    <row r="1107" spans="1:10" hidden="1" x14ac:dyDescent="0.25">
      <c r="A1107" t="s">
        <v>11</v>
      </c>
      <c r="B1107" t="str">
        <f>"28065"</f>
        <v>28065</v>
      </c>
      <c r="C1107" t="s">
        <v>65</v>
      </c>
      <c r="D1107" t="s">
        <v>2051</v>
      </c>
      <c r="E1107" t="str">
        <f t="shared" si="52"/>
        <v>7729488999</v>
      </c>
      <c r="F1107" t="s">
        <v>85</v>
      </c>
      <c r="G1107" t="s">
        <v>2144</v>
      </c>
      <c r="H1107" t="s">
        <v>2145</v>
      </c>
      <c r="I1107" t="s">
        <v>17</v>
      </c>
      <c r="J1107" t="s">
        <v>18</v>
      </c>
    </row>
    <row r="1108" spans="1:10" hidden="1" x14ac:dyDescent="0.25">
      <c r="A1108" t="s">
        <v>11</v>
      </c>
      <c r="B1108" t="str">
        <f>"28063"</f>
        <v>28063</v>
      </c>
      <c r="C1108" t="s">
        <v>65</v>
      </c>
      <c r="D1108" t="s">
        <v>2051</v>
      </c>
      <c r="E1108" t="str">
        <f t="shared" si="52"/>
        <v>7729488999</v>
      </c>
      <c r="F1108" t="s">
        <v>85</v>
      </c>
      <c r="G1108" t="s">
        <v>2146</v>
      </c>
      <c r="H1108" t="s">
        <v>2147</v>
      </c>
      <c r="I1108" t="s">
        <v>17</v>
      </c>
      <c r="J1108" t="s">
        <v>18</v>
      </c>
    </row>
    <row r="1109" spans="1:10" hidden="1" x14ac:dyDescent="0.25">
      <c r="A1109" t="s">
        <v>11</v>
      </c>
      <c r="B1109" t="str">
        <f>"27882"</f>
        <v>27882</v>
      </c>
      <c r="C1109" t="s">
        <v>12</v>
      </c>
      <c r="D1109" t="s">
        <v>2051</v>
      </c>
      <c r="E1109" t="str">
        <f t="shared" si="52"/>
        <v>7729488999</v>
      </c>
      <c r="F1109" t="s">
        <v>85</v>
      </c>
      <c r="G1109" t="s">
        <v>2148</v>
      </c>
      <c r="H1109" t="s">
        <v>2149</v>
      </c>
      <c r="I1109" t="s">
        <v>17</v>
      </c>
      <c r="J1109" t="s">
        <v>18</v>
      </c>
    </row>
    <row r="1110" spans="1:10" hidden="1" x14ac:dyDescent="0.25">
      <c r="A1110" t="s">
        <v>11</v>
      </c>
      <c r="B1110" t="str">
        <f>"27881"</f>
        <v>27881</v>
      </c>
      <c r="C1110" t="s">
        <v>12</v>
      </c>
      <c r="D1110" t="s">
        <v>2051</v>
      </c>
      <c r="E1110" t="str">
        <f t="shared" si="52"/>
        <v>7729488999</v>
      </c>
      <c r="F1110" t="s">
        <v>85</v>
      </c>
      <c r="G1110" t="s">
        <v>2150</v>
      </c>
      <c r="H1110" t="s">
        <v>2151</v>
      </c>
      <c r="I1110" t="s">
        <v>17</v>
      </c>
      <c r="J1110" t="s">
        <v>18</v>
      </c>
    </row>
    <row r="1111" spans="1:10" hidden="1" x14ac:dyDescent="0.25">
      <c r="A1111" t="s">
        <v>11</v>
      </c>
      <c r="B1111" t="str">
        <f>"27871"</f>
        <v>27871</v>
      </c>
      <c r="C1111" t="s">
        <v>12</v>
      </c>
      <c r="D1111" t="s">
        <v>2051</v>
      </c>
      <c r="E1111" t="str">
        <f t="shared" si="52"/>
        <v>7729488999</v>
      </c>
      <c r="F1111" t="s">
        <v>85</v>
      </c>
      <c r="G1111" t="s">
        <v>2152</v>
      </c>
      <c r="H1111" t="s">
        <v>2153</v>
      </c>
      <c r="I1111" t="s">
        <v>17</v>
      </c>
      <c r="J1111" t="s">
        <v>18</v>
      </c>
    </row>
    <row r="1112" spans="1:10" hidden="1" x14ac:dyDescent="0.25">
      <c r="A1112" t="s">
        <v>11</v>
      </c>
      <c r="B1112" t="str">
        <f>"27822"</f>
        <v>27822</v>
      </c>
      <c r="C1112" t="s">
        <v>12</v>
      </c>
      <c r="D1112" t="s">
        <v>2051</v>
      </c>
      <c r="E1112" t="str">
        <f t="shared" si="52"/>
        <v>7729488999</v>
      </c>
      <c r="F1112" t="s">
        <v>85</v>
      </c>
      <c r="G1112" t="s">
        <v>2154</v>
      </c>
      <c r="H1112" t="s">
        <v>2155</v>
      </c>
      <c r="I1112" t="s">
        <v>17</v>
      </c>
      <c r="J1112" t="s">
        <v>18</v>
      </c>
    </row>
    <row r="1113" spans="1:10" hidden="1" x14ac:dyDescent="0.25">
      <c r="A1113" t="s">
        <v>11</v>
      </c>
      <c r="B1113" t="str">
        <f>"27820"</f>
        <v>27820</v>
      </c>
      <c r="C1113" t="s">
        <v>12</v>
      </c>
      <c r="D1113" t="s">
        <v>2051</v>
      </c>
      <c r="E1113" t="str">
        <f t="shared" si="52"/>
        <v>7729488999</v>
      </c>
      <c r="F1113" t="s">
        <v>85</v>
      </c>
      <c r="G1113" t="s">
        <v>2156</v>
      </c>
      <c r="H1113" t="s">
        <v>2157</v>
      </c>
      <c r="I1113" t="s">
        <v>17</v>
      </c>
      <c r="J1113" t="s">
        <v>18</v>
      </c>
    </row>
    <row r="1114" spans="1:10" hidden="1" x14ac:dyDescent="0.25">
      <c r="A1114" t="s">
        <v>11</v>
      </c>
      <c r="B1114" t="str">
        <f>"27743"</f>
        <v>27743</v>
      </c>
      <c r="C1114" t="s">
        <v>12</v>
      </c>
      <c r="D1114" t="s">
        <v>2051</v>
      </c>
      <c r="E1114" t="str">
        <f t="shared" si="52"/>
        <v>7729488999</v>
      </c>
      <c r="F1114" t="s">
        <v>85</v>
      </c>
      <c r="G1114" t="s">
        <v>2158</v>
      </c>
      <c r="H1114" t="s">
        <v>2159</v>
      </c>
      <c r="I1114" t="s">
        <v>17</v>
      </c>
      <c r="J1114" t="s">
        <v>18</v>
      </c>
    </row>
    <row r="1115" spans="1:10" hidden="1" x14ac:dyDescent="0.25">
      <c r="A1115" t="s">
        <v>11</v>
      </c>
      <c r="B1115" t="str">
        <f>"27719"</f>
        <v>27719</v>
      </c>
      <c r="C1115" t="s">
        <v>12</v>
      </c>
      <c r="D1115" t="s">
        <v>2051</v>
      </c>
      <c r="E1115" t="str">
        <f t="shared" si="52"/>
        <v>7729488999</v>
      </c>
      <c r="F1115" t="s">
        <v>85</v>
      </c>
      <c r="G1115" t="s">
        <v>2160</v>
      </c>
      <c r="H1115" t="s">
        <v>2161</v>
      </c>
      <c r="I1115" t="s">
        <v>17</v>
      </c>
      <c r="J1115" t="s">
        <v>18</v>
      </c>
    </row>
    <row r="1116" spans="1:10" hidden="1" x14ac:dyDescent="0.25">
      <c r="A1116" t="s">
        <v>11</v>
      </c>
      <c r="B1116" t="str">
        <f>"27712"</f>
        <v>27712</v>
      </c>
      <c r="C1116" t="s">
        <v>12</v>
      </c>
      <c r="D1116" t="s">
        <v>2051</v>
      </c>
      <c r="E1116" t="str">
        <f t="shared" si="52"/>
        <v>7729488999</v>
      </c>
      <c r="F1116" t="s">
        <v>85</v>
      </c>
      <c r="G1116" t="s">
        <v>2162</v>
      </c>
      <c r="H1116" t="s">
        <v>2163</v>
      </c>
      <c r="I1116" t="s">
        <v>17</v>
      </c>
      <c r="J1116" t="s">
        <v>18</v>
      </c>
    </row>
    <row r="1117" spans="1:10" hidden="1" x14ac:dyDescent="0.25">
      <c r="A1117" t="s">
        <v>11</v>
      </c>
      <c r="B1117" t="str">
        <f>"27702"</f>
        <v>27702</v>
      </c>
      <c r="C1117" t="s">
        <v>12</v>
      </c>
      <c r="D1117" t="s">
        <v>2051</v>
      </c>
      <c r="E1117" t="str">
        <f t="shared" si="52"/>
        <v>7729488999</v>
      </c>
      <c r="F1117" t="s">
        <v>85</v>
      </c>
      <c r="G1117" t="s">
        <v>1904</v>
      </c>
      <c r="H1117" t="s">
        <v>2164</v>
      </c>
      <c r="I1117" t="s">
        <v>17</v>
      </c>
      <c r="J1117" t="s">
        <v>18</v>
      </c>
    </row>
    <row r="1118" spans="1:10" hidden="1" x14ac:dyDescent="0.25">
      <c r="A1118" t="s">
        <v>11</v>
      </c>
      <c r="B1118" t="str">
        <f>"27664"</f>
        <v>27664</v>
      </c>
      <c r="C1118" t="s">
        <v>12</v>
      </c>
      <c r="D1118" t="s">
        <v>2051</v>
      </c>
      <c r="E1118" t="str">
        <f t="shared" si="52"/>
        <v>7729488999</v>
      </c>
      <c r="F1118" t="s">
        <v>85</v>
      </c>
      <c r="G1118" t="s">
        <v>2165</v>
      </c>
      <c r="H1118" t="s">
        <v>2166</v>
      </c>
      <c r="I1118" t="s">
        <v>17</v>
      </c>
      <c r="J1118" t="s">
        <v>18</v>
      </c>
    </row>
    <row r="1119" spans="1:10" hidden="1" x14ac:dyDescent="0.25">
      <c r="A1119" t="s">
        <v>11</v>
      </c>
      <c r="B1119" t="str">
        <f>"АРРО0503/08"</f>
        <v>АРРО0503/08</v>
      </c>
      <c r="C1119" t="s">
        <v>65</v>
      </c>
      <c r="D1119" t="s">
        <v>2051</v>
      </c>
      <c r="E1119" t="str">
        <f>"7735126034"</f>
        <v>7735126034</v>
      </c>
      <c r="F1119" t="s">
        <v>131</v>
      </c>
      <c r="G1119" t="s">
        <v>2167</v>
      </c>
      <c r="H1119" t="s">
        <v>2168</v>
      </c>
      <c r="I1119" t="s">
        <v>17</v>
      </c>
      <c r="J1119" t="s">
        <v>18</v>
      </c>
    </row>
    <row r="1120" spans="1:10" hidden="1" x14ac:dyDescent="0.25">
      <c r="A1120" t="s">
        <v>11</v>
      </c>
      <c r="B1120" t="str">
        <f>"АРРО0503/10"</f>
        <v>АРРО0503/10</v>
      </c>
      <c r="C1120" t="s">
        <v>65</v>
      </c>
      <c r="D1120" t="s">
        <v>2051</v>
      </c>
      <c r="E1120" t="str">
        <f>"7735126034"</f>
        <v>7735126034</v>
      </c>
      <c r="F1120" t="s">
        <v>131</v>
      </c>
      <c r="G1120" t="s">
        <v>2169</v>
      </c>
      <c r="H1120" t="s">
        <v>2170</v>
      </c>
      <c r="I1120" t="s">
        <v>17</v>
      </c>
      <c r="J1120" t="s">
        <v>18</v>
      </c>
    </row>
    <row r="1121" spans="1:10" hidden="1" x14ac:dyDescent="0.25">
      <c r="A1121" t="s">
        <v>11</v>
      </c>
      <c r="B1121" t="str">
        <f>"106"</f>
        <v>106</v>
      </c>
      <c r="C1121" t="s">
        <v>49</v>
      </c>
      <c r="D1121" t="s">
        <v>2051</v>
      </c>
      <c r="E1121" t="str">
        <f>"7743128596"</f>
        <v>7743128596</v>
      </c>
      <c r="F1121" t="s">
        <v>351</v>
      </c>
      <c r="G1121" t="s">
        <v>352</v>
      </c>
      <c r="H1121" t="s">
        <v>2171</v>
      </c>
      <c r="I1121" t="s">
        <v>17</v>
      </c>
      <c r="J1121" t="s">
        <v>18</v>
      </c>
    </row>
    <row r="1122" spans="1:10" hidden="1" x14ac:dyDescent="0.25">
      <c r="A1122" t="s">
        <v>11</v>
      </c>
      <c r="B1122" t="str">
        <f>"АРРО0503/12"</f>
        <v>АРРО0503/12</v>
      </c>
      <c r="C1122" t="s">
        <v>65</v>
      </c>
      <c r="D1122" t="s">
        <v>2051</v>
      </c>
      <c r="E1122" t="str">
        <f>"7735126034"</f>
        <v>7735126034</v>
      </c>
      <c r="F1122" t="s">
        <v>131</v>
      </c>
      <c r="G1122" t="s">
        <v>2172</v>
      </c>
      <c r="H1122" t="s">
        <v>2173</v>
      </c>
      <c r="I1122" t="s">
        <v>17</v>
      </c>
      <c r="J1122" t="s">
        <v>18</v>
      </c>
    </row>
    <row r="1123" spans="1:10" hidden="1" x14ac:dyDescent="0.25">
      <c r="A1123" t="s">
        <v>11</v>
      </c>
      <c r="B1123" t="str">
        <f>"УТ-405-000092"</f>
        <v>УТ-405-000092</v>
      </c>
      <c r="C1123" t="s">
        <v>100</v>
      </c>
      <c r="D1123" t="s">
        <v>2051</v>
      </c>
      <c r="E1123" t="str">
        <f t="shared" ref="E1123:E1128" si="53">"7839454551"</f>
        <v>7839454551</v>
      </c>
      <c r="F1123" t="s">
        <v>57</v>
      </c>
      <c r="G1123" t="s">
        <v>2174</v>
      </c>
      <c r="H1123" t="s">
        <v>2175</v>
      </c>
      <c r="I1123" t="s">
        <v>17</v>
      </c>
      <c r="J1123" t="s">
        <v>18</v>
      </c>
    </row>
    <row r="1124" spans="1:10" hidden="1" x14ac:dyDescent="0.25">
      <c r="A1124" t="s">
        <v>11</v>
      </c>
      <c r="B1124" t="str">
        <f>"УТ-405-000086"</f>
        <v>УТ-405-000086</v>
      </c>
      <c r="C1124" t="s">
        <v>100</v>
      </c>
      <c r="D1124" t="s">
        <v>2051</v>
      </c>
      <c r="E1124" t="str">
        <f t="shared" si="53"/>
        <v>7839454551</v>
      </c>
      <c r="F1124" t="s">
        <v>57</v>
      </c>
      <c r="G1124" t="s">
        <v>2176</v>
      </c>
      <c r="H1124" t="s">
        <v>2177</v>
      </c>
      <c r="I1124" t="s">
        <v>17</v>
      </c>
      <c r="J1124" t="s">
        <v>18</v>
      </c>
    </row>
    <row r="1125" spans="1:10" hidden="1" x14ac:dyDescent="0.25">
      <c r="A1125" t="s">
        <v>11</v>
      </c>
      <c r="B1125" t="str">
        <f>"УТ-405-000085"</f>
        <v>УТ-405-000085</v>
      </c>
      <c r="C1125" t="s">
        <v>100</v>
      </c>
      <c r="D1125" t="s">
        <v>2051</v>
      </c>
      <c r="E1125" t="str">
        <f t="shared" si="53"/>
        <v>7839454551</v>
      </c>
      <c r="F1125" t="s">
        <v>57</v>
      </c>
      <c r="G1125" t="s">
        <v>2178</v>
      </c>
      <c r="H1125" t="s">
        <v>2179</v>
      </c>
      <c r="I1125" t="s">
        <v>17</v>
      </c>
      <c r="J1125" t="s">
        <v>18</v>
      </c>
    </row>
    <row r="1126" spans="1:10" hidden="1" x14ac:dyDescent="0.25">
      <c r="A1126" t="s">
        <v>11</v>
      </c>
      <c r="B1126" t="str">
        <f>"УТ-405-000084"</f>
        <v>УТ-405-000084</v>
      </c>
      <c r="C1126" t="s">
        <v>100</v>
      </c>
      <c r="D1126" t="s">
        <v>2051</v>
      </c>
      <c r="E1126" t="str">
        <f t="shared" si="53"/>
        <v>7839454551</v>
      </c>
      <c r="F1126" t="s">
        <v>57</v>
      </c>
      <c r="G1126" t="s">
        <v>2180</v>
      </c>
      <c r="H1126" t="s">
        <v>2181</v>
      </c>
      <c r="I1126" t="s">
        <v>17</v>
      </c>
      <c r="J1126" t="s">
        <v>18</v>
      </c>
    </row>
    <row r="1127" spans="1:10" hidden="1" x14ac:dyDescent="0.25">
      <c r="A1127" t="s">
        <v>11</v>
      </c>
      <c r="B1127" t="str">
        <f>"УТ-405-000080"</f>
        <v>УТ-405-000080</v>
      </c>
      <c r="C1127" t="s">
        <v>100</v>
      </c>
      <c r="D1127" t="s">
        <v>2051</v>
      </c>
      <c r="E1127" t="str">
        <f t="shared" si="53"/>
        <v>7839454551</v>
      </c>
      <c r="F1127" t="s">
        <v>57</v>
      </c>
      <c r="G1127" t="s">
        <v>2182</v>
      </c>
      <c r="H1127" t="s">
        <v>2183</v>
      </c>
      <c r="I1127" t="s">
        <v>17</v>
      </c>
      <c r="J1127" t="s">
        <v>18</v>
      </c>
    </row>
    <row r="1128" spans="1:10" hidden="1" x14ac:dyDescent="0.25">
      <c r="A1128" t="s">
        <v>11</v>
      </c>
      <c r="B1128" t="str">
        <f>"УТ-405-000070"</f>
        <v>УТ-405-000070</v>
      </c>
      <c r="C1128" t="s">
        <v>100</v>
      </c>
      <c r="D1128" t="s">
        <v>2051</v>
      </c>
      <c r="E1128" t="str">
        <f t="shared" si="53"/>
        <v>7839454551</v>
      </c>
      <c r="F1128" t="s">
        <v>57</v>
      </c>
      <c r="G1128" t="s">
        <v>709</v>
      </c>
      <c r="H1128" t="s">
        <v>2184</v>
      </c>
      <c r="I1128" t="s">
        <v>17</v>
      </c>
      <c r="J1128" t="s">
        <v>18</v>
      </c>
    </row>
    <row r="1129" spans="1:10" hidden="1" x14ac:dyDescent="0.25">
      <c r="A1129" t="s">
        <v>11</v>
      </c>
      <c r="B1129" t="str">
        <f>"161"</f>
        <v>161</v>
      </c>
      <c r="C1129" t="s">
        <v>49</v>
      </c>
      <c r="D1129" t="s">
        <v>2051</v>
      </c>
      <c r="E1129" t="str">
        <f>"7702392168"</f>
        <v>7702392168</v>
      </c>
      <c r="F1129" t="s">
        <v>97</v>
      </c>
      <c r="G1129" t="s">
        <v>2185</v>
      </c>
      <c r="H1129" t="s">
        <v>2186</v>
      </c>
      <c r="I1129" t="s">
        <v>17</v>
      </c>
      <c r="J1129" t="s">
        <v>21</v>
      </c>
    </row>
    <row r="1130" spans="1:10" hidden="1" x14ac:dyDescent="0.25">
      <c r="A1130" t="s">
        <v>11</v>
      </c>
      <c r="B1130" t="str">
        <f>"152618/780E"</f>
        <v>152618/780E</v>
      </c>
      <c r="C1130" t="s">
        <v>100</v>
      </c>
      <c r="D1130" t="s">
        <v>2051</v>
      </c>
      <c r="E1130" t="str">
        <f>"5003052454"</f>
        <v>5003052454</v>
      </c>
      <c r="F1130" t="s">
        <v>14</v>
      </c>
      <c r="G1130" t="s">
        <v>200</v>
      </c>
      <c r="H1130" t="s">
        <v>2187</v>
      </c>
      <c r="I1130" t="s">
        <v>17</v>
      </c>
      <c r="J1130" t="s">
        <v>18</v>
      </c>
    </row>
    <row r="1131" spans="1:10" hidden="1" x14ac:dyDescent="0.25">
      <c r="A1131" t="s">
        <v>11</v>
      </c>
      <c r="B1131" t="str">
        <f>"152617/780E"</f>
        <v>152617/780E</v>
      </c>
      <c r="C1131" t="s">
        <v>100</v>
      </c>
      <c r="D1131" t="s">
        <v>2051</v>
      </c>
      <c r="E1131" t="str">
        <f>"5003052454"</f>
        <v>5003052454</v>
      </c>
      <c r="F1131" t="s">
        <v>14</v>
      </c>
      <c r="G1131" t="s">
        <v>2188</v>
      </c>
      <c r="H1131" t="s">
        <v>2189</v>
      </c>
      <c r="I1131" t="s">
        <v>17</v>
      </c>
      <c r="J1131" t="s">
        <v>18</v>
      </c>
    </row>
    <row r="1132" spans="1:10" hidden="1" x14ac:dyDescent="0.25">
      <c r="A1132" t="s">
        <v>11</v>
      </c>
      <c r="B1132" t="str">
        <f>"152640/780E"</f>
        <v>152640/780E</v>
      </c>
      <c r="C1132" t="s">
        <v>100</v>
      </c>
      <c r="D1132" t="s">
        <v>2051</v>
      </c>
      <c r="E1132" t="str">
        <f>"5003052454"</f>
        <v>5003052454</v>
      </c>
      <c r="F1132" t="s">
        <v>14</v>
      </c>
      <c r="G1132" t="s">
        <v>2190</v>
      </c>
      <c r="H1132" t="s">
        <v>2191</v>
      </c>
      <c r="I1132" t="s">
        <v>17</v>
      </c>
      <c r="J1132" t="s">
        <v>18</v>
      </c>
    </row>
    <row r="1133" spans="1:10" hidden="1" x14ac:dyDescent="0.25">
      <c r="A1133" t="s">
        <v>11</v>
      </c>
      <c r="B1133" t="str">
        <f>"152641/780E"</f>
        <v>152641/780E</v>
      </c>
      <c r="C1133" t="s">
        <v>100</v>
      </c>
      <c r="D1133" t="s">
        <v>2051</v>
      </c>
      <c r="E1133" t="str">
        <f>"5003052454"</f>
        <v>5003052454</v>
      </c>
      <c r="F1133" t="s">
        <v>14</v>
      </c>
      <c r="G1133" t="s">
        <v>2192</v>
      </c>
      <c r="H1133" t="s">
        <v>2193</v>
      </c>
      <c r="I1133" t="s">
        <v>17</v>
      </c>
      <c r="J1133" t="s">
        <v>18</v>
      </c>
    </row>
    <row r="1134" spans="1:10" hidden="1" x14ac:dyDescent="0.25">
      <c r="A1134" t="s">
        <v>11</v>
      </c>
      <c r="B1134" t="str">
        <f>"SR110023382"</f>
        <v>SR110023382</v>
      </c>
      <c r="C1134" t="s">
        <v>100</v>
      </c>
      <c r="D1134" t="s">
        <v>2051</v>
      </c>
      <c r="E1134" t="str">
        <f>"4725006920"</f>
        <v>4725006920</v>
      </c>
      <c r="F1134" t="s">
        <v>101</v>
      </c>
      <c r="G1134" t="s">
        <v>2194</v>
      </c>
      <c r="H1134" t="s">
        <v>2195</v>
      </c>
      <c r="I1134" t="s">
        <v>17</v>
      </c>
      <c r="J1134" t="s">
        <v>18</v>
      </c>
    </row>
    <row r="1135" spans="1:10" hidden="1" x14ac:dyDescent="0.25">
      <c r="A1135" t="s">
        <v>11</v>
      </c>
      <c r="B1135" t="str">
        <f>"SR110023392"</f>
        <v>SR110023392</v>
      </c>
      <c r="C1135" t="s">
        <v>100</v>
      </c>
      <c r="D1135" t="s">
        <v>2051</v>
      </c>
      <c r="E1135" t="str">
        <f>"4725006920"</f>
        <v>4725006920</v>
      </c>
      <c r="F1135" t="s">
        <v>101</v>
      </c>
      <c r="G1135" t="s">
        <v>1941</v>
      </c>
      <c r="H1135" t="s">
        <v>2196</v>
      </c>
      <c r="I1135" t="s">
        <v>17</v>
      </c>
      <c r="J1135" t="s">
        <v>18</v>
      </c>
    </row>
    <row r="1136" spans="1:10" hidden="1" x14ac:dyDescent="0.25">
      <c r="A1136" t="s">
        <v>11</v>
      </c>
      <c r="B1136" t="str">
        <f>"7810/8174463816"</f>
        <v>7810/8174463816</v>
      </c>
      <c r="C1136" t="s">
        <v>100</v>
      </c>
      <c r="D1136" t="s">
        <v>2051</v>
      </c>
      <c r="E1136" t="str">
        <f>"5032260402"</f>
        <v>5032260402</v>
      </c>
      <c r="F1136" t="s">
        <v>341</v>
      </c>
      <c r="G1136" t="s">
        <v>2197</v>
      </c>
      <c r="H1136" t="s">
        <v>2198</v>
      </c>
      <c r="I1136" t="s">
        <v>17</v>
      </c>
      <c r="J1136" t="s">
        <v>18</v>
      </c>
    </row>
    <row r="1137" spans="1:10" hidden="1" x14ac:dyDescent="0.25">
      <c r="A1137" t="s">
        <v>11</v>
      </c>
      <c r="B1137" t="str">
        <f>"2023/40/03/0034913/06"</f>
        <v>2023/40/03/0034913/06</v>
      </c>
      <c r="C1137" t="s">
        <v>65</v>
      </c>
      <c r="D1137" t="s">
        <v>2051</v>
      </c>
      <c r="E1137" t="str">
        <f>"7718151150"</f>
        <v>7718151150</v>
      </c>
      <c r="F1137" t="s">
        <v>54</v>
      </c>
      <c r="G1137" t="s">
        <v>1439</v>
      </c>
      <c r="H1137" t="s">
        <v>2199</v>
      </c>
      <c r="I1137" t="s">
        <v>17</v>
      </c>
      <c r="J1137" t="s">
        <v>18</v>
      </c>
    </row>
    <row r="1138" spans="1:10" hidden="1" x14ac:dyDescent="0.25">
      <c r="A1138" t="s">
        <v>11</v>
      </c>
      <c r="B1138" t="str">
        <f>"АРРО0504/01"</f>
        <v>АРРО0504/01</v>
      </c>
      <c r="C1138" t="s">
        <v>100</v>
      </c>
      <c r="D1138" t="s">
        <v>2051</v>
      </c>
      <c r="E1138" t="str">
        <f>"7735126034"</f>
        <v>7735126034</v>
      </c>
      <c r="F1138" t="s">
        <v>131</v>
      </c>
      <c r="G1138" t="s">
        <v>2200</v>
      </c>
      <c r="H1138" t="s">
        <v>2201</v>
      </c>
      <c r="I1138" t="s">
        <v>17</v>
      </c>
      <c r="J1138" t="s">
        <v>18</v>
      </c>
    </row>
    <row r="1139" spans="1:10" hidden="1" x14ac:dyDescent="0.25">
      <c r="A1139" t="s">
        <v>11</v>
      </c>
      <c r="B1139" t="str">
        <f>"UT-109501"</f>
        <v>UT-109501</v>
      </c>
      <c r="C1139" t="s">
        <v>106</v>
      </c>
      <c r="D1139" t="s">
        <v>2051</v>
      </c>
      <c r="E1139" t="str">
        <f t="shared" ref="E1139:E1151" si="54">"7806385951"</f>
        <v>7806385951</v>
      </c>
      <c r="F1139" t="s">
        <v>26</v>
      </c>
      <c r="G1139" t="s">
        <v>2202</v>
      </c>
      <c r="H1139" t="s">
        <v>2203</v>
      </c>
      <c r="I1139" t="s">
        <v>17</v>
      </c>
      <c r="J1139" t="s">
        <v>18</v>
      </c>
    </row>
    <row r="1140" spans="1:10" hidden="1" x14ac:dyDescent="0.25">
      <c r="A1140" t="s">
        <v>11</v>
      </c>
      <c r="B1140" t="str">
        <f>"UT-109506"</f>
        <v>UT-109506</v>
      </c>
      <c r="C1140" t="s">
        <v>106</v>
      </c>
      <c r="D1140" t="s">
        <v>2051</v>
      </c>
      <c r="E1140" t="str">
        <f t="shared" si="54"/>
        <v>7806385951</v>
      </c>
      <c r="F1140" t="s">
        <v>26</v>
      </c>
      <c r="G1140" t="s">
        <v>2204</v>
      </c>
      <c r="H1140" t="s">
        <v>2205</v>
      </c>
      <c r="I1140" t="s">
        <v>17</v>
      </c>
      <c r="J1140" t="s">
        <v>18</v>
      </c>
    </row>
    <row r="1141" spans="1:10" hidden="1" x14ac:dyDescent="0.25">
      <c r="A1141" t="s">
        <v>11</v>
      </c>
      <c r="B1141" t="str">
        <f>"UT-109658"</f>
        <v>UT-109658</v>
      </c>
      <c r="C1141" t="s">
        <v>106</v>
      </c>
      <c r="D1141" t="s">
        <v>2051</v>
      </c>
      <c r="E1141" t="str">
        <f t="shared" si="54"/>
        <v>7806385951</v>
      </c>
      <c r="F1141" t="s">
        <v>26</v>
      </c>
      <c r="G1141" t="s">
        <v>2206</v>
      </c>
      <c r="H1141" t="s">
        <v>2207</v>
      </c>
      <c r="I1141" t="s">
        <v>17</v>
      </c>
      <c r="J1141" t="s">
        <v>18</v>
      </c>
    </row>
    <row r="1142" spans="1:10" hidden="1" x14ac:dyDescent="0.25">
      <c r="A1142" t="s">
        <v>11</v>
      </c>
      <c r="B1142" t="str">
        <f>"UT-109502"</f>
        <v>UT-109502</v>
      </c>
      <c r="C1142" t="s">
        <v>106</v>
      </c>
      <c r="D1142" t="s">
        <v>2051</v>
      </c>
      <c r="E1142" t="str">
        <f t="shared" si="54"/>
        <v>7806385951</v>
      </c>
      <c r="F1142" t="s">
        <v>26</v>
      </c>
      <c r="G1142" t="s">
        <v>2208</v>
      </c>
      <c r="H1142" t="s">
        <v>2209</v>
      </c>
      <c r="I1142" t="s">
        <v>17</v>
      </c>
      <c r="J1142" t="s">
        <v>18</v>
      </c>
    </row>
    <row r="1143" spans="1:10" hidden="1" x14ac:dyDescent="0.25">
      <c r="A1143" t="s">
        <v>11</v>
      </c>
      <c r="B1143" t="str">
        <f>"UT-109505"</f>
        <v>UT-109505</v>
      </c>
      <c r="C1143" t="s">
        <v>106</v>
      </c>
      <c r="D1143" t="s">
        <v>2051</v>
      </c>
      <c r="E1143" t="str">
        <f t="shared" si="54"/>
        <v>7806385951</v>
      </c>
      <c r="F1143" t="s">
        <v>26</v>
      </c>
      <c r="G1143" t="s">
        <v>2210</v>
      </c>
      <c r="H1143" t="s">
        <v>2211</v>
      </c>
      <c r="I1143" t="s">
        <v>17</v>
      </c>
      <c r="J1143" t="s">
        <v>18</v>
      </c>
    </row>
    <row r="1144" spans="1:10" hidden="1" x14ac:dyDescent="0.25">
      <c r="A1144" t="s">
        <v>11</v>
      </c>
      <c r="B1144" t="str">
        <f>"UT-109507"</f>
        <v>UT-109507</v>
      </c>
      <c r="C1144" t="s">
        <v>106</v>
      </c>
      <c r="D1144" t="s">
        <v>2051</v>
      </c>
      <c r="E1144" t="str">
        <f t="shared" si="54"/>
        <v>7806385951</v>
      </c>
      <c r="F1144" t="s">
        <v>26</v>
      </c>
      <c r="G1144" t="s">
        <v>2212</v>
      </c>
      <c r="H1144" t="s">
        <v>2213</v>
      </c>
      <c r="I1144" t="s">
        <v>17</v>
      </c>
      <c r="J1144" t="s">
        <v>18</v>
      </c>
    </row>
    <row r="1145" spans="1:10" hidden="1" x14ac:dyDescent="0.25">
      <c r="A1145" t="s">
        <v>11</v>
      </c>
      <c r="B1145" t="str">
        <f>"UT-109534"</f>
        <v>UT-109534</v>
      </c>
      <c r="C1145" t="s">
        <v>106</v>
      </c>
      <c r="D1145" t="s">
        <v>2051</v>
      </c>
      <c r="E1145" t="str">
        <f t="shared" si="54"/>
        <v>7806385951</v>
      </c>
      <c r="F1145" t="s">
        <v>26</v>
      </c>
      <c r="G1145" t="s">
        <v>2214</v>
      </c>
      <c r="H1145" t="s">
        <v>2215</v>
      </c>
      <c r="I1145" t="s">
        <v>17</v>
      </c>
      <c r="J1145" t="s">
        <v>18</v>
      </c>
    </row>
    <row r="1146" spans="1:10" hidden="1" x14ac:dyDescent="0.25">
      <c r="A1146" t="s">
        <v>11</v>
      </c>
      <c r="B1146" t="str">
        <f>"UT-109662"</f>
        <v>UT-109662</v>
      </c>
      <c r="C1146" t="s">
        <v>106</v>
      </c>
      <c r="D1146" t="s">
        <v>2051</v>
      </c>
      <c r="E1146" t="str">
        <f t="shared" si="54"/>
        <v>7806385951</v>
      </c>
      <c r="F1146" t="s">
        <v>26</v>
      </c>
      <c r="G1146" t="s">
        <v>2216</v>
      </c>
      <c r="H1146" t="s">
        <v>2217</v>
      </c>
      <c r="I1146" t="s">
        <v>17</v>
      </c>
      <c r="J1146" t="s">
        <v>18</v>
      </c>
    </row>
    <row r="1147" spans="1:10" hidden="1" x14ac:dyDescent="0.25">
      <c r="A1147" t="s">
        <v>11</v>
      </c>
      <c r="B1147" t="str">
        <f>"UT-109664"</f>
        <v>UT-109664</v>
      </c>
      <c r="C1147" t="s">
        <v>106</v>
      </c>
      <c r="D1147" t="s">
        <v>2051</v>
      </c>
      <c r="E1147" t="str">
        <f t="shared" si="54"/>
        <v>7806385951</v>
      </c>
      <c r="F1147" t="s">
        <v>26</v>
      </c>
      <c r="G1147" t="s">
        <v>2218</v>
      </c>
      <c r="H1147" t="s">
        <v>2219</v>
      </c>
      <c r="I1147" t="s">
        <v>17</v>
      </c>
      <c r="J1147" t="s">
        <v>18</v>
      </c>
    </row>
    <row r="1148" spans="1:10" hidden="1" x14ac:dyDescent="0.25">
      <c r="A1148" t="s">
        <v>11</v>
      </c>
      <c r="B1148" t="str">
        <f>"UT-109504"</f>
        <v>UT-109504</v>
      </c>
      <c r="C1148" t="s">
        <v>106</v>
      </c>
      <c r="D1148" t="s">
        <v>2051</v>
      </c>
      <c r="E1148" t="str">
        <f t="shared" si="54"/>
        <v>7806385951</v>
      </c>
      <c r="F1148" t="s">
        <v>26</v>
      </c>
      <c r="G1148" t="s">
        <v>2220</v>
      </c>
      <c r="H1148" t="s">
        <v>2221</v>
      </c>
      <c r="I1148" t="s">
        <v>17</v>
      </c>
      <c r="J1148" t="s">
        <v>18</v>
      </c>
    </row>
    <row r="1149" spans="1:10" hidden="1" x14ac:dyDescent="0.25">
      <c r="A1149" t="s">
        <v>11</v>
      </c>
      <c r="B1149" t="str">
        <f>"UT-109659"</f>
        <v>UT-109659</v>
      </c>
      <c r="C1149" t="s">
        <v>106</v>
      </c>
      <c r="D1149" t="s">
        <v>2051</v>
      </c>
      <c r="E1149" t="str">
        <f t="shared" si="54"/>
        <v>7806385951</v>
      </c>
      <c r="F1149" t="s">
        <v>26</v>
      </c>
      <c r="G1149" t="s">
        <v>2222</v>
      </c>
      <c r="H1149" t="s">
        <v>2223</v>
      </c>
      <c r="I1149" t="s">
        <v>17</v>
      </c>
      <c r="J1149" t="s">
        <v>18</v>
      </c>
    </row>
    <row r="1150" spans="1:10" hidden="1" x14ac:dyDescent="0.25">
      <c r="A1150" t="s">
        <v>11</v>
      </c>
      <c r="B1150" t="str">
        <f>"UT-109661"</f>
        <v>UT-109661</v>
      </c>
      <c r="C1150" t="s">
        <v>106</v>
      </c>
      <c r="D1150" t="s">
        <v>2051</v>
      </c>
      <c r="E1150" t="str">
        <f t="shared" si="54"/>
        <v>7806385951</v>
      </c>
      <c r="F1150" t="s">
        <v>26</v>
      </c>
      <c r="G1150" t="s">
        <v>2224</v>
      </c>
      <c r="H1150" t="s">
        <v>2225</v>
      </c>
      <c r="I1150" t="s">
        <v>17</v>
      </c>
      <c r="J1150" t="s">
        <v>18</v>
      </c>
    </row>
    <row r="1151" spans="1:10" hidden="1" x14ac:dyDescent="0.25">
      <c r="A1151" t="s">
        <v>11</v>
      </c>
      <c r="B1151" t="str">
        <f>"UT-109657"</f>
        <v>UT-109657</v>
      </c>
      <c r="C1151" t="s">
        <v>106</v>
      </c>
      <c r="D1151" t="s">
        <v>2051</v>
      </c>
      <c r="E1151" t="str">
        <f t="shared" si="54"/>
        <v>7806385951</v>
      </c>
      <c r="F1151" t="s">
        <v>26</v>
      </c>
      <c r="G1151" t="s">
        <v>2226</v>
      </c>
      <c r="H1151" t="s">
        <v>2227</v>
      </c>
      <c r="I1151" t="s">
        <v>17</v>
      </c>
      <c r="J1151" t="s">
        <v>18</v>
      </c>
    </row>
    <row r="1152" spans="1:10" hidden="1" x14ac:dyDescent="0.25">
      <c r="A1152" t="s">
        <v>11</v>
      </c>
      <c r="B1152" t="str">
        <f>"2023/40/03/0035258/06"</f>
        <v>2023/40/03/0035258/06</v>
      </c>
      <c r="C1152" t="s">
        <v>100</v>
      </c>
      <c r="D1152" t="s">
        <v>2051</v>
      </c>
      <c r="E1152" t="str">
        <f>"7718151150"</f>
        <v>7718151150</v>
      </c>
      <c r="F1152" t="s">
        <v>54</v>
      </c>
      <c r="G1152" t="s">
        <v>747</v>
      </c>
      <c r="H1152" t="s">
        <v>2228</v>
      </c>
      <c r="I1152" t="s">
        <v>17</v>
      </c>
      <c r="J1152" t="s">
        <v>18</v>
      </c>
    </row>
    <row r="1153" spans="1:10" hidden="1" x14ac:dyDescent="0.25">
      <c r="A1153" t="s">
        <v>11</v>
      </c>
      <c r="B1153" t="str">
        <f>"7810/8174509280"</f>
        <v>7810/8174509280</v>
      </c>
      <c r="C1153" t="s">
        <v>106</v>
      </c>
      <c r="D1153" t="s">
        <v>2051</v>
      </c>
      <c r="E1153" t="str">
        <f>"5032260402"</f>
        <v>5032260402</v>
      </c>
      <c r="F1153" t="s">
        <v>341</v>
      </c>
      <c r="G1153" t="s">
        <v>2229</v>
      </c>
      <c r="H1153" t="s">
        <v>2230</v>
      </c>
      <c r="I1153" t="s">
        <v>17</v>
      </c>
      <c r="J1153" t="s">
        <v>18</v>
      </c>
    </row>
    <row r="1154" spans="1:10" hidden="1" x14ac:dyDescent="0.25">
      <c r="A1154" t="s">
        <v>11</v>
      </c>
      <c r="B1154" t="str">
        <f>"30/00160138-23"</f>
        <v>30/00160138-23</v>
      </c>
      <c r="C1154" t="s">
        <v>106</v>
      </c>
      <c r="D1154" t="s">
        <v>2051</v>
      </c>
      <c r="E1154" t="str">
        <f>"7705034202"</f>
        <v>7705034202</v>
      </c>
      <c r="F1154" t="s">
        <v>407</v>
      </c>
      <c r="G1154" t="s">
        <v>2231</v>
      </c>
      <c r="H1154" t="s">
        <v>2232</v>
      </c>
      <c r="I1154" t="s">
        <v>17</v>
      </c>
      <c r="J1154" t="s">
        <v>18</v>
      </c>
    </row>
    <row r="1155" spans="1:10" hidden="1" x14ac:dyDescent="0.25">
      <c r="A1155" t="s">
        <v>11</v>
      </c>
      <c r="B1155" t="str">
        <f>"2023/40/03/0035369/06"</f>
        <v>2023/40/03/0035369/06</v>
      </c>
      <c r="C1155" t="s">
        <v>53</v>
      </c>
      <c r="D1155" t="s">
        <v>2051</v>
      </c>
      <c r="E1155" t="str">
        <f>"7718151150"</f>
        <v>7718151150</v>
      </c>
      <c r="F1155" t="s">
        <v>54</v>
      </c>
      <c r="G1155" t="s">
        <v>770</v>
      </c>
      <c r="H1155" t="s">
        <v>2233</v>
      </c>
      <c r="I1155" t="s">
        <v>17</v>
      </c>
      <c r="J1155" t="s">
        <v>18</v>
      </c>
    </row>
    <row r="1156" spans="1:10" hidden="1" x14ac:dyDescent="0.25">
      <c r="A1156" t="s">
        <v>11</v>
      </c>
      <c r="B1156" t="str">
        <f>"7810/8174513991"</f>
        <v>7810/8174513991</v>
      </c>
      <c r="C1156" t="s">
        <v>106</v>
      </c>
      <c r="D1156" t="s">
        <v>2051</v>
      </c>
      <c r="E1156" t="str">
        <f>"5032260402"</f>
        <v>5032260402</v>
      </c>
      <c r="F1156" t="s">
        <v>341</v>
      </c>
      <c r="G1156" t="s">
        <v>2234</v>
      </c>
      <c r="H1156" t="s">
        <v>2235</v>
      </c>
      <c r="I1156" t="s">
        <v>17</v>
      </c>
      <c r="J1156" t="s">
        <v>18</v>
      </c>
    </row>
    <row r="1157" spans="1:10" hidden="1" x14ac:dyDescent="0.25">
      <c r="A1157" t="s">
        <v>11</v>
      </c>
      <c r="B1157" t="str">
        <f>"UT-109503"</f>
        <v>UT-109503</v>
      </c>
      <c r="C1157" t="s">
        <v>106</v>
      </c>
      <c r="D1157" t="s">
        <v>2051</v>
      </c>
      <c r="E1157" t="str">
        <f>"7806385951"</f>
        <v>7806385951</v>
      </c>
      <c r="F1157" t="s">
        <v>26</v>
      </c>
      <c r="G1157" t="s">
        <v>2236</v>
      </c>
      <c r="H1157" t="s">
        <v>2237</v>
      </c>
      <c r="I1157" t="s">
        <v>17</v>
      </c>
      <c r="J1157" t="s">
        <v>18</v>
      </c>
    </row>
    <row r="1158" spans="1:10" hidden="1" x14ac:dyDescent="0.25">
      <c r="A1158" t="s">
        <v>11</v>
      </c>
      <c r="B1158" t="str">
        <f>"7810/8174513680"</f>
        <v>7810/8174513680</v>
      </c>
      <c r="C1158" t="s">
        <v>106</v>
      </c>
      <c r="D1158" t="s">
        <v>2051</v>
      </c>
      <c r="E1158" t="str">
        <f>"5032260402"</f>
        <v>5032260402</v>
      </c>
      <c r="F1158" t="s">
        <v>341</v>
      </c>
      <c r="G1158" t="s">
        <v>2238</v>
      </c>
      <c r="H1158" t="s">
        <v>2239</v>
      </c>
      <c r="I1158" t="s">
        <v>17</v>
      </c>
      <c r="J1158" t="s">
        <v>18</v>
      </c>
    </row>
    <row r="1159" spans="1:10" hidden="1" x14ac:dyDescent="0.25">
      <c r="A1159" t="s">
        <v>11</v>
      </c>
      <c r="B1159" t="str">
        <f>"28366597"</f>
        <v>28366597</v>
      </c>
      <c r="C1159" t="s">
        <v>100</v>
      </c>
      <c r="D1159" t="s">
        <v>2051</v>
      </c>
      <c r="E1159" t="str">
        <f>"7721793895"</f>
        <v>7721793895</v>
      </c>
      <c r="F1159" t="s">
        <v>109</v>
      </c>
      <c r="G1159" t="s">
        <v>2240</v>
      </c>
      <c r="H1159" t="s">
        <v>2241</v>
      </c>
      <c r="I1159" t="s">
        <v>17</v>
      </c>
      <c r="J1159" t="s">
        <v>21</v>
      </c>
    </row>
    <row r="1160" spans="1:10" hidden="1" x14ac:dyDescent="0.25">
      <c r="A1160" t="s">
        <v>11</v>
      </c>
      <c r="B1160" t="str">
        <f>"28372530"</f>
        <v>28372530</v>
      </c>
      <c r="C1160" t="s">
        <v>100</v>
      </c>
      <c r="D1160" t="s">
        <v>2051</v>
      </c>
      <c r="E1160" t="str">
        <f>"7721793895"</f>
        <v>7721793895</v>
      </c>
      <c r="F1160" t="s">
        <v>109</v>
      </c>
      <c r="G1160" t="s">
        <v>2242</v>
      </c>
      <c r="H1160" t="s">
        <v>2243</v>
      </c>
      <c r="I1160" t="s">
        <v>17</v>
      </c>
      <c r="J1160" t="s">
        <v>18</v>
      </c>
    </row>
    <row r="1161" spans="1:10" hidden="1" x14ac:dyDescent="0.25">
      <c r="A1161" t="s">
        <v>11</v>
      </c>
      <c r="B1161" t="str">
        <f>"28373013"</f>
        <v>28373013</v>
      </c>
      <c r="C1161" t="s">
        <v>100</v>
      </c>
      <c r="D1161" t="s">
        <v>2051</v>
      </c>
      <c r="E1161" t="str">
        <f>"7721793895"</f>
        <v>7721793895</v>
      </c>
      <c r="F1161" t="s">
        <v>109</v>
      </c>
      <c r="G1161" t="s">
        <v>2244</v>
      </c>
      <c r="H1161" t="s">
        <v>2245</v>
      </c>
      <c r="I1161" t="s">
        <v>17</v>
      </c>
      <c r="J1161" t="s">
        <v>18</v>
      </c>
    </row>
    <row r="1162" spans="1:10" hidden="1" x14ac:dyDescent="0.25">
      <c r="A1162" t="s">
        <v>11</v>
      </c>
      <c r="B1162" t="str">
        <f>"7810/8174517721"</f>
        <v>7810/8174517721</v>
      </c>
      <c r="C1162" t="s">
        <v>106</v>
      </c>
      <c r="D1162" t="s">
        <v>2051</v>
      </c>
      <c r="E1162" t="str">
        <f>"5032260402"</f>
        <v>5032260402</v>
      </c>
      <c r="F1162" t="s">
        <v>341</v>
      </c>
      <c r="G1162" t="s">
        <v>2246</v>
      </c>
      <c r="H1162" t="s">
        <v>2247</v>
      </c>
      <c r="I1162" t="s">
        <v>17</v>
      </c>
      <c r="J1162" t="s">
        <v>18</v>
      </c>
    </row>
    <row r="1163" spans="1:10" hidden="1" x14ac:dyDescent="0.25">
      <c r="A1163" t="s">
        <v>11</v>
      </c>
      <c r="B1163" t="str">
        <f>"УТ-605-000109"</f>
        <v>УТ-605-000109</v>
      </c>
      <c r="C1163" t="s">
        <v>420</v>
      </c>
      <c r="D1163" t="s">
        <v>2051</v>
      </c>
      <c r="E1163" t="str">
        <f>"7839454551"</f>
        <v>7839454551</v>
      </c>
      <c r="F1163" t="s">
        <v>57</v>
      </c>
      <c r="G1163" t="s">
        <v>423</v>
      </c>
      <c r="H1163" t="s">
        <v>2248</v>
      </c>
      <c r="I1163" t="s">
        <v>17</v>
      </c>
      <c r="J1163" t="s">
        <v>18</v>
      </c>
    </row>
    <row r="1164" spans="1:10" hidden="1" x14ac:dyDescent="0.25">
      <c r="A1164" t="s">
        <v>11</v>
      </c>
      <c r="B1164" t="str">
        <f>"УТ-605-000108"</f>
        <v>УТ-605-000108</v>
      </c>
      <c r="C1164" t="s">
        <v>420</v>
      </c>
      <c r="D1164" t="s">
        <v>2051</v>
      </c>
      <c r="E1164" t="str">
        <f>"7839454551"</f>
        <v>7839454551</v>
      </c>
      <c r="F1164" t="s">
        <v>57</v>
      </c>
      <c r="G1164" t="s">
        <v>2249</v>
      </c>
      <c r="H1164" t="s">
        <v>2250</v>
      </c>
      <c r="I1164" t="s">
        <v>17</v>
      </c>
      <c r="J1164" t="s">
        <v>18</v>
      </c>
    </row>
    <row r="1165" spans="1:10" hidden="1" x14ac:dyDescent="0.25">
      <c r="A1165" t="s">
        <v>11</v>
      </c>
      <c r="B1165" t="str">
        <f>"УТ-605-000106"</f>
        <v>УТ-605-000106</v>
      </c>
      <c r="C1165" t="s">
        <v>420</v>
      </c>
      <c r="D1165" t="s">
        <v>2051</v>
      </c>
      <c r="E1165" t="str">
        <f>"7839454551"</f>
        <v>7839454551</v>
      </c>
      <c r="F1165" t="s">
        <v>57</v>
      </c>
      <c r="G1165" t="s">
        <v>2251</v>
      </c>
      <c r="H1165" t="s">
        <v>2252</v>
      </c>
      <c r="I1165" t="s">
        <v>17</v>
      </c>
      <c r="J1165" t="s">
        <v>18</v>
      </c>
    </row>
    <row r="1166" spans="1:10" hidden="1" x14ac:dyDescent="0.25">
      <c r="A1166" t="s">
        <v>11</v>
      </c>
      <c r="B1166" t="str">
        <f>"УТ-605-000105"</f>
        <v>УТ-605-000105</v>
      </c>
      <c r="C1166" t="s">
        <v>420</v>
      </c>
      <c r="D1166" t="s">
        <v>2051</v>
      </c>
      <c r="E1166" t="str">
        <f>"7839454551"</f>
        <v>7839454551</v>
      </c>
      <c r="F1166" t="s">
        <v>57</v>
      </c>
      <c r="G1166" t="s">
        <v>2253</v>
      </c>
      <c r="H1166" t="s">
        <v>2254</v>
      </c>
      <c r="I1166" t="s">
        <v>17</v>
      </c>
      <c r="J1166" t="s">
        <v>18</v>
      </c>
    </row>
    <row r="1167" spans="1:10" hidden="1" x14ac:dyDescent="0.25">
      <c r="A1167" t="s">
        <v>11</v>
      </c>
      <c r="B1167" t="str">
        <f>"УТ-605-000100"</f>
        <v>УТ-605-000100</v>
      </c>
      <c r="C1167" t="s">
        <v>420</v>
      </c>
      <c r="D1167" t="s">
        <v>2051</v>
      </c>
      <c r="E1167" t="str">
        <f>"7839454551"</f>
        <v>7839454551</v>
      </c>
      <c r="F1167" t="s">
        <v>57</v>
      </c>
      <c r="G1167" t="s">
        <v>2255</v>
      </c>
      <c r="H1167" t="s">
        <v>2256</v>
      </c>
      <c r="I1167" t="s">
        <v>17</v>
      </c>
      <c r="J1167" t="s">
        <v>18</v>
      </c>
    </row>
    <row r="1168" spans="1:10" hidden="1" x14ac:dyDescent="0.25">
      <c r="A1168" t="s">
        <v>11</v>
      </c>
      <c r="B1168" t="str">
        <f>"SR110024014"</f>
        <v>SR110024014</v>
      </c>
      <c r="C1168" t="s">
        <v>420</v>
      </c>
      <c r="D1168" t="s">
        <v>2051</v>
      </c>
      <c r="E1168" t="str">
        <f>"4725006920"</f>
        <v>4725006920</v>
      </c>
      <c r="F1168" t="s">
        <v>101</v>
      </c>
      <c r="G1168" t="s">
        <v>2257</v>
      </c>
      <c r="H1168" t="s">
        <v>2258</v>
      </c>
      <c r="I1168" t="s">
        <v>17</v>
      </c>
      <c r="J1168" t="s">
        <v>18</v>
      </c>
    </row>
    <row r="1169" spans="1:10" hidden="1" x14ac:dyDescent="0.25">
      <c r="A1169" t="s">
        <v>11</v>
      </c>
      <c r="B1169" t="str">
        <f>"SR110024013"</f>
        <v>SR110024013</v>
      </c>
      <c r="C1169" t="s">
        <v>420</v>
      </c>
      <c r="D1169" t="s">
        <v>2051</v>
      </c>
      <c r="E1169" t="str">
        <f>"4725006920"</f>
        <v>4725006920</v>
      </c>
      <c r="F1169" t="s">
        <v>101</v>
      </c>
      <c r="G1169" t="s">
        <v>2259</v>
      </c>
      <c r="H1169" t="s">
        <v>2260</v>
      </c>
      <c r="I1169" t="s">
        <v>17</v>
      </c>
      <c r="J1169" t="s">
        <v>18</v>
      </c>
    </row>
    <row r="1170" spans="1:10" hidden="1" x14ac:dyDescent="0.25">
      <c r="A1170" t="s">
        <v>11</v>
      </c>
      <c r="B1170" t="str">
        <f>"0122999626-0006/3004"</f>
        <v>0122999626-0006/3004</v>
      </c>
      <c r="C1170" t="s">
        <v>49</v>
      </c>
      <c r="D1170" t="s">
        <v>2261</v>
      </c>
      <c r="E1170" t="str">
        <f>"7704217370"</f>
        <v>7704217370</v>
      </c>
      <c r="F1170" t="s">
        <v>1432</v>
      </c>
      <c r="G1170" t="s">
        <v>2262</v>
      </c>
      <c r="H1170" t="s">
        <v>2263</v>
      </c>
      <c r="I1170" t="s">
        <v>17</v>
      </c>
      <c r="J1170" t="s">
        <v>18</v>
      </c>
    </row>
    <row r="1171" spans="1:10" hidden="1" x14ac:dyDescent="0.25">
      <c r="A1171" t="s">
        <v>11</v>
      </c>
      <c r="B1171" t="str">
        <f>"УТР0166305"</f>
        <v>УТР0166305</v>
      </c>
      <c r="C1171" t="s">
        <v>53</v>
      </c>
      <c r="D1171" t="s">
        <v>2261</v>
      </c>
      <c r="E1171" t="str">
        <f>"7804044258"</f>
        <v>7804044258</v>
      </c>
      <c r="F1171" t="s">
        <v>155</v>
      </c>
      <c r="G1171" t="s">
        <v>2264</v>
      </c>
      <c r="H1171" t="s">
        <v>2265</v>
      </c>
      <c r="I1171" t="s">
        <v>17</v>
      </c>
      <c r="J1171" t="s">
        <v>18</v>
      </c>
    </row>
    <row r="1172" spans="1:10" hidden="1" x14ac:dyDescent="0.25">
      <c r="A1172" t="s">
        <v>11</v>
      </c>
      <c r="B1172" t="str">
        <f>"SR110022659"</f>
        <v>SR110022659</v>
      </c>
      <c r="C1172" t="s">
        <v>53</v>
      </c>
      <c r="D1172" t="s">
        <v>2261</v>
      </c>
      <c r="E1172" t="str">
        <f>"4725006920"</f>
        <v>4725006920</v>
      </c>
      <c r="F1172" t="s">
        <v>101</v>
      </c>
      <c r="G1172" t="s">
        <v>2266</v>
      </c>
      <c r="H1172" t="s">
        <v>2267</v>
      </c>
      <c r="I1172" t="s">
        <v>17</v>
      </c>
      <c r="J1172" t="s">
        <v>18</v>
      </c>
    </row>
    <row r="1173" spans="1:10" hidden="1" x14ac:dyDescent="0.25">
      <c r="A1173" t="s">
        <v>11</v>
      </c>
      <c r="B1173" t="str">
        <f>"SR110022651"</f>
        <v>SR110022651</v>
      </c>
      <c r="C1173" t="s">
        <v>53</v>
      </c>
      <c r="D1173" t="s">
        <v>2261</v>
      </c>
      <c r="E1173" t="str">
        <f>"4725006920"</f>
        <v>4725006920</v>
      </c>
      <c r="F1173" t="s">
        <v>101</v>
      </c>
      <c r="G1173" t="s">
        <v>2268</v>
      </c>
      <c r="H1173" t="s">
        <v>2269</v>
      </c>
      <c r="I1173" t="s">
        <v>17</v>
      </c>
      <c r="J1173" t="s">
        <v>18</v>
      </c>
    </row>
    <row r="1174" spans="1:10" hidden="1" x14ac:dyDescent="0.25">
      <c r="A1174" t="s">
        <v>11</v>
      </c>
      <c r="B1174" t="str">
        <f>"БАШМ0501/01"</f>
        <v>БАШМ0501/01</v>
      </c>
      <c r="C1174" t="s">
        <v>53</v>
      </c>
      <c r="D1174" t="s">
        <v>2261</v>
      </c>
      <c r="E1174" t="str">
        <f>"7735126034"</f>
        <v>7735126034</v>
      </c>
      <c r="F1174" t="s">
        <v>131</v>
      </c>
      <c r="G1174" t="s">
        <v>2270</v>
      </c>
      <c r="H1174" t="s">
        <v>2271</v>
      </c>
      <c r="I1174" t="s">
        <v>17</v>
      </c>
      <c r="J1174" t="s">
        <v>18</v>
      </c>
    </row>
    <row r="1175" spans="1:10" hidden="1" x14ac:dyDescent="0.25">
      <c r="A1175" t="s">
        <v>11</v>
      </c>
      <c r="B1175" t="str">
        <f>"28258304"</f>
        <v>28258304</v>
      </c>
      <c r="C1175" t="s">
        <v>559</v>
      </c>
      <c r="D1175" t="s">
        <v>2261</v>
      </c>
      <c r="E1175" t="str">
        <f>"7721793895"</f>
        <v>7721793895</v>
      </c>
      <c r="F1175" t="s">
        <v>109</v>
      </c>
      <c r="G1175" t="s">
        <v>2272</v>
      </c>
      <c r="H1175" t="s">
        <v>2273</v>
      </c>
      <c r="I1175" t="s">
        <v>17</v>
      </c>
      <c r="J1175" t="s">
        <v>18</v>
      </c>
    </row>
    <row r="1176" spans="1:10" hidden="1" x14ac:dyDescent="0.25">
      <c r="A1176" t="s">
        <v>11</v>
      </c>
      <c r="B1176" t="str">
        <f>"28262596"</f>
        <v>28262596</v>
      </c>
      <c r="C1176" t="s">
        <v>559</v>
      </c>
      <c r="D1176" t="s">
        <v>2261</v>
      </c>
      <c r="E1176" t="str">
        <f>"7721793895"</f>
        <v>7721793895</v>
      </c>
      <c r="F1176" t="s">
        <v>109</v>
      </c>
      <c r="G1176" t="s">
        <v>2274</v>
      </c>
      <c r="H1176" t="s">
        <v>2275</v>
      </c>
      <c r="I1176" t="s">
        <v>17</v>
      </c>
      <c r="J1176" t="s">
        <v>18</v>
      </c>
    </row>
    <row r="1177" spans="1:10" hidden="1" x14ac:dyDescent="0.25">
      <c r="A1177" t="s">
        <v>11</v>
      </c>
      <c r="B1177" t="str">
        <f>"148429/780E"</f>
        <v>148429/780E</v>
      </c>
      <c r="C1177" t="s">
        <v>12</v>
      </c>
      <c r="D1177" t="s">
        <v>2261</v>
      </c>
      <c r="E1177" t="str">
        <f t="shared" ref="E1177:E1186" si="55">"5003052454"</f>
        <v>5003052454</v>
      </c>
      <c r="F1177" t="s">
        <v>14</v>
      </c>
      <c r="G1177" t="s">
        <v>2276</v>
      </c>
      <c r="H1177" t="s">
        <v>2277</v>
      </c>
      <c r="I1177" t="s">
        <v>17</v>
      </c>
      <c r="J1177" t="s">
        <v>18</v>
      </c>
    </row>
    <row r="1178" spans="1:10" hidden="1" x14ac:dyDescent="0.25">
      <c r="A1178" t="s">
        <v>11</v>
      </c>
      <c r="B1178" t="str">
        <f>"148430/780E"</f>
        <v>148430/780E</v>
      </c>
      <c r="C1178" t="s">
        <v>12</v>
      </c>
      <c r="D1178" t="s">
        <v>2261</v>
      </c>
      <c r="E1178" t="str">
        <f t="shared" si="55"/>
        <v>5003052454</v>
      </c>
      <c r="F1178" t="s">
        <v>14</v>
      </c>
      <c r="G1178" t="s">
        <v>2278</v>
      </c>
      <c r="H1178" t="s">
        <v>2279</v>
      </c>
      <c r="I1178" t="s">
        <v>17</v>
      </c>
      <c r="J1178" t="s">
        <v>18</v>
      </c>
    </row>
    <row r="1179" spans="1:10" hidden="1" x14ac:dyDescent="0.25">
      <c r="A1179" t="s">
        <v>11</v>
      </c>
      <c r="B1179" t="str">
        <f>"148431/780E"</f>
        <v>148431/780E</v>
      </c>
      <c r="C1179" t="s">
        <v>12</v>
      </c>
      <c r="D1179" t="s">
        <v>2261</v>
      </c>
      <c r="E1179" t="str">
        <f t="shared" si="55"/>
        <v>5003052454</v>
      </c>
      <c r="F1179" t="s">
        <v>14</v>
      </c>
      <c r="G1179" t="s">
        <v>1487</v>
      </c>
      <c r="H1179" t="s">
        <v>2280</v>
      </c>
      <c r="I1179" t="s">
        <v>17</v>
      </c>
      <c r="J1179" t="s">
        <v>18</v>
      </c>
    </row>
    <row r="1180" spans="1:10" hidden="1" x14ac:dyDescent="0.25">
      <c r="A1180" t="s">
        <v>11</v>
      </c>
      <c r="B1180" t="str">
        <f>"148619/780E"</f>
        <v>148619/780E</v>
      </c>
      <c r="C1180" t="s">
        <v>12</v>
      </c>
      <c r="D1180" t="s">
        <v>2261</v>
      </c>
      <c r="E1180" t="str">
        <f t="shared" si="55"/>
        <v>5003052454</v>
      </c>
      <c r="F1180" t="s">
        <v>14</v>
      </c>
      <c r="G1180" t="s">
        <v>2281</v>
      </c>
      <c r="H1180" t="s">
        <v>2282</v>
      </c>
      <c r="I1180" t="s">
        <v>17</v>
      </c>
      <c r="J1180" t="s">
        <v>18</v>
      </c>
    </row>
    <row r="1181" spans="1:10" hidden="1" x14ac:dyDescent="0.25">
      <c r="A1181" t="s">
        <v>11</v>
      </c>
      <c r="B1181" t="str">
        <f>"148620/780E"</f>
        <v>148620/780E</v>
      </c>
      <c r="C1181" t="s">
        <v>12</v>
      </c>
      <c r="D1181" t="s">
        <v>2261</v>
      </c>
      <c r="E1181" t="str">
        <f t="shared" si="55"/>
        <v>5003052454</v>
      </c>
      <c r="F1181" t="s">
        <v>14</v>
      </c>
      <c r="G1181" t="s">
        <v>727</v>
      </c>
      <c r="H1181" t="s">
        <v>2283</v>
      </c>
      <c r="I1181" t="s">
        <v>17</v>
      </c>
      <c r="J1181" t="s">
        <v>18</v>
      </c>
    </row>
    <row r="1182" spans="1:10" hidden="1" x14ac:dyDescent="0.25">
      <c r="A1182" t="s">
        <v>11</v>
      </c>
      <c r="B1182" t="str">
        <f>"148621/780E"</f>
        <v>148621/780E</v>
      </c>
      <c r="C1182" t="s">
        <v>12</v>
      </c>
      <c r="D1182" t="s">
        <v>2261</v>
      </c>
      <c r="E1182" t="str">
        <f t="shared" si="55"/>
        <v>5003052454</v>
      </c>
      <c r="F1182" t="s">
        <v>14</v>
      </c>
      <c r="G1182" t="s">
        <v>2284</v>
      </c>
      <c r="H1182" t="s">
        <v>2285</v>
      </c>
      <c r="I1182" t="s">
        <v>17</v>
      </c>
      <c r="J1182" t="s">
        <v>18</v>
      </c>
    </row>
    <row r="1183" spans="1:10" hidden="1" x14ac:dyDescent="0.25">
      <c r="A1183" t="s">
        <v>11</v>
      </c>
      <c r="B1183" t="str">
        <f>"148622/780E"</f>
        <v>148622/780E</v>
      </c>
      <c r="C1183" t="s">
        <v>12</v>
      </c>
      <c r="D1183" t="s">
        <v>2261</v>
      </c>
      <c r="E1183" t="str">
        <f t="shared" si="55"/>
        <v>5003052454</v>
      </c>
      <c r="F1183" t="s">
        <v>14</v>
      </c>
      <c r="G1183" t="s">
        <v>2286</v>
      </c>
      <c r="H1183" t="s">
        <v>2287</v>
      </c>
      <c r="I1183" t="s">
        <v>17</v>
      </c>
      <c r="J1183" t="s">
        <v>18</v>
      </c>
    </row>
    <row r="1184" spans="1:10" hidden="1" x14ac:dyDescent="0.25">
      <c r="A1184" t="s">
        <v>11</v>
      </c>
      <c r="B1184" t="str">
        <f>"148775/780E"</f>
        <v>148775/780E</v>
      </c>
      <c r="C1184" t="s">
        <v>12</v>
      </c>
      <c r="D1184" t="s">
        <v>2261</v>
      </c>
      <c r="E1184" t="str">
        <f t="shared" si="55"/>
        <v>5003052454</v>
      </c>
      <c r="F1184" t="s">
        <v>14</v>
      </c>
      <c r="G1184" t="s">
        <v>2288</v>
      </c>
      <c r="H1184" t="s">
        <v>2289</v>
      </c>
      <c r="I1184" t="s">
        <v>17</v>
      </c>
      <c r="J1184" t="s">
        <v>18</v>
      </c>
    </row>
    <row r="1185" spans="1:10" hidden="1" x14ac:dyDescent="0.25">
      <c r="A1185" t="s">
        <v>11</v>
      </c>
      <c r="B1185" t="str">
        <f>"148776/780E"</f>
        <v>148776/780E</v>
      </c>
      <c r="C1185" t="s">
        <v>12</v>
      </c>
      <c r="D1185" t="s">
        <v>2261</v>
      </c>
      <c r="E1185" t="str">
        <f t="shared" si="55"/>
        <v>5003052454</v>
      </c>
      <c r="F1185" t="s">
        <v>14</v>
      </c>
      <c r="G1185" t="s">
        <v>2290</v>
      </c>
      <c r="H1185" t="s">
        <v>2291</v>
      </c>
      <c r="I1185" t="s">
        <v>17</v>
      </c>
      <c r="J1185" t="s">
        <v>18</v>
      </c>
    </row>
    <row r="1186" spans="1:10" hidden="1" x14ac:dyDescent="0.25">
      <c r="A1186" t="s">
        <v>11</v>
      </c>
      <c r="B1186" t="str">
        <f>"148774/780E"</f>
        <v>148774/780E</v>
      </c>
      <c r="C1186" t="s">
        <v>12</v>
      </c>
      <c r="D1186" t="s">
        <v>2261</v>
      </c>
      <c r="E1186" t="str">
        <f t="shared" si="55"/>
        <v>5003052454</v>
      </c>
      <c r="F1186" t="s">
        <v>14</v>
      </c>
      <c r="G1186" t="s">
        <v>2292</v>
      </c>
      <c r="H1186" t="s">
        <v>2293</v>
      </c>
      <c r="I1186" t="s">
        <v>17</v>
      </c>
      <c r="J1186" t="s">
        <v>18</v>
      </c>
    </row>
    <row r="1187" spans="1:10" hidden="1" x14ac:dyDescent="0.25">
      <c r="A1187" t="s">
        <v>11</v>
      </c>
      <c r="B1187" t="str">
        <f>"UT-105218"</f>
        <v>UT-105218</v>
      </c>
      <c r="C1187" t="s">
        <v>12</v>
      </c>
      <c r="D1187" t="s">
        <v>2261</v>
      </c>
      <c r="E1187" t="str">
        <f>"7806385951"</f>
        <v>7806385951</v>
      </c>
      <c r="F1187" t="s">
        <v>26</v>
      </c>
      <c r="G1187" t="s">
        <v>220</v>
      </c>
      <c r="H1187" t="s">
        <v>2294</v>
      </c>
      <c r="I1187" t="s">
        <v>17</v>
      </c>
      <c r="J1187" t="s">
        <v>18</v>
      </c>
    </row>
    <row r="1188" spans="1:10" hidden="1" x14ac:dyDescent="0.25">
      <c r="A1188" t="s">
        <v>11</v>
      </c>
      <c r="B1188" t="str">
        <f>"UT-105222"</f>
        <v>UT-105222</v>
      </c>
      <c r="C1188" t="s">
        <v>12</v>
      </c>
      <c r="D1188" t="s">
        <v>2261</v>
      </c>
      <c r="E1188" t="str">
        <f>"7806385951"</f>
        <v>7806385951</v>
      </c>
      <c r="F1188" t="s">
        <v>26</v>
      </c>
      <c r="G1188" t="s">
        <v>2295</v>
      </c>
      <c r="H1188" t="s">
        <v>2296</v>
      </c>
      <c r="I1188" t="s">
        <v>17</v>
      </c>
      <c r="J1188" t="s">
        <v>18</v>
      </c>
    </row>
    <row r="1189" spans="1:10" hidden="1" x14ac:dyDescent="0.25">
      <c r="A1189" t="s">
        <v>11</v>
      </c>
      <c r="B1189" t="str">
        <f>"UT-105277"</f>
        <v>UT-105277</v>
      </c>
      <c r="C1189" t="s">
        <v>12</v>
      </c>
      <c r="D1189" t="s">
        <v>2261</v>
      </c>
      <c r="E1189" t="str">
        <f>"7806385951"</f>
        <v>7806385951</v>
      </c>
      <c r="F1189" t="s">
        <v>26</v>
      </c>
      <c r="G1189" t="s">
        <v>2297</v>
      </c>
      <c r="H1189" t="s">
        <v>2298</v>
      </c>
      <c r="I1189" t="s">
        <v>17</v>
      </c>
      <c r="J1189" t="s">
        <v>18</v>
      </c>
    </row>
    <row r="1190" spans="1:10" hidden="1" x14ac:dyDescent="0.25">
      <c r="A1190" t="s">
        <v>11</v>
      </c>
      <c r="B1190" t="str">
        <f>"UT-105305"</f>
        <v>UT-105305</v>
      </c>
      <c r="C1190" t="s">
        <v>12</v>
      </c>
      <c r="D1190" t="s">
        <v>2261</v>
      </c>
      <c r="E1190" t="str">
        <f>"7806385951"</f>
        <v>7806385951</v>
      </c>
      <c r="F1190" t="s">
        <v>26</v>
      </c>
      <c r="G1190" t="s">
        <v>2299</v>
      </c>
      <c r="H1190" t="s">
        <v>2300</v>
      </c>
      <c r="I1190" t="s">
        <v>17</v>
      </c>
      <c r="J1190" t="s">
        <v>18</v>
      </c>
    </row>
    <row r="1191" spans="1:10" hidden="1" x14ac:dyDescent="0.25">
      <c r="A1191" t="s">
        <v>11</v>
      </c>
      <c r="B1191" t="str">
        <f>"SR110022825"</f>
        <v>SR110022825</v>
      </c>
      <c r="C1191" t="s">
        <v>12</v>
      </c>
      <c r="D1191" t="s">
        <v>2261</v>
      </c>
      <c r="E1191" t="str">
        <f>"4725006920"</f>
        <v>4725006920</v>
      </c>
      <c r="F1191" t="s">
        <v>101</v>
      </c>
      <c r="G1191" t="s">
        <v>2301</v>
      </c>
      <c r="H1191" t="s">
        <v>2302</v>
      </c>
      <c r="I1191" t="s">
        <v>17</v>
      </c>
      <c r="J1191" t="s">
        <v>18</v>
      </c>
    </row>
    <row r="1192" spans="1:10" hidden="1" x14ac:dyDescent="0.25">
      <c r="A1192" t="s">
        <v>11</v>
      </c>
      <c r="B1192" t="str">
        <f>"УТ-2804-000104"</f>
        <v>УТ-2804-000104</v>
      </c>
      <c r="C1192" t="s">
        <v>559</v>
      </c>
      <c r="D1192" t="s">
        <v>2261</v>
      </c>
      <c r="E1192" t="str">
        <f t="shared" ref="E1192:E1199" si="56">"7839454551"</f>
        <v>7839454551</v>
      </c>
      <c r="F1192" t="s">
        <v>57</v>
      </c>
      <c r="G1192" t="s">
        <v>2303</v>
      </c>
      <c r="H1192" t="s">
        <v>2304</v>
      </c>
      <c r="I1192" t="s">
        <v>17</v>
      </c>
      <c r="J1192" t="s">
        <v>18</v>
      </c>
    </row>
    <row r="1193" spans="1:10" hidden="1" x14ac:dyDescent="0.25">
      <c r="A1193" t="s">
        <v>11</v>
      </c>
      <c r="B1193" t="str">
        <f>"УТ-2804-000102"</f>
        <v>УТ-2804-000102</v>
      </c>
      <c r="C1193" t="s">
        <v>559</v>
      </c>
      <c r="D1193" t="s">
        <v>2261</v>
      </c>
      <c r="E1193" t="str">
        <f t="shared" si="56"/>
        <v>7839454551</v>
      </c>
      <c r="F1193" t="s">
        <v>57</v>
      </c>
      <c r="G1193" t="s">
        <v>2305</v>
      </c>
      <c r="H1193" t="s">
        <v>2306</v>
      </c>
      <c r="I1193" t="s">
        <v>17</v>
      </c>
      <c r="J1193" t="s">
        <v>18</v>
      </c>
    </row>
    <row r="1194" spans="1:10" hidden="1" x14ac:dyDescent="0.25">
      <c r="A1194" t="s">
        <v>11</v>
      </c>
      <c r="B1194" t="str">
        <f>"УТ-2804-000101"</f>
        <v>УТ-2804-000101</v>
      </c>
      <c r="C1194" t="s">
        <v>559</v>
      </c>
      <c r="D1194" t="s">
        <v>2261</v>
      </c>
      <c r="E1194" t="str">
        <f t="shared" si="56"/>
        <v>7839454551</v>
      </c>
      <c r="F1194" t="s">
        <v>57</v>
      </c>
      <c r="G1194" t="s">
        <v>2307</v>
      </c>
      <c r="H1194" t="s">
        <v>2308</v>
      </c>
      <c r="I1194" t="s">
        <v>17</v>
      </c>
      <c r="J1194" t="s">
        <v>18</v>
      </c>
    </row>
    <row r="1195" spans="1:10" hidden="1" x14ac:dyDescent="0.25">
      <c r="A1195" t="s">
        <v>11</v>
      </c>
      <c r="B1195" t="str">
        <f>"УТ-2804-000099"</f>
        <v>УТ-2804-000099</v>
      </c>
      <c r="C1195" t="s">
        <v>559</v>
      </c>
      <c r="D1195" t="s">
        <v>2261</v>
      </c>
      <c r="E1195" t="str">
        <f t="shared" si="56"/>
        <v>7839454551</v>
      </c>
      <c r="F1195" t="s">
        <v>57</v>
      </c>
      <c r="G1195" t="s">
        <v>2309</v>
      </c>
      <c r="H1195" t="s">
        <v>2310</v>
      </c>
      <c r="I1195" t="s">
        <v>17</v>
      </c>
      <c r="J1195" t="s">
        <v>18</v>
      </c>
    </row>
    <row r="1196" spans="1:10" hidden="1" x14ac:dyDescent="0.25">
      <c r="A1196" t="s">
        <v>11</v>
      </c>
      <c r="B1196" t="str">
        <f>"УТ-2804-000096"</f>
        <v>УТ-2804-000096</v>
      </c>
      <c r="C1196" t="s">
        <v>559</v>
      </c>
      <c r="D1196" t="s">
        <v>2261</v>
      </c>
      <c r="E1196" t="str">
        <f t="shared" si="56"/>
        <v>7839454551</v>
      </c>
      <c r="F1196" t="s">
        <v>57</v>
      </c>
      <c r="G1196" t="s">
        <v>2311</v>
      </c>
      <c r="H1196" t="s">
        <v>2312</v>
      </c>
      <c r="I1196" t="s">
        <v>17</v>
      </c>
      <c r="J1196" t="s">
        <v>18</v>
      </c>
    </row>
    <row r="1197" spans="1:10" hidden="1" x14ac:dyDescent="0.25">
      <c r="A1197" t="s">
        <v>11</v>
      </c>
      <c r="B1197" t="str">
        <f>"УТ-2804-000088"</f>
        <v>УТ-2804-000088</v>
      </c>
      <c r="C1197" t="s">
        <v>559</v>
      </c>
      <c r="D1197" t="s">
        <v>2261</v>
      </c>
      <c r="E1197" t="str">
        <f t="shared" si="56"/>
        <v>7839454551</v>
      </c>
      <c r="F1197" t="s">
        <v>57</v>
      </c>
      <c r="G1197" t="s">
        <v>2313</v>
      </c>
      <c r="H1197" t="s">
        <v>2314</v>
      </c>
      <c r="I1197" t="s">
        <v>17</v>
      </c>
      <c r="J1197" t="s">
        <v>18</v>
      </c>
    </row>
    <row r="1198" spans="1:10" hidden="1" x14ac:dyDescent="0.25">
      <c r="A1198" t="s">
        <v>11</v>
      </c>
      <c r="B1198" t="str">
        <f>"УТ-2804-000087"</f>
        <v>УТ-2804-000087</v>
      </c>
      <c r="C1198" t="s">
        <v>559</v>
      </c>
      <c r="D1198" t="s">
        <v>2261</v>
      </c>
      <c r="E1198" t="str">
        <f t="shared" si="56"/>
        <v>7839454551</v>
      </c>
      <c r="F1198" t="s">
        <v>57</v>
      </c>
      <c r="G1198" t="s">
        <v>2030</v>
      </c>
      <c r="H1198" t="s">
        <v>2315</v>
      </c>
      <c r="I1198" t="s">
        <v>17</v>
      </c>
      <c r="J1198" t="s">
        <v>18</v>
      </c>
    </row>
    <row r="1199" spans="1:10" hidden="1" x14ac:dyDescent="0.25">
      <c r="A1199" t="s">
        <v>11</v>
      </c>
      <c r="B1199" t="str">
        <f>"УТ-2804-000060"</f>
        <v>УТ-2804-000060</v>
      </c>
      <c r="C1199" t="s">
        <v>559</v>
      </c>
      <c r="D1199" t="s">
        <v>2261</v>
      </c>
      <c r="E1199" t="str">
        <f t="shared" si="56"/>
        <v>7839454551</v>
      </c>
      <c r="F1199" t="s">
        <v>57</v>
      </c>
      <c r="G1199" t="s">
        <v>2316</v>
      </c>
      <c r="H1199" t="s">
        <v>2317</v>
      </c>
      <c r="I1199" t="s">
        <v>17</v>
      </c>
      <c r="J1199" t="s">
        <v>18</v>
      </c>
    </row>
    <row r="1200" spans="1:10" x14ac:dyDescent="0.25">
      <c r="A1200" t="s">
        <v>11</v>
      </c>
      <c r="B1200" t="str">
        <f>"2023/40/03/0033918/06"</f>
        <v>2023/40/03/0033918/06</v>
      </c>
      <c r="C1200" t="s">
        <v>49</v>
      </c>
      <c r="D1200" t="s">
        <v>2261</v>
      </c>
      <c r="E1200" t="str">
        <f t="shared" ref="E1200:E1210" si="57">"7718151150"</f>
        <v>7718151150</v>
      </c>
      <c r="F1200" t="s">
        <v>54</v>
      </c>
      <c r="G1200" t="s">
        <v>164</v>
      </c>
      <c r="H1200" t="s">
        <v>2318</v>
      </c>
      <c r="I1200" t="s">
        <v>17</v>
      </c>
      <c r="J1200" t="s">
        <v>166</v>
      </c>
    </row>
    <row r="1201" spans="1:10" x14ac:dyDescent="0.25">
      <c r="A1201" t="s">
        <v>11</v>
      </c>
      <c r="B1201" t="str">
        <f>"2023/40/03/0033846/06"</f>
        <v>2023/40/03/0033846/06</v>
      </c>
      <c r="C1201" t="s">
        <v>49</v>
      </c>
      <c r="D1201" t="s">
        <v>2261</v>
      </c>
      <c r="E1201" t="str">
        <f t="shared" si="57"/>
        <v>7718151150</v>
      </c>
      <c r="F1201" t="s">
        <v>54</v>
      </c>
      <c r="G1201" t="s">
        <v>164</v>
      </c>
      <c r="H1201" t="s">
        <v>2319</v>
      </c>
      <c r="I1201" t="s">
        <v>17</v>
      </c>
      <c r="J1201" t="s">
        <v>166</v>
      </c>
    </row>
    <row r="1202" spans="1:10" x14ac:dyDescent="0.25">
      <c r="A1202" t="s">
        <v>11</v>
      </c>
      <c r="B1202" t="str">
        <f>"2023/40/03/0033611/06"</f>
        <v>2023/40/03/0033611/06</v>
      </c>
      <c r="C1202" t="s">
        <v>49</v>
      </c>
      <c r="D1202" t="s">
        <v>2261</v>
      </c>
      <c r="E1202" t="str">
        <f t="shared" si="57"/>
        <v>7718151150</v>
      </c>
      <c r="F1202" t="s">
        <v>54</v>
      </c>
      <c r="G1202" t="s">
        <v>164</v>
      </c>
      <c r="H1202" t="s">
        <v>2320</v>
      </c>
      <c r="I1202" t="s">
        <v>17</v>
      </c>
      <c r="J1202" t="s">
        <v>166</v>
      </c>
    </row>
    <row r="1203" spans="1:10" x14ac:dyDescent="0.25">
      <c r="A1203" t="s">
        <v>11</v>
      </c>
      <c r="B1203" t="str">
        <f>"2023/40/03/0033579/06"</f>
        <v>2023/40/03/0033579/06</v>
      </c>
      <c r="C1203" t="s">
        <v>49</v>
      </c>
      <c r="D1203" t="s">
        <v>2261</v>
      </c>
      <c r="E1203" t="str">
        <f t="shared" si="57"/>
        <v>7718151150</v>
      </c>
      <c r="F1203" t="s">
        <v>54</v>
      </c>
      <c r="G1203" t="s">
        <v>164</v>
      </c>
      <c r="H1203" t="s">
        <v>2321</v>
      </c>
      <c r="I1203" t="s">
        <v>17</v>
      </c>
      <c r="J1203" t="s">
        <v>166</v>
      </c>
    </row>
    <row r="1204" spans="1:10" x14ac:dyDescent="0.25">
      <c r="A1204" t="s">
        <v>11</v>
      </c>
      <c r="B1204" t="str">
        <f>"2023/40/03/0033618/06"</f>
        <v>2023/40/03/0033618/06</v>
      </c>
      <c r="C1204" t="s">
        <v>49</v>
      </c>
      <c r="D1204" t="s">
        <v>2261</v>
      </c>
      <c r="E1204" t="str">
        <f t="shared" si="57"/>
        <v>7718151150</v>
      </c>
      <c r="F1204" t="s">
        <v>54</v>
      </c>
      <c r="G1204" t="s">
        <v>164</v>
      </c>
      <c r="H1204" t="s">
        <v>2322</v>
      </c>
      <c r="I1204" t="s">
        <v>17</v>
      </c>
      <c r="J1204" t="s">
        <v>166</v>
      </c>
    </row>
    <row r="1205" spans="1:10" x14ac:dyDescent="0.25">
      <c r="A1205" t="s">
        <v>11</v>
      </c>
      <c r="B1205" t="str">
        <f>"2023/40/03/0033610/06"</f>
        <v>2023/40/03/0033610/06</v>
      </c>
      <c r="C1205" t="s">
        <v>49</v>
      </c>
      <c r="D1205" t="s">
        <v>2261</v>
      </c>
      <c r="E1205" t="str">
        <f t="shared" si="57"/>
        <v>7718151150</v>
      </c>
      <c r="F1205" t="s">
        <v>54</v>
      </c>
      <c r="G1205" t="s">
        <v>164</v>
      </c>
      <c r="H1205" t="s">
        <v>2323</v>
      </c>
      <c r="I1205" t="s">
        <v>17</v>
      </c>
      <c r="J1205" t="s">
        <v>166</v>
      </c>
    </row>
    <row r="1206" spans="1:10" x14ac:dyDescent="0.25">
      <c r="A1206" t="s">
        <v>11</v>
      </c>
      <c r="B1206" t="str">
        <f>"2023/40/03/0033193/06"</f>
        <v>2023/40/03/0033193/06</v>
      </c>
      <c r="C1206" t="s">
        <v>49</v>
      </c>
      <c r="D1206" t="s">
        <v>2261</v>
      </c>
      <c r="E1206" t="str">
        <f t="shared" si="57"/>
        <v>7718151150</v>
      </c>
      <c r="F1206" t="s">
        <v>54</v>
      </c>
      <c r="G1206" t="s">
        <v>164</v>
      </c>
      <c r="H1206" t="s">
        <v>2324</v>
      </c>
      <c r="I1206" t="s">
        <v>17</v>
      </c>
      <c r="J1206" t="s">
        <v>166</v>
      </c>
    </row>
    <row r="1207" spans="1:10" x14ac:dyDescent="0.25">
      <c r="A1207" t="s">
        <v>11</v>
      </c>
      <c r="B1207" t="str">
        <f>"2023/40/03/0033192/06"</f>
        <v>2023/40/03/0033192/06</v>
      </c>
      <c r="C1207" t="s">
        <v>49</v>
      </c>
      <c r="D1207" t="s">
        <v>2261</v>
      </c>
      <c r="E1207" t="str">
        <f t="shared" si="57"/>
        <v>7718151150</v>
      </c>
      <c r="F1207" t="s">
        <v>54</v>
      </c>
      <c r="G1207" t="s">
        <v>164</v>
      </c>
      <c r="H1207" t="s">
        <v>2325</v>
      </c>
      <c r="I1207" t="s">
        <v>17</v>
      </c>
      <c r="J1207" t="s">
        <v>166</v>
      </c>
    </row>
    <row r="1208" spans="1:10" x14ac:dyDescent="0.25">
      <c r="A1208" t="s">
        <v>11</v>
      </c>
      <c r="B1208" t="str">
        <f>"2023/40/03/0033191/06"</f>
        <v>2023/40/03/0033191/06</v>
      </c>
      <c r="C1208" t="s">
        <v>49</v>
      </c>
      <c r="D1208" t="s">
        <v>2261</v>
      </c>
      <c r="E1208" t="str">
        <f t="shared" si="57"/>
        <v>7718151150</v>
      </c>
      <c r="F1208" t="s">
        <v>54</v>
      </c>
      <c r="G1208" t="s">
        <v>164</v>
      </c>
      <c r="H1208" t="s">
        <v>2326</v>
      </c>
      <c r="I1208" t="s">
        <v>17</v>
      </c>
      <c r="J1208" t="s">
        <v>166</v>
      </c>
    </row>
    <row r="1209" spans="1:10" x14ac:dyDescent="0.25">
      <c r="A1209" t="s">
        <v>11</v>
      </c>
      <c r="B1209" t="str">
        <f>"2023/40/03/0033190/06"</f>
        <v>2023/40/03/0033190/06</v>
      </c>
      <c r="C1209" t="s">
        <v>49</v>
      </c>
      <c r="D1209" t="s">
        <v>2261</v>
      </c>
      <c r="E1209" t="str">
        <f t="shared" si="57"/>
        <v>7718151150</v>
      </c>
      <c r="F1209" t="s">
        <v>54</v>
      </c>
      <c r="G1209" t="s">
        <v>164</v>
      </c>
      <c r="H1209" t="s">
        <v>2327</v>
      </c>
      <c r="I1209" t="s">
        <v>17</v>
      </c>
      <c r="J1209" t="s">
        <v>166</v>
      </c>
    </row>
    <row r="1210" spans="1:10" hidden="1" x14ac:dyDescent="0.25">
      <c r="A1210" t="s">
        <v>11</v>
      </c>
      <c r="B1210" t="str">
        <f>"2023/40/03/0032326/06"</f>
        <v>2023/40/03/0032326/06</v>
      </c>
      <c r="C1210" t="s">
        <v>53</v>
      </c>
      <c r="D1210" t="s">
        <v>2261</v>
      </c>
      <c r="E1210" t="str">
        <f t="shared" si="57"/>
        <v>7718151150</v>
      </c>
      <c r="F1210" t="s">
        <v>54</v>
      </c>
      <c r="G1210" t="s">
        <v>1636</v>
      </c>
      <c r="H1210" t="s">
        <v>2328</v>
      </c>
      <c r="I1210" t="s">
        <v>17</v>
      </c>
      <c r="J1210" t="s">
        <v>18</v>
      </c>
    </row>
    <row r="1211" spans="1:10" x14ac:dyDescent="0.25">
      <c r="A1211" t="s">
        <v>11</v>
      </c>
      <c r="B1211" t="str">
        <f>"КО-316"</f>
        <v>КО-316</v>
      </c>
      <c r="C1211" t="s">
        <v>559</v>
      </c>
      <c r="D1211" t="s">
        <v>2261</v>
      </c>
      <c r="E1211" t="str">
        <f>"4205199585"</f>
        <v>4205199585</v>
      </c>
      <c r="F1211" t="s">
        <v>2070</v>
      </c>
      <c r="G1211" t="s">
        <v>2329</v>
      </c>
      <c r="H1211" t="s">
        <v>2330</v>
      </c>
      <c r="I1211" t="s">
        <v>17</v>
      </c>
      <c r="J1211" t="s">
        <v>166</v>
      </c>
    </row>
    <row r="1212" spans="1:10" hidden="1" x14ac:dyDescent="0.25">
      <c r="A1212" t="s">
        <v>11</v>
      </c>
      <c r="B1212" t="str">
        <f>"УТ-305-000053"</f>
        <v>УТ-305-000053</v>
      </c>
      <c r="C1212" t="s">
        <v>65</v>
      </c>
      <c r="D1212" t="s">
        <v>2261</v>
      </c>
      <c r="E1212" t="str">
        <f>"7839454551"</f>
        <v>7839454551</v>
      </c>
      <c r="F1212" t="s">
        <v>57</v>
      </c>
      <c r="G1212" t="s">
        <v>2331</v>
      </c>
      <c r="H1212" t="s">
        <v>2332</v>
      </c>
      <c r="I1212" t="s">
        <v>17</v>
      </c>
      <c r="J1212" t="s">
        <v>18</v>
      </c>
    </row>
    <row r="1213" spans="1:10" hidden="1" x14ac:dyDescent="0.25">
      <c r="A1213" t="s">
        <v>11</v>
      </c>
      <c r="B1213" t="str">
        <f>"УТ-305-000050"</f>
        <v>УТ-305-000050</v>
      </c>
      <c r="C1213" t="s">
        <v>65</v>
      </c>
      <c r="D1213" t="s">
        <v>2261</v>
      </c>
      <c r="E1213" t="str">
        <f>"7839454551"</f>
        <v>7839454551</v>
      </c>
      <c r="F1213" t="s">
        <v>57</v>
      </c>
      <c r="G1213" t="s">
        <v>2333</v>
      </c>
      <c r="H1213" t="s">
        <v>2334</v>
      </c>
      <c r="I1213" t="s">
        <v>17</v>
      </c>
      <c r="J1213" t="s">
        <v>18</v>
      </c>
    </row>
    <row r="1214" spans="1:10" hidden="1" x14ac:dyDescent="0.25">
      <c r="A1214" t="s">
        <v>11</v>
      </c>
      <c r="B1214" t="str">
        <f>"УТ-305-000047"</f>
        <v>УТ-305-000047</v>
      </c>
      <c r="C1214" t="s">
        <v>65</v>
      </c>
      <c r="D1214" t="s">
        <v>2261</v>
      </c>
      <c r="E1214" t="str">
        <f>"7839454551"</f>
        <v>7839454551</v>
      </c>
      <c r="F1214" t="s">
        <v>57</v>
      </c>
      <c r="G1214" t="s">
        <v>2335</v>
      </c>
      <c r="H1214" t="s">
        <v>2336</v>
      </c>
      <c r="I1214" t="s">
        <v>17</v>
      </c>
      <c r="J1214" t="s">
        <v>18</v>
      </c>
    </row>
    <row r="1215" spans="1:10" hidden="1" x14ac:dyDescent="0.25">
      <c r="A1215" t="s">
        <v>11</v>
      </c>
      <c r="B1215" t="str">
        <f>"УТ-305-000042"</f>
        <v>УТ-305-000042</v>
      </c>
      <c r="C1215" t="s">
        <v>65</v>
      </c>
      <c r="D1215" t="s">
        <v>2261</v>
      </c>
      <c r="E1215" t="str">
        <f>"7839454551"</f>
        <v>7839454551</v>
      </c>
      <c r="F1215" t="s">
        <v>57</v>
      </c>
      <c r="G1215" t="s">
        <v>2337</v>
      </c>
      <c r="H1215" t="s">
        <v>2338</v>
      </c>
      <c r="I1215" t="s">
        <v>17</v>
      </c>
      <c r="J1215" t="s">
        <v>18</v>
      </c>
    </row>
    <row r="1216" spans="1:10" hidden="1" x14ac:dyDescent="0.25">
      <c r="A1216" t="s">
        <v>11</v>
      </c>
      <c r="B1216" t="str">
        <f>"УТ-305-000036"</f>
        <v>УТ-305-000036</v>
      </c>
      <c r="C1216" t="s">
        <v>65</v>
      </c>
      <c r="D1216" t="s">
        <v>2261</v>
      </c>
      <c r="E1216" t="str">
        <f>"7839454551"</f>
        <v>7839454551</v>
      </c>
      <c r="F1216" t="s">
        <v>57</v>
      </c>
      <c r="G1216" t="s">
        <v>2339</v>
      </c>
      <c r="H1216" t="s">
        <v>2340</v>
      </c>
      <c r="I1216" t="s">
        <v>17</v>
      </c>
      <c r="J1216" t="s">
        <v>18</v>
      </c>
    </row>
    <row r="1217" spans="1:10" hidden="1" x14ac:dyDescent="0.25">
      <c r="A1217" t="s">
        <v>11</v>
      </c>
      <c r="B1217" t="str">
        <f>"103"</f>
        <v>103</v>
      </c>
      <c r="C1217" t="s">
        <v>12</v>
      </c>
      <c r="D1217" t="s">
        <v>2261</v>
      </c>
      <c r="E1217" t="str">
        <f>"7743128596"</f>
        <v>7743128596</v>
      </c>
      <c r="F1217" t="s">
        <v>351</v>
      </c>
      <c r="G1217" t="s">
        <v>2341</v>
      </c>
      <c r="H1217" t="s">
        <v>2342</v>
      </c>
      <c r="I1217" t="s">
        <v>17</v>
      </c>
      <c r="J1217" t="s">
        <v>18</v>
      </c>
    </row>
    <row r="1218" spans="1:10" hidden="1" x14ac:dyDescent="0.25">
      <c r="A1218" t="s">
        <v>11</v>
      </c>
      <c r="B1218" t="str">
        <f>"БАШМ0502/15"</f>
        <v>БАШМ0502/15</v>
      </c>
      <c r="C1218" t="s">
        <v>12</v>
      </c>
      <c r="D1218" t="s">
        <v>2261</v>
      </c>
      <c r="E1218" t="str">
        <f>"7735126034"</f>
        <v>7735126034</v>
      </c>
      <c r="F1218" t="s">
        <v>131</v>
      </c>
      <c r="G1218" t="s">
        <v>2343</v>
      </c>
      <c r="H1218" t="s">
        <v>2344</v>
      </c>
      <c r="I1218" t="s">
        <v>17</v>
      </c>
      <c r="J1218" t="s">
        <v>18</v>
      </c>
    </row>
    <row r="1219" spans="1:10" hidden="1" x14ac:dyDescent="0.25">
      <c r="A1219" t="s">
        <v>290</v>
      </c>
      <c r="B1219" t="str">
        <f>"55"</f>
        <v>55</v>
      </c>
      <c r="C1219" t="s">
        <v>49</v>
      </c>
      <c r="D1219" t="s">
        <v>2261</v>
      </c>
      <c r="E1219" t="str">
        <f>"6950006259"</f>
        <v>6950006259</v>
      </c>
      <c r="F1219" t="s">
        <v>626</v>
      </c>
      <c r="G1219" t="s">
        <v>844</v>
      </c>
      <c r="H1219" t="s">
        <v>2345</v>
      </c>
      <c r="I1219" t="s">
        <v>17</v>
      </c>
      <c r="J1219" t="s">
        <v>18</v>
      </c>
    </row>
    <row r="1220" spans="1:10" hidden="1" x14ac:dyDescent="0.25">
      <c r="A1220" t="s">
        <v>11</v>
      </c>
      <c r="B1220" t="str">
        <f>"150416/780E"</f>
        <v>150416/780E</v>
      </c>
      <c r="C1220" t="s">
        <v>65</v>
      </c>
      <c r="D1220" t="s">
        <v>2261</v>
      </c>
      <c r="E1220" t="str">
        <f>"5003052454"</f>
        <v>5003052454</v>
      </c>
      <c r="F1220" t="s">
        <v>14</v>
      </c>
      <c r="G1220" t="s">
        <v>2346</v>
      </c>
      <c r="H1220" t="s">
        <v>2347</v>
      </c>
      <c r="I1220" t="s">
        <v>17</v>
      </c>
      <c r="J1220" t="s">
        <v>18</v>
      </c>
    </row>
    <row r="1221" spans="1:10" hidden="1" x14ac:dyDescent="0.25">
      <c r="A1221" t="s">
        <v>11</v>
      </c>
      <c r="B1221" t="str">
        <f>"150417/780E"</f>
        <v>150417/780E</v>
      </c>
      <c r="C1221" t="s">
        <v>65</v>
      </c>
      <c r="D1221" t="s">
        <v>2261</v>
      </c>
      <c r="E1221" t="str">
        <f>"5003052454"</f>
        <v>5003052454</v>
      </c>
      <c r="F1221" t="s">
        <v>14</v>
      </c>
      <c r="G1221" t="s">
        <v>2348</v>
      </c>
      <c r="H1221" t="s">
        <v>2349</v>
      </c>
      <c r="I1221" t="s">
        <v>17</v>
      </c>
      <c r="J1221" t="s">
        <v>18</v>
      </c>
    </row>
    <row r="1222" spans="1:10" hidden="1" x14ac:dyDescent="0.25">
      <c r="A1222" t="s">
        <v>11</v>
      </c>
      <c r="B1222" t="str">
        <f>"150419/780E"</f>
        <v>150419/780E</v>
      </c>
      <c r="C1222" t="s">
        <v>65</v>
      </c>
      <c r="D1222" t="s">
        <v>2261</v>
      </c>
      <c r="E1222" t="str">
        <f>"5003052454"</f>
        <v>5003052454</v>
      </c>
      <c r="F1222" t="s">
        <v>14</v>
      </c>
      <c r="G1222" t="s">
        <v>944</v>
      </c>
      <c r="H1222" t="s">
        <v>2350</v>
      </c>
      <c r="I1222" t="s">
        <v>17</v>
      </c>
      <c r="J1222" t="s">
        <v>18</v>
      </c>
    </row>
    <row r="1223" spans="1:10" hidden="1" x14ac:dyDescent="0.25">
      <c r="A1223" t="s">
        <v>11</v>
      </c>
      <c r="B1223" t="str">
        <f>"150418/780E"</f>
        <v>150418/780E</v>
      </c>
      <c r="C1223" t="s">
        <v>65</v>
      </c>
      <c r="D1223" t="s">
        <v>2261</v>
      </c>
      <c r="E1223" t="str">
        <f>"5003052454"</f>
        <v>5003052454</v>
      </c>
      <c r="F1223" t="s">
        <v>14</v>
      </c>
      <c r="G1223" t="s">
        <v>1298</v>
      </c>
      <c r="H1223" t="s">
        <v>2351</v>
      </c>
      <c r="I1223" t="s">
        <v>17</v>
      </c>
      <c r="J1223" t="s">
        <v>18</v>
      </c>
    </row>
    <row r="1224" spans="1:10" hidden="1" x14ac:dyDescent="0.25">
      <c r="A1224" t="s">
        <v>11</v>
      </c>
      <c r="B1224" t="str">
        <f>"UT-106632"</f>
        <v>UT-106632</v>
      </c>
      <c r="C1224" t="s">
        <v>65</v>
      </c>
      <c r="D1224" t="s">
        <v>2261</v>
      </c>
      <c r="E1224" t="str">
        <f>"7806385951"</f>
        <v>7806385951</v>
      </c>
      <c r="F1224" t="s">
        <v>26</v>
      </c>
      <c r="G1224" t="s">
        <v>2352</v>
      </c>
      <c r="H1224" t="s">
        <v>2353</v>
      </c>
      <c r="I1224" t="s">
        <v>17</v>
      </c>
      <c r="J1224" t="s">
        <v>18</v>
      </c>
    </row>
    <row r="1225" spans="1:10" hidden="1" x14ac:dyDescent="0.25">
      <c r="A1225" t="s">
        <v>11</v>
      </c>
      <c r="B1225" t="str">
        <f>"UT-106834"</f>
        <v>UT-106834</v>
      </c>
      <c r="C1225" t="s">
        <v>65</v>
      </c>
      <c r="D1225" t="s">
        <v>2261</v>
      </c>
      <c r="E1225" t="str">
        <f>"7806385951"</f>
        <v>7806385951</v>
      </c>
      <c r="F1225" t="s">
        <v>26</v>
      </c>
      <c r="G1225" t="s">
        <v>2354</v>
      </c>
      <c r="H1225" t="s">
        <v>2355</v>
      </c>
      <c r="I1225" t="s">
        <v>17</v>
      </c>
      <c r="J1225" t="s">
        <v>18</v>
      </c>
    </row>
    <row r="1226" spans="1:10" hidden="1" x14ac:dyDescent="0.25">
      <c r="A1226" t="s">
        <v>11</v>
      </c>
      <c r="B1226" t="str">
        <f>"UT-106753"</f>
        <v>UT-106753</v>
      </c>
      <c r="C1226" t="s">
        <v>65</v>
      </c>
      <c r="D1226" t="s">
        <v>2261</v>
      </c>
      <c r="E1226" t="str">
        <f>"7806385951"</f>
        <v>7806385951</v>
      </c>
      <c r="F1226" t="s">
        <v>26</v>
      </c>
      <c r="G1226" t="s">
        <v>2356</v>
      </c>
      <c r="H1226" t="s">
        <v>2357</v>
      </c>
      <c r="I1226" t="s">
        <v>17</v>
      </c>
      <c r="J1226" t="s">
        <v>18</v>
      </c>
    </row>
    <row r="1227" spans="1:10" hidden="1" x14ac:dyDescent="0.25">
      <c r="A1227" t="s">
        <v>11</v>
      </c>
      <c r="B1227" t="str">
        <f>"UT-106870"</f>
        <v>UT-106870</v>
      </c>
      <c r="C1227" t="s">
        <v>65</v>
      </c>
      <c r="D1227" t="s">
        <v>2261</v>
      </c>
      <c r="E1227" t="str">
        <f>"7806385951"</f>
        <v>7806385951</v>
      </c>
      <c r="F1227" t="s">
        <v>26</v>
      </c>
      <c r="G1227" t="s">
        <v>2358</v>
      </c>
      <c r="H1227" t="s">
        <v>2359</v>
      </c>
      <c r="I1227" t="s">
        <v>17</v>
      </c>
      <c r="J1227" t="s">
        <v>18</v>
      </c>
    </row>
    <row r="1228" spans="1:10" hidden="1" x14ac:dyDescent="0.25">
      <c r="A1228" t="s">
        <v>11</v>
      </c>
      <c r="B1228" t="str">
        <f>"UT-106896"</f>
        <v>UT-106896</v>
      </c>
      <c r="C1228" t="s">
        <v>65</v>
      </c>
      <c r="D1228" t="s">
        <v>2261</v>
      </c>
      <c r="E1228" t="str">
        <f>"7806385951"</f>
        <v>7806385951</v>
      </c>
      <c r="F1228" t="s">
        <v>26</v>
      </c>
      <c r="G1228" t="s">
        <v>2360</v>
      </c>
      <c r="H1228" t="s">
        <v>2361</v>
      </c>
      <c r="I1228" t="s">
        <v>17</v>
      </c>
      <c r="J1228" t="s">
        <v>18</v>
      </c>
    </row>
    <row r="1229" spans="1:10" hidden="1" x14ac:dyDescent="0.25">
      <c r="A1229" t="s">
        <v>11</v>
      </c>
      <c r="B1229" t="str">
        <f>"SR110023022"</f>
        <v>SR110023022</v>
      </c>
      <c r="C1229" t="s">
        <v>65</v>
      </c>
      <c r="D1229" t="s">
        <v>2261</v>
      </c>
      <c r="E1229" t="str">
        <f>"4725006920"</f>
        <v>4725006920</v>
      </c>
      <c r="F1229" t="s">
        <v>101</v>
      </c>
      <c r="G1229" t="s">
        <v>2268</v>
      </c>
      <c r="H1229" t="s">
        <v>2362</v>
      </c>
      <c r="I1229" t="s">
        <v>17</v>
      </c>
      <c r="J1229" t="s">
        <v>18</v>
      </c>
    </row>
    <row r="1230" spans="1:10" hidden="1" x14ac:dyDescent="0.25">
      <c r="A1230" t="s">
        <v>11</v>
      </c>
      <c r="B1230" t="str">
        <f>"30/00155703-23"</f>
        <v>30/00155703-23</v>
      </c>
      <c r="C1230" t="s">
        <v>65</v>
      </c>
      <c r="D1230" t="s">
        <v>2261</v>
      </c>
      <c r="E1230" t="str">
        <f>"7705034202"</f>
        <v>7705034202</v>
      </c>
      <c r="F1230" t="s">
        <v>407</v>
      </c>
      <c r="G1230" t="s">
        <v>2363</v>
      </c>
      <c r="H1230" t="s">
        <v>2364</v>
      </c>
      <c r="I1230" t="s">
        <v>17</v>
      </c>
      <c r="J1230" t="s">
        <v>18</v>
      </c>
    </row>
    <row r="1231" spans="1:10" hidden="1" x14ac:dyDescent="0.25">
      <c r="A1231" t="s">
        <v>11</v>
      </c>
      <c r="B1231" t="str">
        <f>"30/00155922-23"</f>
        <v>30/00155922-23</v>
      </c>
      <c r="C1231" t="s">
        <v>65</v>
      </c>
      <c r="D1231" t="s">
        <v>2261</v>
      </c>
      <c r="E1231" t="str">
        <f>"7705034202"</f>
        <v>7705034202</v>
      </c>
      <c r="F1231" t="s">
        <v>407</v>
      </c>
      <c r="G1231" t="s">
        <v>2365</v>
      </c>
      <c r="H1231" t="s">
        <v>2366</v>
      </c>
      <c r="I1231" t="s">
        <v>17</v>
      </c>
      <c r="J1231" t="s">
        <v>18</v>
      </c>
    </row>
    <row r="1232" spans="1:10" hidden="1" x14ac:dyDescent="0.25">
      <c r="A1232" t="s">
        <v>11</v>
      </c>
      <c r="B1232" t="str">
        <f>"SR110023069"</f>
        <v>SR110023069</v>
      </c>
      <c r="C1232" t="s">
        <v>65</v>
      </c>
      <c r="D1232" t="s">
        <v>2261</v>
      </c>
      <c r="E1232" t="str">
        <f>"4725006920"</f>
        <v>4725006920</v>
      </c>
      <c r="F1232" t="s">
        <v>101</v>
      </c>
      <c r="G1232" t="s">
        <v>2367</v>
      </c>
      <c r="H1232" t="s">
        <v>2368</v>
      </c>
      <c r="I1232" t="s">
        <v>17</v>
      </c>
      <c r="J1232" t="s">
        <v>18</v>
      </c>
    </row>
    <row r="1233" spans="1:10" hidden="1" x14ac:dyDescent="0.25">
      <c r="A1233" t="s">
        <v>11</v>
      </c>
      <c r="B1233" t="str">
        <f>"7810/8174420134"</f>
        <v>7810/8174420134</v>
      </c>
      <c r="C1233" t="s">
        <v>65</v>
      </c>
      <c r="D1233" t="s">
        <v>2261</v>
      </c>
      <c r="E1233" t="str">
        <f>"5032260402"</f>
        <v>5032260402</v>
      </c>
      <c r="F1233" t="s">
        <v>341</v>
      </c>
      <c r="G1233" t="s">
        <v>2369</v>
      </c>
      <c r="H1233" t="s">
        <v>2370</v>
      </c>
      <c r="I1233" t="s">
        <v>17</v>
      </c>
      <c r="J1233" t="s">
        <v>18</v>
      </c>
    </row>
    <row r="1234" spans="1:10" hidden="1" x14ac:dyDescent="0.25">
      <c r="A1234" t="s">
        <v>11</v>
      </c>
      <c r="B1234" t="str">
        <f>"7810/8174420409"</f>
        <v>7810/8174420409</v>
      </c>
      <c r="C1234" t="s">
        <v>65</v>
      </c>
      <c r="D1234" t="s">
        <v>2261</v>
      </c>
      <c r="E1234" t="str">
        <f>"5032260402"</f>
        <v>5032260402</v>
      </c>
      <c r="F1234" t="s">
        <v>341</v>
      </c>
      <c r="G1234" t="s">
        <v>2371</v>
      </c>
      <c r="H1234" t="s">
        <v>2372</v>
      </c>
      <c r="I1234" t="s">
        <v>17</v>
      </c>
      <c r="J1234" t="s">
        <v>18</v>
      </c>
    </row>
    <row r="1235" spans="1:10" hidden="1" x14ac:dyDescent="0.25">
      <c r="A1235" t="s">
        <v>11</v>
      </c>
      <c r="B1235" t="str">
        <f>"863"</f>
        <v>863</v>
      </c>
      <c r="C1235" t="s">
        <v>49</v>
      </c>
      <c r="D1235" t="s">
        <v>2261</v>
      </c>
      <c r="E1235" t="str">
        <f>"7704340969"</f>
        <v>7704340969</v>
      </c>
      <c r="F1235" t="s">
        <v>76</v>
      </c>
      <c r="G1235" t="s">
        <v>665</v>
      </c>
      <c r="H1235" t="s">
        <v>2373</v>
      </c>
      <c r="I1235" t="s">
        <v>17</v>
      </c>
      <c r="J1235" t="s">
        <v>18</v>
      </c>
    </row>
    <row r="1236" spans="1:10" hidden="1" x14ac:dyDescent="0.25">
      <c r="A1236" t="s">
        <v>11</v>
      </c>
      <c r="B1236" t="str">
        <f>"896"</f>
        <v>896</v>
      </c>
      <c r="C1236" t="s">
        <v>49</v>
      </c>
      <c r="D1236" t="s">
        <v>2261</v>
      </c>
      <c r="E1236" t="str">
        <f>"7704340969"</f>
        <v>7704340969</v>
      </c>
      <c r="F1236" t="s">
        <v>76</v>
      </c>
      <c r="G1236" t="s">
        <v>669</v>
      </c>
      <c r="H1236" t="s">
        <v>2374</v>
      </c>
      <c r="I1236" t="s">
        <v>17</v>
      </c>
      <c r="J1236" t="s">
        <v>18</v>
      </c>
    </row>
    <row r="1237" spans="1:10" hidden="1" x14ac:dyDescent="0.25">
      <c r="A1237" t="s">
        <v>11</v>
      </c>
      <c r="B1237" t="str">
        <f>"923"</f>
        <v>923</v>
      </c>
      <c r="C1237" t="s">
        <v>49</v>
      </c>
      <c r="D1237" t="s">
        <v>2261</v>
      </c>
      <c r="E1237" t="str">
        <f>"7704340969"</f>
        <v>7704340969</v>
      </c>
      <c r="F1237" t="s">
        <v>76</v>
      </c>
      <c r="G1237" t="s">
        <v>671</v>
      </c>
      <c r="H1237" t="s">
        <v>2375</v>
      </c>
      <c r="I1237" t="s">
        <v>17</v>
      </c>
      <c r="J1237" t="s">
        <v>18</v>
      </c>
    </row>
    <row r="1238" spans="1:10" hidden="1" x14ac:dyDescent="0.25">
      <c r="A1238" t="s">
        <v>11</v>
      </c>
      <c r="B1238" t="str">
        <f>"967"</f>
        <v>967</v>
      </c>
      <c r="C1238" t="s">
        <v>49</v>
      </c>
      <c r="D1238" t="s">
        <v>2261</v>
      </c>
      <c r="E1238" t="str">
        <f>"7704340969"</f>
        <v>7704340969</v>
      </c>
      <c r="F1238" t="s">
        <v>76</v>
      </c>
      <c r="G1238" t="s">
        <v>673</v>
      </c>
      <c r="H1238" t="s">
        <v>2376</v>
      </c>
      <c r="I1238" t="s">
        <v>17</v>
      </c>
      <c r="J1238" t="s">
        <v>18</v>
      </c>
    </row>
    <row r="1239" spans="1:10" hidden="1" x14ac:dyDescent="0.25">
      <c r="A1239" t="s">
        <v>11</v>
      </c>
      <c r="B1239" t="str">
        <f>"2278"</f>
        <v>2278</v>
      </c>
      <c r="C1239" t="s">
        <v>12</v>
      </c>
      <c r="D1239" t="s">
        <v>2261</v>
      </c>
      <c r="E1239" t="str">
        <f>"7825076677"</f>
        <v>7825076677</v>
      </c>
      <c r="F1239" t="s">
        <v>891</v>
      </c>
      <c r="G1239" t="s">
        <v>1591</v>
      </c>
      <c r="H1239" t="s">
        <v>2377</v>
      </c>
      <c r="I1239" t="s">
        <v>17</v>
      </c>
      <c r="J1239" t="s">
        <v>18</v>
      </c>
    </row>
    <row r="1240" spans="1:10" hidden="1" x14ac:dyDescent="0.25">
      <c r="A1240" t="s">
        <v>11</v>
      </c>
      <c r="B1240" t="str">
        <f>"7810/8174420582"</f>
        <v>7810/8174420582</v>
      </c>
      <c r="C1240" t="s">
        <v>65</v>
      </c>
      <c r="D1240" t="s">
        <v>2261</v>
      </c>
      <c r="E1240" t="str">
        <f>"5032260402"</f>
        <v>5032260402</v>
      </c>
      <c r="F1240" t="s">
        <v>341</v>
      </c>
      <c r="G1240" t="s">
        <v>2378</v>
      </c>
      <c r="H1240" t="s">
        <v>2379</v>
      </c>
      <c r="I1240" t="s">
        <v>17</v>
      </c>
      <c r="J1240" t="s">
        <v>18</v>
      </c>
    </row>
    <row r="1241" spans="1:10" hidden="1" x14ac:dyDescent="0.25">
      <c r="A1241" t="s">
        <v>11</v>
      </c>
      <c r="B1241" t="str">
        <f>"27864"</f>
        <v>27864</v>
      </c>
      <c r="C1241" t="s">
        <v>12</v>
      </c>
      <c r="D1241" t="s">
        <v>2261</v>
      </c>
      <c r="E1241" t="str">
        <f t="shared" ref="E1241:E1256" si="58">"7729488999"</f>
        <v>7729488999</v>
      </c>
      <c r="F1241" t="s">
        <v>85</v>
      </c>
      <c r="G1241" t="s">
        <v>2380</v>
      </c>
      <c r="H1241" t="s">
        <v>2381</v>
      </c>
      <c r="I1241" t="s">
        <v>17</v>
      </c>
      <c r="J1241" t="s">
        <v>18</v>
      </c>
    </row>
    <row r="1242" spans="1:10" hidden="1" x14ac:dyDescent="0.25">
      <c r="A1242" t="s">
        <v>11</v>
      </c>
      <c r="B1242" t="str">
        <f>"27851"</f>
        <v>27851</v>
      </c>
      <c r="C1242" t="s">
        <v>12</v>
      </c>
      <c r="D1242" t="s">
        <v>2261</v>
      </c>
      <c r="E1242" t="str">
        <f t="shared" si="58"/>
        <v>7729488999</v>
      </c>
      <c r="F1242" t="s">
        <v>85</v>
      </c>
      <c r="G1242" t="s">
        <v>2382</v>
      </c>
      <c r="H1242" t="s">
        <v>2383</v>
      </c>
      <c r="I1242" t="s">
        <v>17</v>
      </c>
      <c r="J1242" t="s">
        <v>18</v>
      </c>
    </row>
    <row r="1243" spans="1:10" hidden="1" x14ac:dyDescent="0.25">
      <c r="A1243" t="s">
        <v>11</v>
      </c>
      <c r="B1243" t="str">
        <f>"27830"</f>
        <v>27830</v>
      </c>
      <c r="C1243" t="s">
        <v>12</v>
      </c>
      <c r="D1243" t="s">
        <v>2261</v>
      </c>
      <c r="E1243" t="str">
        <f t="shared" si="58"/>
        <v>7729488999</v>
      </c>
      <c r="F1243" t="s">
        <v>85</v>
      </c>
      <c r="G1243" t="s">
        <v>2384</v>
      </c>
      <c r="H1243" t="s">
        <v>2385</v>
      </c>
      <c r="I1243" t="s">
        <v>17</v>
      </c>
      <c r="J1243" t="s">
        <v>18</v>
      </c>
    </row>
    <row r="1244" spans="1:10" hidden="1" x14ac:dyDescent="0.25">
      <c r="A1244" t="s">
        <v>11</v>
      </c>
      <c r="B1244" t="str">
        <f>"27827"</f>
        <v>27827</v>
      </c>
      <c r="C1244" t="s">
        <v>12</v>
      </c>
      <c r="D1244" t="s">
        <v>2261</v>
      </c>
      <c r="E1244" t="str">
        <f t="shared" si="58"/>
        <v>7729488999</v>
      </c>
      <c r="F1244" t="s">
        <v>85</v>
      </c>
      <c r="G1244" t="s">
        <v>2386</v>
      </c>
      <c r="H1244" t="s">
        <v>2387</v>
      </c>
      <c r="I1244" t="s">
        <v>17</v>
      </c>
      <c r="J1244" t="s">
        <v>18</v>
      </c>
    </row>
    <row r="1245" spans="1:10" hidden="1" x14ac:dyDescent="0.25">
      <c r="A1245" t="s">
        <v>11</v>
      </c>
      <c r="B1245" t="str">
        <f>"27821"</f>
        <v>27821</v>
      </c>
      <c r="C1245" t="s">
        <v>12</v>
      </c>
      <c r="D1245" t="s">
        <v>2261</v>
      </c>
      <c r="E1245" t="str">
        <f t="shared" si="58"/>
        <v>7729488999</v>
      </c>
      <c r="F1245" t="s">
        <v>85</v>
      </c>
      <c r="G1245" t="s">
        <v>2388</v>
      </c>
      <c r="H1245" t="s">
        <v>2389</v>
      </c>
      <c r="I1245" t="s">
        <v>17</v>
      </c>
      <c r="J1245" t="s">
        <v>18</v>
      </c>
    </row>
    <row r="1246" spans="1:10" hidden="1" x14ac:dyDescent="0.25">
      <c r="A1246" t="s">
        <v>11</v>
      </c>
      <c r="B1246" t="str">
        <f>"27817"</f>
        <v>27817</v>
      </c>
      <c r="C1246" t="s">
        <v>12</v>
      </c>
      <c r="D1246" t="s">
        <v>2261</v>
      </c>
      <c r="E1246" t="str">
        <f t="shared" si="58"/>
        <v>7729488999</v>
      </c>
      <c r="F1246" t="s">
        <v>85</v>
      </c>
      <c r="G1246" t="s">
        <v>2390</v>
      </c>
      <c r="H1246" t="s">
        <v>2391</v>
      </c>
      <c r="I1246" t="s">
        <v>17</v>
      </c>
      <c r="J1246" t="s">
        <v>18</v>
      </c>
    </row>
    <row r="1247" spans="1:10" hidden="1" x14ac:dyDescent="0.25">
      <c r="A1247" t="s">
        <v>11</v>
      </c>
      <c r="B1247" t="str">
        <f>"27811"</f>
        <v>27811</v>
      </c>
      <c r="C1247" t="s">
        <v>12</v>
      </c>
      <c r="D1247" t="s">
        <v>2261</v>
      </c>
      <c r="E1247" t="str">
        <f t="shared" si="58"/>
        <v>7729488999</v>
      </c>
      <c r="F1247" t="s">
        <v>85</v>
      </c>
      <c r="G1247" t="s">
        <v>2392</v>
      </c>
      <c r="H1247" t="s">
        <v>2393</v>
      </c>
      <c r="I1247" t="s">
        <v>17</v>
      </c>
      <c r="J1247" t="s">
        <v>18</v>
      </c>
    </row>
    <row r="1248" spans="1:10" hidden="1" x14ac:dyDescent="0.25">
      <c r="A1248" t="s">
        <v>11</v>
      </c>
      <c r="B1248" t="str">
        <f>"27705"</f>
        <v>27705</v>
      </c>
      <c r="C1248" t="s">
        <v>12</v>
      </c>
      <c r="D1248" t="s">
        <v>2261</v>
      </c>
      <c r="E1248" t="str">
        <f t="shared" si="58"/>
        <v>7729488999</v>
      </c>
      <c r="F1248" t="s">
        <v>85</v>
      </c>
      <c r="G1248" t="s">
        <v>2162</v>
      </c>
      <c r="H1248" t="s">
        <v>2394</v>
      </c>
      <c r="I1248" t="s">
        <v>17</v>
      </c>
      <c r="J1248" t="s">
        <v>18</v>
      </c>
    </row>
    <row r="1249" spans="1:10" hidden="1" x14ac:dyDescent="0.25">
      <c r="A1249" t="s">
        <v>11</v>
      </c>
      <c r="B1249" t="str">
        <f>"27703"</f>
        <v>27703</v>
      </c>
      <c r="C1249" t="s">
        <v>12</v>
      </c>
      <c r="D1249" t="s">
        <v>2261</v>
      </c>
      <c r="E1249" t="str">
        <f t="shared" si="58"/>
        <v>7729488999</v>
      </c>
      <c r="F1249" t="s">
        <v>85</v>
      </c>
      <c r="G1249" t="s">
        <v>2395</v>
      </c>
      <c r="H1249" t="s">
        <v>2396</v>
      </c>
      <c r="I1249" t="s">
        <v>17</v>
      </c>
      <c r="J1249" t="s">
        <v>18</v>
      </c>
    </row>
    <row r="1250" spans="1:10" hidden="1" x14ac:dyDescent="0.25">
      <c r="A1250" t="s">
        <v>11</v>
      </c>
      <c r="B1250" t="str">
        <f>"27694"</f>
        <v>27694</v>
      </c>
      <c r="C1250" t="s">
        <v>12</v>
      </c>
      <c r="D1250" t="s">
        <v>2261</v>
      </c>
      <c r="E1250" t="str">
        <f t="shared" si="58"/>
        <v>7729488999</v>
      </c>
      <c r="F1250" t="s">
        <v>85</v>
      </c>
      <c r="G1250" t="s">
        <v>2397</v>
      </c>
      <c r="H1250" t="s">
        <v>2398</v>
      </c>
      <c r="I1250" t="s">
        <v>17</v>
      </c>
      <c r="J1250" t="s">
        <v>18</v>
      </c>
    </row>
    <row r="1251" spans="1:10" hidden="1" x14ac:dyDescent="0.25">
      <c r="A1251" t="s">
        <v>11</v>
      </c>
      <c r="B1251" t="str">
        <f>"27685"</f>
        <v>27685</v>
      </c>
      <c r="C1251" t="s">
        <v>12</v>
      </c>
      <c r="D1251" t="s">
        <v>2261</v>
      </c>
      <c r="E1251" t="str">
        <f t="shared" si="58"/>
        <v>7729488999</v>
      </c>
      <c r="F1251" t="s">
        <v>85</v>
      </c>
      <c r="G1251" t="s">
        <v>2399</v>
      </c>
      <c r="H1251" t="s">
        <v>2400</v>
      </c>
      <c r="I1251" t="s">
        <v>17</v>
      </c>
      <c r="J1251" t="s">
        <v>18</v>
      </c>
    </row>
    <row r="1252" spans="1:10" hidden="1" x14ac:dyDescent="0.25">
      <c r="A1252" t="s">
        <v>11</v>
      </c>
      <c r="B1252" t="str">
        <f>"27683"</f>
        <v>27683</v>
      </c>
      <c r="C1252" t="s">
        <v>12</v>
      </c>
      <c r="D1252" t="s">
        <v>2261</v>
      </c>
      <c r="E1252" t="str">
        <f t="shared" si="58"/>
        <v>7729488999</v>
      </c>
      <c r="F1252" t="s">
        <v>85</v>
      </c>
      <c r="G1252" t="s">
        <v>2401</v>
      </c>
      <c r="H1252" t="s">
        <v>2402</v>
      </c>
      <c r="I1252" t="s">
        <v>17</v>
      </c>
      <c r="J1252" t="s">
        <v>18</v>
      </c>
    </row>
    <row r="1253" spans="1:10" hidden="1" x14ac:dyDescent="0.25">
      <c r="A1253" t="s">
        <v>11</v>
      </c>
      <c r="B1253" t="str">
        <f>"27680"</f>
        <v>27680</v>
      </c>
      <c r="C1253" t="s">
        <v>12</v>
      </c>
      <c r="D1253" t="s">
        <v>2261</v>
      </c>
      <c r="E1253" t="str">
        <f t="shared" si="58"/>
        <v>7729488999</v>
      </c>
      <c r="F1253" t="s">
        <v>85</v>
      </c>
      <c r="G1253" t="s">
        <v>2403</v>
      </c>
      <c r="H1253" t="s">
        <v>2404</v>
      </c>
      <c r="I1253" t="s">
        <v>17</v>
      </c>
      <c r="J1253" t="s">
        <v>18</v>
      </c>
    </row>
    <row r="1254" spans="1:10" hidden="1" x14ac:dyDescent="0.25">
      <c r="A1254" t="s">
        <v>11</v>
      </c>
      <c r="B1254" t="str">
        <f>"27671"</f>
        <v>27671</v>
      </c>
      <c r="C1254" t="s">
        <v>12</v>
      </c>
      <c r="D1254" t="s">
        <v>2261</v>
      </c>
      <c r="E1254" t="str">
        <f t="shared" si="58"/>
        <v>7729488999</v>
      </c>
      <c r="F1254" t="s">
        <v>85</v>
      </c>
      <c r="G1254" t="s">
        <v>2401</v>
      </c>
      <c r="H1254" t="s">
        <v>2405</v>
      </c>
      <c r="I1254" t="s">
        <v>17</v>
      </c>
      <c r="J1254" t="s">
        <v>18</v>
      </c>
    </row>
    <row r="1255" spans="1:10" hidden="1" x14ac:dyDescent="0.25">
      <c r="A1255" t="s">
        <v>11</v>
      </c>
      <c r="B1255" t="str">
        <f>"27669"</f>
        <v>27669</v>
      </c>
      <c r="C1255" t="s">
        <v>12</v>
      </c>
      <c r="D1255" t="s">
        <v>2261</v>
      </c>
      <c r="E1255" t="str">
        <f t="shared" si="58"/>
        <v>7729488999</v>
      </c>
      <c r="F1255" t="s">
        <v>85</v>
      </c>
      <c r="G1255" t="s">
        <v>2406</v>
      </c>
      <c r="H1255" t="s">
        <v>2407</v>
      </c>
      <c r="I1255" t="s">
        <v>17</v>
      </c>
      <c r="J1255" t="s">
        <v>18</v>
      </c>
    </row>
    <row r="1256" spans="1:10" hidden="1" x14ac:dyDescent="0.25">
      <c r="A1256" t="s">
        <v>11</v>
      </c>
      <c r="B1256" t="str">
        <f>"27660"</f>
        <v>27660</v>
      </c>
      <c r="C1256" t="s">
        <v>12</v>
      </c>
      <c r="D1256" t="s">
        <v>2261</v>
      </c>
      <c r="E1256" t="str">
        <f t="shared" si="58"/>
        <v>7729488999</v>
      </c>
      <c r="F1256" t="s">
        <v>85</v>
      </c>
      <c r="G1256" t="s">
        <v>2408</v>
      </c>
      <c r="H1256" t="s">
        <v>2409</v>
      </c>
      <c r="I1256" t="s">
        <v>17</v>
      </c>
      <c r="J1256" t="s">
        <v>18</v>
      </c>
    </row>
    <row r="1257" spans="1:10" hidden="1" x14ac:dyDescent="0.25">
      <c r="A1257" t="s">
        <v>290</v>
      </c>
      <c r="B1257" t="str">
        <f>"30042023726"</f>
        <v>30042023726</v>
      </c>
      <c r="C1257" t="s">
        <v>49</v>
      </c>
      <c r="D1257" t="s">
        <v>2261</v>
      </c>
      <c r="E1257" t="str">
        <f>"7805545867"</f>
        <v>7805545867</v>
      </c>
      <c r="F1257" t="s">
        <v>2410</v>
      </c>
      <c r="G1257" t="s">
        <v>2411</v>
      </c>
      <c r="H1257" t="s">
        <v>2412</v>
      </c>
      <c r="I1257" t="s">
        <v>17</v>
      </c>
      <c r="J1257" t="s">
        <v>18</v>
      </c>
    </row>
    <row r="1258" spans="1:10" hidden="1" x14ac:dyDescent="0.25">
      <c r="A1258" t="s">
        <v>11</v>
      </c>
      <c r="B1258" t="str">
        <f>"162"</f>
        <v>162</v>
      </c>
      <c r="C1258" t="s">
        <v>49</v>
      </c>
      <c r="D1258" t="s">
        <v>2261</v>
      </c>
      <c r="E1258" t="str">
        <f>"7702392168"</f>
        <v>7702392168</v>
      </c>
      <c r="F1258" t="s">
        <v>97</v>
      </c>
      <c r="G1258" t="s">
        <v>2413</v>
      </c>
      <c r="H1258" t="s">
        <v>2414</v>
      </c>
      <c r="I1258" t="s">
        <v>17</v>
      </c>
      <c r="J1258" t="s">
        <v>18</v>
      </c>
    </row>
    <row r="1259" spans="1:10" hidden="1" x14ac:dyDescent="0.25">
      <c r="A1259" t="s">
        <v>11</v>
      </c>
      <c r="B1259" t="str">
        <f>"28537"</f>
        <v>28537</v>
      </c>
      <c r="C1259" t="s">
        <v>100</v>
      </c>
      <c r="D1259" t="s">
        <v>2261</v>
      </c>
      <c r="E1259" t="str">
        <f>"7729488999"</f>
        <v>7729488999</v>
      </c>
      <c r="F1259" t="s">
        <v>85</v>
      </c>
      <c r="G1259" t="s">
        <v>2415</v>
      </c>
      <c r="H1259" t="s">
        <v>2416</v>
      </c>
      <c r="I1259" t="s">
        <v>17</v>
      </c>
      <c r="J1259" t="s">
        <v>18</v>
      </c>
    </row>
    <row r="1260" spans="1:10" hidden="1" x14ac:dyDescent="0.25">
      <c r="A1260" t="s">
        <v>11</v>
      </c>
      <c r="B1260" t="str">
        <f>"28519"</f>
        <v>28519</v>
      </c>
      <c r="C1260" t="s">
        <v>100</v>
      </c>
      <c r="D1260" t="s">
        <v>2261</v>
      </c>
      <c r="E1260" t="str">
        <f>"7729488999"</f>
        <v>7729488999</v>
      </c>
      <c r="F1260" t="s">
        <v>85</v>
      </c>
      <c r="G1260" t="s">
        <v>2417</v>
      </c>
      <c r="H1260" t="s">
        <v>2418</v>
      </c>
      <c r="I1260" t="s">
        <v>17</v>
      </c>
      <c r="J1260" t="s">
        <v>18</v>
      </c>
    </row>
    <row r="1261" spans="1:10" hidden="1" x14ac:dyDescent="0.25">
      <c r="A1261" t="s">
        <v>11</v>
      </c>
      <c r="B1261" t="str">
        <f>"28511"</f>
        <v>28511</v>
      </c>
      <c r="C1261" t="s">
        <v>100</v>
      </c>
      <c r="D1261" t="s">
        <v>2261</v>
      </c>
      <c r="E1261" t="str">
        <f>"7729488999"</f>
        <v>7729488999</v>
      </c>
      <c r="F1261" t="s">
        <v>85</v>
      </c>
      <c r="G1261" t="s">
        <v>2419</v>
      </c>
      <c r="H1261" t="s">
        <v>2420</v>
      </c>
      <c r="I1261" t="s">
        <v>17</v>
      </c>
      <c r="J1261" t="s">
        <v>18</v>
      </c>
    </row>
    <row r="1262" spans="1:10" hidden="1" x14ac:dyDescent="0.25">
      <c r="A1262" t="s">
        <v>11</v>
      </c>
      <c r="B1262" t="str">
        <f>"28508"</f>
        <v>28508</v>
      </c>
      <c r="C1262" t="s">
        <v>100</v>
      </c>
      <c r="D1262" t="s">
        <v>2261</v>
      </c>
      <c r="E1262" t="str">
        <f>"7729488999"</f>
        <v>7729488999</v>
      </c>
      <c r="F1262" t="s">
        <v>85</v>
      </c>
      <c r="G1262" t="s">
        <v>2421</v>
      </c>
      <c r="H1262" t="s">
        <v>2422</v>
      </c>
      <c r="I1262" t="s">
        <v>17</v>
      </c>
      <c r="J1262" t="s">
        <v>18</v>
      </c>
    </row>
    <row r="1263" spans="1:10" hidden="1" x14ac:dyDescent="0.25">
      <c r="A1263" t="s">
        <v>11</v>
      </c>
      <c r="B1263" t="str">
        <f>"152619/780E"</f>
        <v>152619/780E</v>
      </c>
      <c r="C1263" t="s">
        <v>100</v>
      </c>
      <c r="D1263" t="s">
        <v>2261</v>
      </c>
      <c r="E1263" t="str">
        <f t="shared" ref="E1263:E1274" si="59">"5003052454"</f>
        <v>5003052454</v>
      </c>
      <c r="F1263" t="s">
        <v>14</v>
      </c>
      <c r="G1263" t="s">
        <v>2423</v>
      </c>
      <c r="H1263" t="s">
        <v>2424</v>
      </c>
      <c r="I1263" t="s">
        <v>17</v>
      </c>
      <c r="J1263" t="s">
        <v>18</v>
      </c>
    </row>
    <row r="1264" spans="1:10" hidden="1" x14ac:dyDescent="0.25">
      <c r="A1264" t="s">
        <v>11</v>
      </c>
      <c r="B1264" t="str">
        <f>"152620/780E"</f>
        <v>152620/780E</v>
      </c>
      <c r="C1264" t="s">
        <v>100</v>
      </c>
      <c r="D1264" t="s">
        <v>2261</v>
      </c>
      <c r="E1264" t="str">
        <f t="shared" si="59"/>
        <v>5003052454</v>
      </c>
      <c r="F1264" t="s">
        <v>14</v>
      </c>
      <c r="G1264" t="s">
        <v>2425</v>
      </c>
      <c r="H1264" t="s">
        <v>2426</v>
      </c>
      <c r="I1264" t="s">
        <v>17</v>
      </c>
      <c r="J1264" t="s">
        <v>18</v>
      </c>
    </row>
    <row r="1265" spans="1:10" hidden="1" x14ac:dyDescent="0.25">
      <c r="A1265" t="s">
        <v>11</v>
      </c>
      <c r="B1265" t="str">
        <f>"152622/780E"</f>
        <v>152622/780E</v>
      </c>
      <c r="C1265" t="s">
        <v>100</v>
      </c>
      <c r="D1265" t="s">
        <v>2261</v>
      </c>
      <c r="E1265" t="str">
        <f t="shared" si="59"/>
        <v>5003052454</v>
      </c>
      <c r="F1265" t="s">
        <v>14</v>
      </c>
      <c r="G1265" t="s">
        <v>2427</v>
      </c>
      <c r="H1265" t="s">
        <v>2428</v>
      </c>
      <c r="I1265" t="s">
        <v>17</v>
      </c>
      <c r="J1265" t="s">
        <v>18</v>
      </c>
    </row>
    <row r="1266" spans="1:10" hidden="1" x14ac:dyDescent="0.25">
      <c r="A1266" t="s">
        <v>11</v>
      </c>
      <c r="B1266" t="str">
        <f>"152623/780E"</f>
        <v>152623/780E</v>
      </c>
      <c r="C1266" t="s">
        <v>100</v>
      </c>
      <c r="D1266" t="s">
        <v>2261</v>
      </c>
      <c r="E1266" t="str">
        <f t="shared" si="59"/>
        <v>5003052454</v>
      </c>
      <c r="F1266" t="s">
        <v>14</v>
      </c>
      <c r="G1266" t="s">
        <v>2429</v>
      </c>
      <c r="H1266" t="s">
        <v>2430</v>
      </c>
      <c r="I1266" t="s">
        <v>17</v>
      </c>
      <c r="J1266" t="s">
        <v>18</v>
      </c>
    </row>
    <row r="1267" spans="1:10" hidden="1" x14ac:dyDescent="0.25">
      <c r="A1267" t="s">
        <v>11</v>
      </c>
      <c r="B1267" t="str">
        <f>"152621/780E"</f>
        <v>152621/780E</v>
      </c>
      <c r="C1267" t="s">
        <v>100</v>
      </c>
      <c r="D1267" t="s">
        <v>2261</v>
      </c>
      <c r="E1267" t="str">
        <f t="shared" si="59"/>
        <v>5003052454</v>
      </c>
      <c r="F1267" t="s">
        <v>14</v>
      </c>
      <c r="G1267" t="s">
        <v>2084</v>
      </c>
      <c r="H1267" t="s">
        <v>2431</v>
      </c>
      <c r="I1267" t="s">
        <v>17</v>
      </c>
      <c r="J1267" t="s">
        <v>18</v>
      </c>
    </row>
    <row r="1268" spans="1:10" hidden="1" x14ac:dyDescent="0.25">
      <c r="A1268" t="s">
        <v>11</v>
      </c>
      <c r="B1268" t="str">
        <f>"152624/780E"</f>
        <v>152624/780E</v>
      </c>
      <c r="C1268" t="s">
        <v>100</v>
      </c>
      <c r="D1268" t="s">
        <v>2261</v>
      </c>
      <c r="E1268" t="str">
        <f t="shared" si="59"/>
        <v>5003052454</v>
      </c>
      <c r="F1268" t="s">
        <v>14</v>
      </c>
      <c r="G1268" t="s">
        <v>200</v>
      </c>
      <c r="H1268" t="s">
        <v>2432</v>
      </c>
      <c r="I1268" t="s">
        <v>17</v>
      </c>
      <c r="J1268" t="s">
        <v>18</v>
      </c>
    </row>
    <row r="1269" spans="1:10" hidden="1" x14ac:dyDescent="0.25">
      <c r="A1269" t="s">
        <v>11</v>
      </c>
      <c r="B1269" t="str">
        <f>"152626/780E"</f>
        <v>152626/780E</v>
      </c>
      <c r="C1269" t="s">
        <v>100</v>
      </c>
      <c r="D1269" t="s">
        <v>2261</v>
      </c>
      <c r="E1269" t="str">
        <f t="shared" si="59"/>
        <v>5003052454</v>
      </c>
      <c r="F1269" t="s">
        <v>14</v>
      </c>
      <c r="G1269" t="s">
        <v>2433</v>
      </c>
      <c r="H1269" t="s">
        <v>2434</v>
      </c>
      <c r="I1269" t="s">
        <v>17</v>
      </c>
      <c r="J1269" t="s">
        <v>18</v>
      </c>
    </row>
    <row r="1270" spans="1:10" hidden="1" x14ac:dyDescent="0.25">
      <c r="A1270" t="s">
        <v>11</v>
      </c>
      <c r="B1270" t="str">
        <f>"152625/780E"</f>
        <v>152625/780E</v>
      </c>
      <c r="C1270" t="s">
        <v>100</v>
      </c>
      <c r="D1270" t="s">
        <v>2261</v>
      </c>
      <c r="E1270" t="str">
        <f t="shared" si="59"/>
        <v>5003052454</v>
      </c>
      <c r="F1270" t="s">
        <v>14</v>
      </c>
      <c r="G1270" t="s">
        <v>2435</v>
      </c>
      <c r="H1270" t="s">
        <v>2436</v>
      </c>
      <c r="I1270" t="s">
        <v>17</v>
      </c>
      <c r="J1270" t="s">
        <v>18</v>
      </c>
    </row>
    <row r="1271" spans="1:10" hidden="1" x14ac:dyDescent="0.25">
      <c r="A1271" t="s">
        <v>11</v>
      </c>
      <c r="B1271" t="str">
        <f>"152627/780E"</f>
        <v>152627/780E</v>
      </c>
      <c r="C1271" t="s">
        <v>100</v>
      </c>
      <c r="D1271" t="s">
        <v>2261</v>
      </c>
      <c r="E1271" t="str">
        <f t="shared" si="59"/>
        <v>5003052454</v>
      </c>
      <c r="F1271" t="s">
        <v>14</v>
      </c>
      <c r="G1271" t="s">
        <v>2437</v>
      </c>
      <c r="H1271" t="s">
        <v>2438</v>
      </c>
      <c r="I1271" t="s">
        <v>17</v>
      </c>
      <c r="J1271" t="s">
        <v>18</v>
      </c>
    </row>
    <row r="1272" spans="1:10" hidden="1" x14ac:dyDescent="0.25">
      <c r="A1272" t="s">
        <v>11</v>
      </c>
      <c r="B1272" t="str">
        <f>"152629/780E"</f>
        <v>152629/780E</v>
      </c>
      <c r="C1272" t="s">
        <v>100</v>
      </c>
      <c r="D1272" t="s">
        <v>2261</v>
      </c>
      <c r="E1272" t="str">
        <f t="shared" si="59"/>
        <v>5003052454</v>
      </c>
      <c r="F1272" t="s">
        <v>14</v>
      </c>
      <c r="G1272" t="s">
        <v>2439</v>
      </c>
      <c r="H1272" t="s">
        <v>2440</v>
      </c>
      <c r="I1272" t="s">
        <v>17</v>
      </c>
      <c r="J1272" t="s">
        <v>18</v>
      </c>
    </row>
    <row r="1273" spans="1:10" hidden="1" x14ac:dyDescent="0.25">
      <c r="A1273" t="s">
        <v>11</v>
      </c>
      <c r="B1273" t="str">
        <f>"152628/780E"</f>
        <v>152628/780E</v>
      </c>
      <c r="C1273" t="s">
        <v>100</v>
      </c>
      <c r="D1273" t="s">
        <v>2261</v>
      </c>
      <c r="E1273" t="str">
        <f t="shared" si="59"/>
        <v>5003052454</v>
      </c>
      <c r="F1273" t="s">
        <v>14</v>
      </c>
      <c r="G1273" t="s">
        <v>2441</v>
      </c>
      <c r="H1273" t="s">
        <v>2442</v>
      </c>
      <c r="I1273" t="s">
        <v>17</v>
      </c>
      <c r="J1273" t="s">
        <v>18</v>
      </c>
    </row>
    <row r="1274" spans="1:10" hidden="1" x14ac:dyDescent="0.25">
      <c r="A1274" t="s">
        <v>11</v>
      </c>
      <c r="B1274" t="str">
        <f>"152642/780E"</f>
        <v>152642/780E</v>
      </c>
      <c r="C1274" t="s">
        <v>100</v>
      </c>
      <c r="D1274" t="s">
        <v>2261</v>
      </c>
      <c r="E1274" t="str">
        <f t="shared" si="59"/>
        <v>5003052454</v>
      </c>
      <c r="F1274" t="s">
        <v>14</v>
      </c>
      <c r="G1274" t="s">
        <v>2443</v>
      </c>
      <c r="H1274" t="s">
        <v>2444</v>
      </c>
      <c r="I1274" t="s">
        <v>17</v>
      </c>
      <c r="J1274" t="s">
        <v>18</v>
      </c>
    </row>
    <row r="1275" spans="1:10" hidden="1" x14ac:dyDescent="0.25">
      <c r="A1275" t="s">
        <v>11</v>
      </c>
      <c r="B1275" t="str">
        <f>"UT-107988"</f>
        <v>UT-107988</v>
      </c>
      <c r="C1275" t="s">
        <v>100</v>
      </c>
      <c r="D1275" t="s">
        <v>2261</v>
      </c>
      <c r="E1275" t="str">
        <f t="shared" ref="E1275:E1283" si="60">"7806385951"</f>
        <v>7806385951</v>
      </c>
      <c r="F1275" t="s">
        <v>26</v>
      </c>
      <c r="G1275" t="s">
        <v>2445</v>
      </c>
      <c r="H1275" t="s">
        <v>2446</v>
      </c>
      <c r="I1275" t="s">
        <v>17</v>
      </c>
      <c r="J1275" t="s">
        <v>18</v>
      </c>
    </row>
    <row r="1276" spans="1:10" hidden="1" x14ac:dyDescent="0.25">
      <c r="A1276" t="s">
        <v>11</v>
      </c>
      <c r="B1276" t="str">
        <f>"UT-108041"</f>
        <v>UT-108041</v>
      </c>
      <c r="C1276" t="s">
        <v>100</v>
      </c>
      <c r="D1276" t="s">
        <v>2261</v>
      </c>
      <c r="E1276" t="str">
        <f t="shared" si="60"/>
        <v>7806385951</v>
      </c>
      <c r="F1276" t="s">
        <v>26</v>
      </c>
      <c r="G1276" t="s">
        <v>2447</v>
      </c>
      <c r="H1276" t="s">
        <v>2448</v>
      </c>
      <c r="I1276" t="s">
        <v>17</v>
      </c>
      <c r="J1276" t="s">
        <v>18</v>
      </c>
    </row>
    <row r="1277" spans="1:10" hidden="1" x14ac:dyDescent="0.25">
      <c r="A1277" t="s">
        <v>11</v>
      </c>
      <c r="B1277" t="str">
        <f>"UT-108040"</f>
        <v>UT-108040</v>
      </c>
      <c r="C1277" t="s">
        <v>100</v>
      </c>
      <c r="D1277" t="s">
        <v>2261</v>
      </c>
      <c r="E1277" t="str">
        <f t="shared" si="60"/>
        <v>7806385951</v>
      </c>
      <c r="F1277" t="s">
        <v>26</v>
      </c>
      <c r="G1277" t="s">
        <v>2449</v>
      </c>
      <c r="H1277" t="s">
        <v>2450</v>
      </c>
      <c r="I1277" t="s">
        <v>17</v>
      </c>
      <c r="J1277" t="s">
        <v>18</v>
      </c>
    </row>
    <row r="1278" spans="1:10" hidden="1" x14ac:dyDescent="0.25">
      <c r="A1278" t="s">
        <v>11</v>
      </c>
      <c r="B1278" t="str">
        <f>"UT-108262"</f>
        <v>UT-108262</v>
      </c>
      <c r="C1278" t="s">
        <v>100</v>
      </c>
      <c r="D1278" t="s">
        <v>2261</v>
      </c>
      <c r="E1278" t="str">
        <f t="shared" si="60"/>
        <v>7806385951</v>
      </c>
      <c r="F1278" t="s">
        <v>26</v>
      </c>
      <c r="G1278" t="s">
        <v>2451</v>
      </c>
      <c r="H1278" t="s">
        <v>2452</v>
      </c>
      <c r="I1278" t="s">
        <v>17</v>
      </c>
      <c r="J1278" t="s">
        <v>18</v>
      </c>
    </row>
    <row r="1279" spans="1:10" hidden="1" x14ac:dyDescent="0.25">
      <c r="A1279" t="s">
        <v>11</v>
      </c>
      <c r="B1279" t="str">
        <f>"UT-108261"</f>
        <v>UT-108261</v>
      </c>
      <c r="C1279" t="s">
        <v>100</v>
      </c>
      <c r="D1279" t="s">
        <v>2261</v>
      </c>
      <c r="E1279" t="str">
        <f t="shared" si="60"/>
        <v>7806385951</v>
      </c>
      <c r="F1279" t="s">
        <v>26</v>
      </c>
      <c r="G1279" t="s">
        <v>220</v>
      </c>
      <c r="H1279" t="s">
        <v>2453</v>
      </c>
      <c r="I1279" t="s">
        <v>17</v>
      </c>
      <c r="J1279" t="s">
        <v>18</v>
      </c>
    </row>
    <row r="1280" spans="1:10" hidden="1" x14ac:dyDescent="0.25">
      <c r="A1280" t="s">
        <v>11</v>
      </c>
      <c r="B1280" t="str">
        <f>"UT-108334"</f>
        <v>UT-108334</v>
      </c>
      <c r="C1280" t="s">
        <v>100</v>
      </c>
      <c r="D1280" t="s">
        <v>2261</v>
      </c>
      <c r="E1280" t="str">
        <f t="shared" si="60"/>
        <v>7806385951</v>
      </c>
      <c r="F1280" t="s">
        <v>26</v>
      </c>
      <c r="G1280" t="s">
        <v>2454</v>
      </c>
      <c r="H1280" t="s">
        <v>2455</v>
      </c>
      <c r="I1280" t="s">
        <v>17</v>
      </c>
      <c r="J1280" t="s">
        <v>18</v>
      </c>
    </row>
    <row r="1281" spans="1:10" hidden="1" x14ac:dyDescent="0.25">
      <c r="A1281" t="s">
        <v>11</v>
      </c>
      <c r="B1281" t="str">
        <f>"UT-108358"</f>
        <v>UT-108358</v>
      </c>
      <c r="C1281" t="s">
        <v>100</v>
      </c>
      <c r="D1281" t="s">
        <v>2261</v>
      </c>
      <c r="E1281" t="str">
        <f t="shared" si="60"/>
        <v>7806385951</v>
      </c>
      <c r="F1281" t="s">
        <v>26</v>
      </c>
      <c r="G1281" t="s">
        <v>2456</v>
      </c>
      <c r="H1281" t="s">
        <v>2457</v>
      </c>
      <c r="I1281" t="s">
        <v>17</v>
      </c>
      <c r="J1281" t="s">
        <v>18</v>
      </c>
    </row>
    <row r="1282" spans="1:10" hidden="1" x14ac:dyDescent="0.25">
      <c r="A1282" t="s">
        <v>11</v>
      </c>
      <c r="B1282" t="str">
        <f>"UT-108402"</f>
        <v>UT-108402</v>
      </c>
      <c r="C1282" t="s">
        <v>100</v>
      </c>
      <c r="D1282" t="s">
        <v>2261</v>
      </c>
      <c r="E1282" t="str">
        <f t="shared" si="60"/>
        <v>7806385951</v>
      </c>
      <c r="F1282" t="s">
        <v>26</v>
      </c>
      <c r="G1282" t="s">
        <v>2458</v>
      </c>
      <c r="H1282" t="s">
        <v>2459</v>
      </c>
      <c r="I1282" t="s">
        <v>17</v>
      </c>
      <c r="J1282" t="s">
        <v>18</v>
      </c>
    </row>
    <row r="1283" spans="1:10" hidden="1" x14ac:dyDescent="0.25">
      <c r="A1283" t="s">
        <v>11</v>
      </c>
      <c r="B1283" t="str">
        <f>"UT-108401"</f>
        <v>UT-108401</v>
      </c>
      <c r="C1283" t="s">
        <v>100</v>
      </c>
      <c r="D1283" t="s">
        <v>2261</v>
      </c>
      <c r="E1283" t="str">
        <f t="shared" si="60"/>
        <v>7806385951</v>
      </c>
      <c r="F1283" t="s">
        <v>26</v>
      </c>
      <c r="G1283" t="s">
        <v>2460</v>
      </c>
      <c r="H1283" t="s">
        <v>2461</v>
      </c>
      <c r="I1283" t="s">
        <v>17</v>
      </c>
      <c r="J1283" t="s">
        <v>18</v>
      </c>
    </row>
    <row r="1284" spans="1:10" hidden="1" x14ac:dyDescent="0.25">
      <c r="A1284" t="s">
        <v>11</v>
      </c>
      <c r="B1284" t="str">
        <f>"SR110023372"</f>
        <v>SR110023372</v>
      </c>
      <c r="C1284" t="s">
        <v>100</v>
      </c>
      <c r="D1284" t="s">
        <v>2261</v>
      </c>
      <c r="E1284" t="str">
        <f>"4725006920"</f>
        <v>4725006920</v>
      </c>
      <c r="F1284" t="s">
        <v>101</v>
      </c>
      <c r="G1284" t="s">
        <v>2462</v>
      </c>
      <c r="H1284" t="s">
        <v>2463</v>
      </c>
      <c r="I1284" t="s">
        <v>17</v>
      </c>
      <c r="J1284" t="s">
        <v>18</v>
      </c>
    </row>
    <row r="1285" spans="1:10" hidden="1" x14ac:dyDescent="0.25">
      <c r="A1285" t="s">
        <v>11</v>
      </c>
      <c r="B1285" t="str">
        <f>"SR110023371"</f>
        <v>SR110023371</v>
      </c>
      <c r="C1285" t="s">
        <v>100</v>
      </c>
      <c r="D1285" t="s">
        <v>2261</v>
      </c>
      <c r="E1285" t="str">
        <f>"4725006920"</f>
        <v>4725006920</v>
      </c>
      <c r="F1285" t="s">
        <v>101</v>
      </c>
      <c r="G1285" t="s">
        <v>2464</v>
      </c>
      <c r="H1285" t="s">
        <v>2465</v>
      </c>
      <c r="I1285" t="s">
        <v>17</v>
      </c>
      <c r="J1285" t="s">
        <v>18</v>
      </c>
    </row>
    <row r="1286" spans="1:10" hidden="1" x14ac:dyDescent="0.25">
      <c r="A1286" t="s">
        <v>11</v>
      </c>
      <c r="B1286" t="str">
        <f>"SR110023366"</f>
        <v>SR110023366</v>
      </c>
      <c r="C1286" t="s">
        <v>100</v>
      </c>
      <c r="D1286" t="s">
        <v>2261</v>
      </c>
      <c r="E1286" t="str">
        <f>"4725006920"</f>
        <v>4725006920</v>
      </c>
      <c r="F1286" t="s">
        <v>101</v>
      </c>
      <c r="G1286" t="s">
        <v>2466</v>
      </c>
      <c r="H1286" t="s">
        <v>2467</v>
      </c>
      <c r="I1286" t="s">
        <v>17</v>
      </c>
      <c r="J1286" t="s">
        <v>18</v>
      </c>
    </row>
    <row r="1287" spans="1:10" hidden="1" x14ac:dyDescent="0.25">
      <c r="A1287" t="s">
        <v>11</v>
      </c>
      <c r="B1287" t="str">
        <f>"SR110023340"</f>
        <v>SR110023340</v>
      </c>
      <c r="C1287" t="s">
        <v>100</v>
      </c>
      <c r="D1287" t="s">
        <v>2261</v>
      </c>
      <c r="E1287" t="str">
        <f>"4725006920"</f>
        <v>4725006920</v>
      </c>
      <c r="F1287" t="s">
        <v>101</v>
      </c>
      <c r="G1287" t="s">
        <v>432</v>
      </c>
      <c r="H1287" t="s">
        <v>2468</v>
      </c>
      <c r="I1287" t="s">
        <v>17</v>
      </c>
      <c r="J1287" t="s">
        <v>18</v>
      </c>
    </row>
    <row r="1288" spans="1:10" hidden="1" x14ac:dyDescent="0.25">
      <c r="A1288" t="s">
        <v>11</v>
      </c>
      <c r="B1288" t="str">
        <f>"UT-108260"</f>
        <v>UT-108260</v>
      </c>
      <c r="C1288" t="s">
        <v>100</v>
      </c>
      <c r="D1288" t="s">
        <v>2261</v>
      </c>
      <c r="E1288" t="str">
        <f>"7806385951"</f>
        <v>7806385951</v>
      </c>
      <c r="F1288" t="s">
        <v>26</v>
      </c>
      <c r="G1288" t="s">
        <v>2469</v>
      </c>
      <c r="H1288" t="s">
        <v>2470</v>
      </c>
      <c r="I1288" t="s">
        <v>17</v>
      </c>
      <c r="J1288" t="s">
        <v>18</v>
      </c>
    </row>
    <row r="1289" spans="1:10" hidden="1" x14ac:dyDescent="0.25">
      <c r="A1289" t="s">
        <v>11</v>
      </c>
      <c r="B1289" t="str">
        <f>"UT-108259"</f>
        <v>UT-108259</v>
      </c>
      <c r="C1289" t="s">
        <v>100</v>
      </c>
      <c r="D1289" t="s">
        <v>2261</v>
      </c>
      <c r="E1289" t="str">
        <f>"7806385951"</f>
        <v>7806385951</v>
      </c>
      <c r="F1289" t="s">
        <v>26</v>
      </c>
      <c r="G1289" t="s">
        <v>2471</v>
      </c>
      <c r="H1289" t="s">
        <v>2472</v>
      </c>
      <c r="I1289" t="s">
        <v>17</v>
      </c>
      <c r="J1289" t="s">
        <v>18</v>
      </c>
    </row>
    <row r="1290" spans="1:10" x14ac:dyDescent="0.25">
      <c r="A1290" t="s">
        <v>11</v>
      </c>
      <c r="B1290" t="str">
        <f>"УТР0167314"</f>
        <v>УТР0167314</v>
      </c>
      <c r="C1290" t="s">
        <v>100</v>
      </c>
      <c r="D1290" t="s">
        <v>2261</v>
      </c>
      <c r="E1290" t="str">
        <f>"7804044258"</f>
        <v>7804044258</v>
      </c>
      <c r="F1290" t="s">
        <v>155</v>
      </c>
      <c r="G1290" t="s">
        <v>2473</v>
      </c>
      <c r="H1290" t="s">
        <v>2474</v>
      </c>
      <c r="I1290" t="s">
        <v>17</v>
      </c>
      <c r="J1290" t="s">
        <v>166</v>
      </c>
    </row>
    <row r="1291" spans="1:10" x14ac:dyDescent="0.25">
      <c r="A1291" t="s">
        <v>11</v>
      </c>
      <c r="B1291" t="str">
        <f>"УТР0167313"</f>
        <v>УТР0167313</v>
      </c>
      <c r="C1291" t="s">
        <v>100</v>
      </c>
      <c r="D1291" t="s">
        <v>2261</v>
      </c>
      <c r="E1291" t="str">
        <f>"7804044258"</f>
        <v>7804044258</v>
      </c>
      <c r="F1291" t="s">
        <v>155</v>
      </c>
      <c r="G1291" t="s">
        <v>2475</v>
      </c>
      <c r="H1291" t="s">
        <v>2476</v>
      </c>
      <c r="I1291" t="s">
        <v>17</v>
      </c>
      <c r="J1291" t="s">
        <v>166</v>
      </c>
    </row>
    <row r="1292" spans="1:10" hidden="1" x14ac:dyDescent="0.25">
      <c r="A1292" t="s">
        <v>11</v>
      </c>
      <c r="B1292" t="str">
        <f>"28332462"</f>
        <v>28332462</v>
      </c>
      <c r="C1292" t="s">
        <v>65</v>
      </c>
      <c r="D1292" t="s">
        <v>2261</v>
      </c>
      <c r="E1292" t="str">
        <f>"7721793895"</f>
        <v>7721793895</v>
      </c>
      <c r="F1292" t="s">
        <v>109</v>
      </c>
      <c r="G1292" t="s">
        <v>2477</v>
      </c>
      <c r="H1292" t="s">
        <v>2478</v>
      </c>
      <c r="I1292" t="s">
        <v>17</v>
      </c>
      <c r="J1292" t="s">
        <v>18</v>
      </c>
    </row>
    <row r="1293" spans="1:10" hidden="1" x14ac:dyDescent="0.25">
      <c r="A1293" t="s">
        <v>11</v>
      </c>
      <c r="B1293" t="str">
        <f>"2023/40/03/0034789/06"</f>
        <v>2023/40/03/0034789/06</v>
      </c>
      <c r="C1293" t="s">
        <v>65</v>
      </c>
      <c r="D1293" t="s">
        <v>2261</v>
      </c>
      <c r="E1293" t="str">
        <f>"7718151150"</f>
        <v>7718151150</v>
      </c>
      <c r="F1293" t="s">
        <v>54</v>
      </c>
      <c r="G1293" t="s">
        <v>253</v>
      </c>
      <c r="H1293" t="s">
        <v>2479</v>
      </c>
      <c r="I1293" t="s">
        <v>17</v>
      </c>
      <c r="J1293" t="s">
        <v>18</v>
      </c>
    </row>
    <row r="1294" spans="1:10" hidden="1" x14ac:dyDescent="0.25">
      <c r="A1294" t="s">
        <v>11</v>
      </c>
      <c r="B1294" t="str">
        <f>"2023/40/03/0035008/06"</f>
        <v>2023/40/03/0035008/06</v>
      </c>
      <c r="C1294" t="s">
        <v>65</v>
      </c>
      <c r="D1294" t="s">
        <v>2261</v>
      </c>
      <c r="E1294" t="str">
        <f>"7718151150"</f>
        <v>7718151150</v>
      </c>
      <c r="F1294" t="s">
        <v>54</v>
      </c>
      <c r="G1294" t="s">
        <v>2480</v>
      </c>
      <c r="H1294" t="s">
        <v>2481</v>
      </c>
      <c r="I1294" t="s">
        <v>17</v>
      </c>
      <c r="J1294" t="s">
        <v>18</v>
      </c>
    </row>
    <row r="1295" spans="1:10" hidden="1" x14ac:dyDescent="0.25">
      <c r="A1295" t="s">
        <v>11</v>
      </c>
      <c r="B1295" t="str">
        <f>"2023/40/03/0035000/06"</f>
        <v>2023/40/03/0035000/06</v>
      </c>
      <c r="C1295" t="s">
        <v>65</v>
      </c>
      <c r="D1295" t="s">
        <v>2261</v>
      </c>
      <c r="E1295" t="str">
        <f>"7718151150"</f>
        <v>7718151150</v>
      </c>
      <c r="F1295" t="s">
        <v>54</v>
      </c>
      <c r="G1295" t="s">
        <v>253</v>
      </c>
      <c r="H1295" t="s">
        <v>2482</v>
      </c>
      <c r="I1295" t="s">
        <v>17</v>
      </c>
      <c r="J1295" t="s">
        <v>18</v>
      </c>
    </row>
    <row r="1296" spans="1:10" hidden="1" x14ac:dyDescent="0.25">
      <c r="A1296" t="s">
        <v>11</v>
      </c>
      <c r="B1296" t="str">
        <f>"БАШМ0504/03"</f>
        <v>БАШМ0504/03</v>
      </c>
      <c r="C1296" t="s">
        <v>100</v>
      </c>
      <c r="D1296" t="s">
        <v>2261</v>
      </c>
      <c r="E1296" t="str">
        <f>"7735126034"</f>
        <v>7735126034</v>
      </c>
      <c r="F1296" t="s">
        <v>131</v>
      </c>
      <c r="G1296" t="s">
        <v>2483</v>
      </c>
      <c r="H1296" t="s">
        <v>2484</v>
      </c>
      <c r="I1296" t="s">
        <v>17</v>
      </c>
      <c r="J1296" t="s">
        <v>18</v>
      </c>
    </row>
    <row r="1297" spans="1:10" hidden="1" x14ac:dyDescent="0.25">
      <c r="A1297" t="s">
        <v>11</v>
      </c>
      <c r="B1297" t="str">
        <f>"28338658"</f>
        <v>28338658</v>
      </c>
      <c r="C1297" t="s">
        <v>65</v>
      </c>
      <c r="D1297" t="s">
        <v>2261</v>
      </c>
      <c r="E1297" t="str">
        <f>"7721793895"</f>
        <v>7721793895</v>
      </c>
      <c r="F1297" t="s">
        <v>109</v>
      </c>
      <c r="G1297" t="s">
        <v>2485</v>
      </c>
      <c r="H1297" t="s">
        <v>2486</v>
      </c>
      <c r="I1297" t="s">
        <v>17</v>
      </c>
      <c r="J1297" t="s">
        <v>18</v>
      </c>
    </row>
    <row r="1298" spans="1:10" hidden="1" x14ac:dyDescent="0.25">
      <c r="A1298" t="s">
        <v>11</v>
      </c>
      <c r="B1298" t="str">
        <f>"28339386"</f>
        <v>28339386</v>
      </c>
      <c r="C1298" t="s">
        <v>65</v>
      </c>
      <c r="D1298" t="s">
        <v>2261</v>
      </c>
      <c r="E1298" t="str">
        <f>"7721793895"</f>
        <v>7721793895</v>
      </c>
      <c r="F1298" t="s">
        <v>109</v>
      </c>
      <c r="G1298" t="s">
        <v>2487</v>
      </c>
      <c r="H1298" t="s">
        <v>2488</v>
      </c>
      <c r="I1298" t="s">
        <v>17</v>
      </c>
      <c r="J1298" t="s">
        <v>18</v>
      </c>
    </row>
    <row r="1299" spans="1:10" hidden="1" x14ac:dyDescent="0.25">
      <c r="A1299" t="s">
        <v>11</v>
      </c>
      <c r="B1299" t="str">
        <f>"28340218"</f>
        <v>28340218</v>
      </c>
      <c r="C1299" t="s">
        <v>65</v>
      </c>
      <c r="D1299" t="s">
        <v>2261</v>
      </c>
      <c r="E1299" t="str">
        <f>"7721793895"</f>
        <v>7721793895</v>
      </c>
      <c r="F1299" t="s">
        <v>109</v>
      </c>
      <c r="G1299" t="s">
        <v>2489</v>
      </c>
      <c r="H1299" t="s">
        <v>2490</v>
      </c>
      <c r="I1299" t="s">
        <v>17</v>
      </c>
      <c r="J1299" t="s">
        <v>18</v>
      </c>
    </row>
    <row r="1300" spans="1:10" hidden="1" x14ac:dyDescent="0.25">
      <c r="A1300" t="s">
        <v>11</v>
      </c>
      <c r="B1300" t="str">
        <f>"1095"</f>
        <v>1095</v>
      </c>
      <c r="C1300" t="s">
        <v>559</v>
      </c>
      <c r="D1300" t="s">
        <v>2261</v>
      </c>
      <c r="E1300" t="str">
        <f>"9729019493"</f>
        <v>9729019493</v>
      </c>
      <c r="F1300" t="s">
        <v>560</v>
      </c>
      <c r="G1300" t="s">
        <v>2491</v>
      </c>
      <c r="H1300" t="s">
        <v>2492</v>
      </c>
      <c r="I1300" t="s">
        <v>17</v>
      </c>
      <c r="J1300" t="s">
        <v>18</v>
      </c>
    </row>
    <row r="1301" spans="1:10" hidden="1" x14ac:dyDescent="0.25">
      <c r="A1301" t="s">
        <v>11</v>
      </c>
      <c r="B1301" t="str">
        <f>"28341603"</f>
        <v>28341603</v>
      </c>
      <c r="C1301" t="s">
        <v>65</v>
      </c>
      <c r="D1301" t="s">
        <v>2261</v>
      </c>
      <c r="E1301" t="str">
        <f>"7721793895"</f>
        <v>7721793895</v>
      </c>
      <c r="F1301" t="s">
        <v>109</v>
      </c>
      <c r="G1301" t="s">
        <v>2493</v>
      </c>
      <c r="H1301" t="s">
        <v>2494</v>
      </c>
      <c r="I1301" t="s">
        <v>17</v>
      </c>
      <c r="J1301" t="s">
        <v>18</v>
      </c>
    </row>
    <row r="1302" spans="1:10" hidden="1" x14ac:dyDescent="0.25">
      <c r="A1302" t="s">
        <v>11</v>
      </c>
      <c r="B1302" t="str">
        <f>"1109"</f>
        <v>1109</v>
      </c>
      <c r="C1302" t="s">
        <v>559</v>
      </c>
      <c r="D1302" t="s">
        <v>2261</v>
      </c>
      <c r="E1302" t="str">
        <f>"9729019493"</f>
        <v>9729019493</v>
      </c>
      <c r="F1302" t="s">
        <v>560</v>
      </c>
      <c r="G1302" t="s">
        <v>2495</v>
      </c>
      <c r="H1302" t="s">
        <v>2496</v>
      </c>
      <c r="I1302" t="s">
        <v>17</v>
      </c>
      <c r="J1302" t="s">
        <v>18</v>
      </c>
    </row>
    <row r="1303" spans="1:10" hidden="1" x14ac:dyDescent="0.25">
      <c r="A1303" t="s">
        <v>11</v>
      </c>
      <c r="B1303" t="str">
        <f>"28951"</f>
        <v>28951</v>
      </c>
      <c r="C1303" t="s">
        <v>106</v>
      </c>
      <c r="D1303" t="s">
        <v>2261</v>
      </c>
      <c r="E1303" t="str">
        <f>"7729488999"</f>
        <v>7729488999</v>
      </c>
      <c r="F1303" t="s">
        <v>85</v>
      </c>
      <c r="G1303" t="s">
        <v>2497</v>
      </c>
      <c r="H1303" t="s">
        <v>2498</v>
      </c>
      <c r="I1303" t="s">
        <v>17</v>
      </c>
      <c r="J1303" t="s">
        <v>18</v>
      </c>
    </row>
    <row r="1304" spans="1:10" hidden="1" x14ac:dyDescent="0.25">
      <c r="A1304" t="s">
        <v>11</v>
      </c>
      <c r="B1304" t="str">
        <f>"9485/780O"</f>
        <v>9485/780O</v>
      </c>
      <c r="C1304" t="s">
        <v>106</v>
      </c>
      <c r="D1304" t="s">
        <v>2261</v>
      </c>
      <c r="E1304" t="str">
        <f>"5003052454"</f>
        <v>5003052454</v>
      </c>
      <c r="F1304" t="s">
        <v>14</v>
      </c>
      <c r="G1304" t="s">
        <v>2499</v>
      </c>
      <c r="H1304" t="s">
        <v>2500</v>
      </c>
      <c r="I1304" t="s">
        <v>17</v>
      </c>
      <c r="J1304" t="s">
        <v>18</v>
      </c>
    </row>
    <row r="1305" spans="1:10" hidden="1" x14ac:dyDescent="0.25">
      <c r="A1305" t="s">
        <v>11</v>
      </c>
      <c r="B1305" t="str">
        <f>"UT-109599"</f>
        <v>UT-109599</v>
      </c>
      <c r="C1305" t="s">
        <v>106</v>
      </c>
      <c r="D1305" t="s">
        <v>2261</v>
      </c>
      <c r="E1305" t="str">
        <f>"7806385951"</f>
        <v>7806385951</v>
      </c>
      <c r="F1305" t="s">
        <v>26</v>
      </c>
      <c r="G1305" t="s">
        <v>2501</v>
      </c>
      <c r="H1305" t="s">
        <v>2502</v>
      </c>
      <c r="I1305" t="s">
        <v>17</v>
      </c>
      <c r="J1305" t="s">
        <v>18</v>
      </c>
    </row>
    <row r="1306" spans="1:10" hidden="1" x14ac:dyDescent="0.25">
      <c r="A1306" t="s">
        <v>11</v>
      </c>
      <c r="B1306" t="str">
        <f>"UT-109748"</f>
        <v>UT-109748</v>
      </c>
      <c r="C1306" t="s">
        <v>106</v>
      </c>
      <c r="D1306" t="s">
        <v>2261</v>
      </c>
      <c r="E1306" t="str">
        <f>"7806385951"</f>
        <v>7806385951</v>
      </c>
      <c r="F1306" t="s">
        <v>26</v>
      </c>
      <c r="G1306" t="s">
        <v>2503</v>
      </c>
      <c r="H1306" t="s">
        <v>2504</v>
      </c>
      <c r="I1306" t="s">
        <v>17</v>
      </c>
      <c r="J1306" t="s">
        <v>18</v>
      </c>
    </row>
    <row r="1307" spans="1:10" x14ac:dyDescent="0.25">
      <c r="A1307" t="s">
        <v>11</v>
      </c>
      <c r="B1307" t="str">
        <f>"УТР0167470"</f>
        <v>УТР0167470</v>
      </c>
      <c r="C1307" t="s">
        <v>106</v>
      </c>
      <c r="D1307" t="s">
        <v>2261</v>
      </c>
      <c r="E1307" t="str">
        <f>"7804044258"</f>
        <v>7804044258</v>
      </c>
      <c r="F1307" t="s">
        <v>155</v>
      </c>
      <c r="G1307" t="s">
        <v>2505</v>
      </c>
      <c r="H1307" t="s">
        <v>2506</v>
      </c>
      <c r="I1307" t="s">
        <v>17</v>
      </c>
      <c r="J1307" t="s">
        <v>166</v>
      </c>
    </row>
    <row r="1308" spans="1:10" x14ac:dyDescent="0.25">
      <c r="A1308" t="s">
        <v>11</v>
      </c>
      <c r="B1308" t="str">
        <f>"УТР0167450"</f>
        <v>УТР0167450</v>
      </c>
      <c r="C1308" t="s">
        <v>106</v>
      </c>
      <c r="D1308" t="s">
        <v>2261</v>
      </c>
      <c r="E1308" t="str">
        <f>"7804044258"</f>
        <v>7804044258</v>
      </c>
      <c r="F1308" t="s">
        <v>155</v>
      </c>
      <c r="G1308" t="s">
        <v>2507</v>
      </c>
      <c r="H1308" t="s">
        <v>2508</v>
      </c>
      <c r="I1308" t="s">
        <v>17</v>
      </c>
      <c r="J1308" t="s">
        <v>166</v>
      </c>
    </row>
    <row r="1309" spans="1:10" hidden="1" x14ac:dyDescent="0.25">
      <c r="A1309" t="s">
        <v>11</v>
      </c>
      <c r="B1309" t="str">
        <f>"30/00159768-23"</f>
        <v>30/00159768-23</v>
      </c>
      <c r="C1309" t="s">
        <v>106</v>
      </c>
      <c r="D1309" t="s">
        <v>2261</v>
      </c>
      <c r="E1309" t="str">
        <f>"7705034202"</f>
        <v>7705034202</v>
      </c>
      <c r="F1309" t="s">
        <v>407</v>
      </c>
      <c r="G1309" t="s">
        <v>1036</v>
      </c>
      <c r="H1309" t="s">
        <v>2509</v>
      </c>
      <c r="I1309" t="s">
        <v>17</v>
      </c>
      <c r="J1309" t="s">
        <v>18</v>
      </c>
    </row>
    <row r="1310" spans="1:10" hidden="1" x14ac:dyDescent="0.25">
      <c r="A1310" t="s">
        <v>11</v>
      </c>
      <c r="B1310" t="str">
        <f>"2023/40/03/0035191/06"</f>
        <v>2023/40/03/0035191/06</v>
      </c>
      <c r="C1310" t="s">
        <v>100</v>
      </c>
      <c r="D1310" t="s">
        <v>2261</v>
      </c>
      <c r="E1310" t="str">
        <f>"7718151150"</f>
        <v>7718151150</v>
      </c>
      <c r="F1310" t="s">
        <v>54</v>
      </c>
      <c r="G1310" t="s">
        <v>770</v>
      </c>
      <c r="H1310" t="s">
        <v>2510</v>
      </c>
      <c r="I1310" t="s">
        <v>17</v>
      </c>
      <c r="J1310" t="s">
        <v>18</v>
      </c>
    </row>
    <row r="1311" spans="1:10" hidden="1" x14ac:dyDescent="0.25">
      <c r="A1311" t="s">
        <v>11</v>
      </c>
      <c r="B1311" t="str">
        <f>"2023/40/03/0035345/06"</f>
        <v>2023/40/03/0035345/06</v>
      </c>
      <c r="C1311" t="s">
        <v>100</v>
      </c>
      <c r="D1311" t="s">
        <v>2261</v>
      </c>
      <c r="E1311" t="str">
        <f>"7718151150"</f>
        <v>7718151150</v>
      </c>
      <c r="F1311" t="s">
        <v>54</v>
      </c>
      <c r="G1311" t="s">
        <v>253</v>
      </c>
      <c r="H1311" t="s">
        <v>2511</v>
      </c>
      <c r="I1311" t="s">
        <v>17</v>
      </c>
      <c r="J1311" t="s">
        <v>18</v>
      </c>
    </row>
    <row r="1312" spans="1:10" hidden="1" x14ac:dyDescent="0.25">
      <c r="A1312" t="s">
        <v>11</v>
      </c>
      <c r="B1312" t="str">
        <f>"2023/40/03/0035346/06"</f>
        <v>2023/40/03/0035346/06</v>
      </c>
      <c r="C1312" t="s">
        <v>100</v>
      </c>
      <c r="D1312" t="s">
        <v>2261</v>
      </c>
      <c r="E1312" t="str">
        <f>"7718151150"</f>
        <v>7718151150</v>
      </c>
      <c r="F1312" t="s">
        <v>54</v>
      </c>
      <c r="G1312" t="s">
        <v>255</v>
      </c>
      <c r="H1312" t="s">
        <v>2512</v>
      </c>
      <c r="I1312" t="s">
        <v>17</v>
      </c>
      <c r="J1312" t="s">
        <v>18</v>
      </c>
    </row>
    <row r="1313" spans="1:10" hidden="1" x14ac:dyDescent="0.25">
      <c r="A1313" t="s">
        <v>11</v>
      </c>
      <c r="B1313" t="str">
        <f>"85577747-0043/2404"</f>
        <v>85577747-0043/2404</v>
      </c>
      <c r="C1313" t="s">
        <v>1325</v>
      </c>
      <c r="D1313" t="s">
        <v>2261</v>
      </c>
      <c r="E1313" t="str">
        <f>"7704217370"</f>
        <v>7704217370</v>
      </c>
      <c r="F1313" t="s">
        <v>1432</v>
      </c>
      <c r="G1313" t="s">
        <v>2513</v>
      </c>
      <c r="H1313" t="s">
        <v>2514</v>
      </c>
      <c r="I1313" t="s">
        <v>17</v>
      </c>
      <c r="J1313" t="s">
        <v>18</v>
      </c>
    </row>
    <row r="1314" spans="1:10" hidden="1" x14ac:dyDescent="0.25">
      <c r="A1314" t="s">
        <v>11</v>
      </c>
      <c r="B1314" t="str">
        <f>"УТ-505-000066"</f>
        <v>УТ-505-000066</v>
      </c>
      <c r="C1314" t="s">
        <v>106</v>
      </c>
      <c r="D1314" t="s">
        <v>2261</v>
      </c>
      <c r="E1314" t="str">
        <f>"7839454551"</f>
        <v>7839454551</v>
      </c>
      <c r="F1314" t="s">
        <v>57</v>
      </c>
      <c r="G1314" t="s">
        <v>2515</v>
      </c>
      <c r="H1314" t="s">
        <v>2516</v>
      </c>
      <c r="I1314" t="s">
        <v>17</v>
      </c>
      <c r="J1314" t="s">
        <v>18</v>
      </c>
    </row>
    <row r="1315" spans="1:10" hidden="1" x14ac:dyDescent="0.25">
      <c r="A1315" t="s">
        <v>11</v>
      </c>
      <c r="B1315" t="str">
        <f>"УТ-505-000062"</f>
        <v>УТ-505-000062</v>
      </c>
      <c r="C1315" t="s">
        <v>106</v>
      </c>
      <c r="D1315" t="s">
        <v>2261</v>
      </c>
      <c r="E1315" t="str">
        <f>"7839454551"</f>
        <v>7839454551</v>
      </c>
      <c r="F1315" t="s">
        <v>57</v>
      </c>
      <c r="G1315" t="s">
        <v>2517</v>
      </c>
      <c r="H1315" t="s">
        <v>2518</v>
      </c>
      <c r="I1315" t="s">
        <v>17</v>
      </c>
      <c r="J1315" t="s">
        <v>18</v>
      </c>
    </row>
    <row r="1316" spans="1:10" hidden="1" x14ac:dyDescent="0.25">
      <c r="A1316" t="s">
        <v>11</v>
      </c>
      <c r="B1316" t="str">
        <f>"УТ-505-000032"</f>
        <v>УТ-505-000032</v>
      </c>
      <c r="C1316" t="s">
        <v>106</v>
      </c>
      <c r="D1316" t="s">
        <v>2261</v>
      </c>
      <c r="E1316" t="str">
        <f>"7839454551"</f>
        <v>7839454551</v>
      </c>
      <c r="F1316" t="s">
        <v>57</v>
      </c>
      <c r="G1316" t="s">
        <v>2519</v>
      </c>
      <c r="H1316" t="s">
        <v>2520</v>
      </c>
      <c r="I1316" t="s">
        <v>17</v>
      </c>
      <c r="J1316" t="s">
        <v>18</v>
      </c>
    </row>
    <row r="1317" spans="1:10" hidden="1" x14ac:dyDescent="0.25">
      <c r="A1317" t="s">
        <v>11</v>
      </c>
      <c r="B1317" t="str">
        <f>"28371351"</f>
        <v>28371351</v>
      </c>
      <c r="C1317" t="s">
        <v>100</v>
      </c>
      <c r="D1317" t="s">
        <v>2261</v>
      </c>
      <c r="E1317" t="str">
        <f>"7721793895"</f>
        <v>7721793895</v>
      </c>
      <c r="F1317" t="s">
        <v>109</v>
      </c>
      <c r="G1317" t="s">
        <v>2521</v>
      </c>
      <c r="H1317" t="s">
        <v>2522</v>
      </c>
      <c r="I1317" t="s">
        <v>17</v>
      </c>
      <c r="J1317" t="s">
        <v>18</v>
      </c>
    </row>
    <row r="1318" spans="1:10" hidden="1" x14ac:dyDescent="0.25">
      <c r="A1318" t="s">
        <v>11</v>
      </c>
      <c r="B1318" t="str">
        <f>"28372657"</f>
        <v>28372657</v>
      </c>
      <c r="C1318" t="s">
        <v>100</v>
      </c>
      <c r="D1318" t="s">
        <v>2261</v>
      </c>
      <c r="E1318" t="str">
        <f>"7721793895"</f>
        <v>7721793895</v>
      </c>
      <c r="F1318" t="s">
        <v>109</v>
      </c>
      <c r="G1318" t="s">
        <v>2523</v>
      </c>
      <c r="H1318" t="s">
        <v>2524</v>
      </c>
      <c r="I1318" t="s">
        <v>17</v>
      </c>
      <c r="J1318" t="s">
        <v>18</v>
      </c>
    </row>
    <row r="1319" spans="1:10" hidden="1" x14ac:dyDescent="0.25">
      <c r="A1319" t="s">
        <v>11</v>
      </c>
      <c r="B1319" t="str">
        <f>"УТ-605-000090"</f>
        <v>УТ-605-000090</v>
      </c>
      <c r="C1319" t="s">
        <v>420</v>
      </c>
      <c r="D1319" t="s">
        <v>2261</v>
      </c>
      <c r="E1319" t="str">
        <f>"7839454551"</f>
        <v>7839454551</v>
      </c>
      <c r="F1319" t="s">
        <v>57</v>
      </c>
      <c r="G1319" t="s">
        <v>2525</v>
      </c>
      <c r="H1319" t="s">
        <v>2526</v>
      </c>
      <c r="I1319" t="s">
        <v>17</v>
      </c>
      <c r="J1319" t="s">
        <v>18</v>
      </c>
    </row>
    <row r="1320" spans="1:10" hidden="1" x14ac:dyDescent="0.25">
      <c r="A1320" t="s">
        <v>11</v>
      </c>
      <c r="B1320" t="str">
        <f>"04-477818"</f>
        <v>04-477818</v>
      </c>
      <c r="C1320" t="s">
        <v>49</v>
      </c>
      <c r="D1320" t="s">
        <v>2261</v>
      </c>
      <c r="E1320" t="str">
        <f>"7710668349"</f>
        <v>7710668349</v>
      </c>
      <c r="F1320" t="s">
        <v>1749</v>
      </c>
      <c r="G1320" t="s">
        <v>2527</v>
      </c>
      <c r="H1320" t="s">
        <v>2528</v>
      </c>
      <c r="I1320" t="s">
        <v>17</v>
      </c>
      <c r="J1320" t="s">
        <v>18</v>
      </c>
    </row>
    <row r="1321" spans="1:10" hidden="1" x14ac:dyDescent="0.25">
      <c r="A1321" t="s">
        <v>11</v>
      </c>
      <c r="B1321" t="str">
        <f>"3506920"</f>
        <v>3506920</v>
      </c>
      <c r="C1321" t="s">
        <v>106</v>
      </c>
      <c r="D1321" t="s">
        <v>2261</v>
      </c>
      <c r="E1321" t="str">
        <f>"7704217370"</f>
        <v>7704217370</v>
      </c>
      <c r="F1321" t="s">
        <v>1432</v>
      </c>
      <c r="G1321" t="s">
        <v>2529</v>
      </c>
      <c r="H1321" t="s">
        <v>2530</v>
      </c>
      <c r="I1321" t="s">
        <v>17</v>
      </c>
      <c r="J1321" t="s">
        <v>18</v>
      </c>
    </row>
    <row r="1322" spans="1:10" hidden="1" x14ac:dyDescent="0.25">
      <c r="A1322" t="s">
        <v>11</v>
      </c>
      <c r="B1322" t="str">
        <f>"SR110023977"</f>
        <v>SR110023977</v>
      </c>
      <c r="C1322" t="s">
        <v>420</v>
      </c>
      <c r="D1322" t="s">
        <v>2261</v>
      </c>
      <c r="E1322" t="str">
        <f>"4725006920"</f>
        <v>4725006920</v>
      </c>
      <c r="F1322" t="s">
        <v>101</v>
      </c>
      <c r="G1322" t="s">
        <v>2531</v>
      </c>
      <c r="H1322" t="s">
        <v>2532</v>
      </c>
      <c r="I1322" t="s">
        <v>17</v>
      </c>
      <c r="J1322" t="s">
        <v>18</v>
      </c>
    </row>
    <row r="1323" spans="1:10" hidden="1" x14ac:dyDescent="0.25">
      <c r="A1323" t="s">
        <v>11</v>
      </c>
      <c r="B1323" t="str">
        <f>"SR110023921"</f>
        <v>SR110023921</v>
      </c>
      <c r="C1323" t="s">
        <v>420</v>
      </c>
      <c r="D1323" t="s">
        <v>2261</v>
      </c>
      <c r="E1323" t="str">
        <f>"4725006920"</f>
        <v>4725006920</v>
      </c>
      <c r="F1323" t="s">
        <v>101</v>
      </c>
      <c r="G1323" t="s">
        <v>2533</v>
      </c>
      <c r="H1323" t="s">
        <v>2534</v>
      </c>
      <c r="I1323" t="s">
        <v>17</v>
      </c>
      <c r="J1323" t="s">
        <v>18</v>
      </c>
    </row>
    <row r="1324" spans="1:10" hidden="1" x14ac:dyDescent="0.25">
      <c r="A1324" t="s">
        <v>11</v>
      </c>
      <c r="B1324" t="str">
        <f>"SR110023914"</f>
        <v>SR110023914</v>
      </c>
      <c r="C1324" t="s">
        <v>420</v>
      </c>
      <c r="D1324" t="s">
        <v>2261</v>
      </c>
      <c r="E1324" t="str">
        <f>"4725006920"</f>
        <v>4725006920</v>
      </c>
      <c r="F1324" t="s">
        <v>101</v>
      </c>
      <c r="G1324" t="s">
        <v>2535</v>
      </c>
      <c r="H1324" t="s">
        <v>2536</v>
      </c>
      <c r="I1324" t="s">
        <v>17</v>
      </c>
      <c r="J1324" t="s">
        <v>18</v>
      </c>
    </row>
    <row r="1325" spans="1:10" hidden="1" x14ac:dyDescent="0.25">
      <c r="A1325" t="s">
        <v>11</v>
      </c>
      <c r="B1325" t="str">
        <f>"SR110023983"</f>
        <v>SR110023983</v>
      </c>
      <c r="C1325" t="s">
        <v>420</v>
      </c>
      <c r="D1325" t="s">
        <v>2261</v>
      </c>
      <c r="E1325" t="str">
        <f>"4725006920"</f>
        <v>4725006920</v>
      </c>
      <c r="F1325" t="s">
        <v>101</v>
      </c>
      <c r="G1325" t="s">
        <v>432</v>
      </c>
      <c r="H1325" t="s">
        <v>2537</v>
      </c>
      <c r="I1325" t="s">
        <v>17</v>
      </c>
      <c r="J1325" t="s">
        <v>18</v>
      </c>
    </row>
    <row r="1326" spans="1:10" hidden="1" x14ac:dyDescent="0.25">
      <c r="A1326" t="s">
        <v>11</v>
      </c>
      <c r="B1326" t="str">
        <f>"UT-104899"</f>
        <v>UT-104899</v>
      </c>
      <c r="C1326" t="s">
        <v>12</v>
      </c>
      <c r="D1326" t="s">
        <v>2538</v>
      </c>
      <c r="E1326" t="str">
        <f>"7806385951"</f>
        <v>7806385951</v>
      </c>
      <c r="F1326" t="s">
        <v>26</v>
      </c>
      <c r="G1326" t="s">
        <v>2539</v>
      </c>
      <c r="H1326" t="s">
        <v>2540</v>
      </c>
      <c r="I1326" t="s">
        <v>17</v>
      </c>
      <c r="J1326" t="s">
        <v>18</v>
      </c>
    </row>
    <row r="1327" spans="1:10" hidden="1" x14ac:dyDescent="0.25">
      <c r="A1327" t="s">
        <v>11</v>
      </c>
      <c r="B1327" t="str">
        <f>"UT-104901"</f>
        <v>UT-104901</v>
      </c>
      <c r="C1327" t="s">
        <v>12</v>
      </c>
      <c r="D1327" t="s">
        <v>2538</v>
      </c>
      <c r="E1327" t="str">
        <f>"7806385951"</f>
        <v>7806385951</v>
      </c>
      <c r="F1327" t="s">
        <v>26</v>
      </c>
      <c r="G1327" t="s">
        <v>1465</v>
      </c>
      <c r="H1327" t="s">
        <v>2541</v>
      </c>
      <c r="I1327" t="s">
        <v>17</v>
      </c>
      <c r="J1327" t="s">
        <v>18</v>
      </c>
    </row>
    <row r="1328" spans="1:10" hidden="1" x14ac:dyDescent="0.25">
      <c r="A1328" t="s">
        <v>11</v>
      </c>
      <c r="B1328" t="str">
        <f>"UT-104922"</f>
        <v>UT-104922</v>
      </c>
      <c r="C1328" t="s">
        <v>12</v>
      </c>
      <c r="D1328" t="s">
        <v>2538</v>
      </c>
      <c r="E1328" t="str">
        <f>"7806385951"</f>
        <v>7806385951</v>
      </c>
      <c r="F1328" t="s">
        <v>26</v>
      </c>
      <c r="G1328" t="s">
        <v>2542</v>
      </c>
      <c r="H1328" t="s">
        <v>2543</v>
      </c>
      <c r="I1328" t="s">
        <v>17</v>
      </c>
      <c r="J1328" t="s">
        <v>18</v>
      </c>
    </row>
    <row r="1329" spans="1:10" hidden="1" x14ac:dyDescent="0.25">
      <c r="A1329" t="s">
        <v>11</v>
      </c>
      <c r="B1329" t="str">
        <f>"60"</f>
        <v>60</v>
      </c>
      <c r="C1329" t="s">
        <v>49</v>
      </c>
      <c r="D1329" t="s">
        <v>2538</v>
      </c>
      <c r="E1329" t="str">
        <f>"7709462713"</f>
        <v>7709462713</v>
      </c>
      <c r="F1329" t="s">
        <v>2544</v>
      </c>
      <c r="G1329" t="s">
        <v>2545</v>
      </c>
      <c r="H1329" t="s">
        <v>2546</v>
      </c>
      <c r="I1329" t="s">
        <v>17</v>
      </c>
      <c r="J1329" t="s">
        <v>18</v>
      </c>
    </row>
    <row r="1330" spans="1:10" x14ac:dyDescent="0.25">
      <c r="A1330" t="s">
        <v>11</v>
      </c>
      <c r="B1330" t="str">
        <f>"2023/30/03/0131642"</f>
        <v>2023/30/03/0131642</v>
      </c>
      <c r="C1330" t="s">
        <v>49</v>
      </c>
      <c r="D1330" t="s">
        <v>2538</v>
      </c>
      <c r="E1330" t="str">
        <f>"7718151150"</f>
        <v>7718151150</v>
      </c>
      <c r="F1330" t="s">
        <v>54</v>
      </c>
      <c r="G1330" t="s">
        <v>164</v>
      </c>
      <c r="H1330" t="s">
        <v>2547</v>
      </c>
      <c r="I1330" t="s">
        <v>17</v>
      </c>
      <c r="J1330" t="s">
        <v>166</v>
      </c>
    </row>
    <row r="1331" spans="1:10" hidden="1" x14ac:dyDescent="0.25">
      <c r="A1331" t="s">
        <v>11</v>
      </c>
      <c r="B1331" t="str">
        <f>"5030/8174351273"</f>
        <v>5030/8174351273</v>
      </c>
      <c r="C1331" t="s">
        <v>12</v>
      </c>
      <c r="D1331" t="s">
        <v>2538</v>
      </c>
      <c r="E1331" t="str">
        <f>"5032260402"</f>
        <v>5032260402</v>
      </c>
      <c r="F1331" t="s">
        <v>341</v>
      </c>
      <c r="G1331" t="s">
        <v>2548</v>
      </c>
      <c r="H1331" t="s">
        <v>2549</v>
      </c>
      <c r="I1331" t="s">
        <v>17</v>
      </c>
      <c r="J1331" t="s">
        <v>18</v>
      </c>
    </row>
    <row r="1332" spans="1:10" hidden="1" x14ac:dyDescent="0.25">
      <c r="A1332" t="s">
        <v>11</v>
      </c>
      <c r="B1332" t="str">
        <f>"ОТ-3004-000023"</f>
        <v>ОТ-3004-000023</v>
      </c>
      <c r="C1332" t="s">
        <v>49</v>
      </c>
      <c r="D1332" t="s">
        <v>2538</v>
      </c>
      <c r="E1332" t="str">
        <f>"7839454551"</f>
        <v>7839454551</v>
      </c>
      <c r="F1332" t="s">
        <v>57</v>
      </c>
      <c r="G1332" t="s">
        <v>2550</v>
      </c>
      <c r="H1332" t="s">
        <v>2551</v>
      </c>
      <c r="I1332" t="s">
        <v>17</v>
      </c>
      <c r="J1332" t="s">
        <v>18</v>
      </c>
    </row>
    <row r="1333" spans="1:10" hidden="1" x14ac:dyDescent="0.25">
      <c r="A1333" t="s">
        <v>11</v>
      </c>
      <c r="B1333" t="str">
        <f>"ОТ-3004-000022"</f>
        <v>ОТ-3004-000022</v>
      </c>
      <c r="C1333" t="s">
        <v>49</v>
      </c>
      <c r="D1333" t="s">
        <v>2538</v>
      </c>
      <c r="E1333" t="str">
        <f>"7839454551"</f>
        <v>7839454551</v>
      </c>
      <c r="F1333" t="s">
        <v>57</v>
      </c>
      <c r="G1333" t="s">
        <v>2550</v>
      </c>
      <c r="H1333" t="s">
        <v>2552</v>
      </c>
      <c r="I1333" t="s">
        <v>17</v>
      </c>
      <c r="J1333" t="s">
        <v>18</v>
      </c>
    </row>
    <row r="1334" spans="1:10" hidden="1" x14ac:dyDescent="0.25">
      <c r="A1334" t="s">
        <v>11</v>
      </c>
      <c r="B1334" t="str">
        <f>"2023/30/03/0134524/05"</f>
        <v>2023/30/03/0134524/05</v>
      </c>
      <c r="C1334" t="s">
        <v>12</v>
      </c>
      <c r="D1334" t="s">
        <v>2538</v>
      </c>
      <c r="E1334" t="str">
        <f>"7718151150"</f>
        <v>7718151150</v>
      </c>
      <c r="F1334" t="s">
        <v>54</v>
      </c>
      <c r="G1334" t="s">
        <v>63</v>
      </c>
      <c r="H1334" t="s">
        <v>2553</v>
      </c>
      <c r="I1334" t="s">
        <v>17</v>
      </c>
      <c r="J1334" t="s">
        <v>18</v>
      </c>
    </row>
    <row r="1335" spans="1:10" hidden="1" x14ac:dyDescent="0.25">
      <c r="A1335" t="s">
        <v>11</v>
      </c>
      <c r="B1335" t="str">
        <f>"28299396"</f>
        <v>28299396</v>
      </c>
      <c r="C1335" t="s">
        <v>12</v>
      </c>
      <c r="D1335" t="s">
        <v>2538</v>
      </c>
      <c r="E1335" t="str">
        <f>"7721793895"</f>
        <v>7721793895</v>
      </c>
      <c r="F1335" t="s">
        <v>109</v>
      </c>
      <c r="G1335" t="s">
        <v>2554</v>
      </c>
      <c r="H1335" t="s">
        <v>2555</v>
      </c>
      <c r="I1335" t="s">
        <v>17</v>
      </c>
      <c r="J1335" t="s">
        <v>18</v>
      </c>
    </row>
    <row r="1336" spans="1:10" hidden="1" x14ac:dyDescent="0.25">
      <c r="A1336" t="s">
        <v>11</v>
      </c>
      <c r="B1336" t="str">
        <f>"03/00232200-23"</f>
        <v>03/00232200-23</v>
      </c>
      <c r="C1336" t="s">
        <v>65</v>
      </c>
      <c r="D1336" t="s">
        <v>2538</v>
      </c>
      <c r="E1336" t="str">
        <f>"7705034202"</f>
        <v>7705034202</v>
      </c>
      <c r="F1336" t="s">
        <v>407</v>
      </c>
      <c r="G1336" t="s">
        <v>2556</v>
      </c>
      <c r="H1336" t="s">
        <v>2557</v>
      </c>
      <c r="I1336" t="s">
        <v>17</v>
      </c>
      <c r="J1336" t="s">
        <v>18</v>
      </c>
    </row>
    <row r="1337" spans="1:10" hidden="1" x14ac:dyDescent="0.25">
      <c r="A1337" t="s">
        <v>11</v>
      </c>
      <c r="B1337" t="str">
        <f>"28302788"</f>
        <v>28302788</v>
      </c>
      <c r="C1337" t="s">
        <v>12</v>
      </c>
      <c r="D1337" t="s">
        <v>2538</v>
      </c>
      <c r="E1337" t="str">
        <f>"7721793895"</f>
        <v>7721793895</v>
      </c>
      <c r="F1337" t="s">
        <v>109</v>
      </c>
      <c r="G1337" t="s">
        <v>2558</v>
      </c>
      <c r="H1337" t="s">
        <v>2559</v>
      </c>
      <c r="I1337" t="s">
        <v>17</v>
      </c>
      <c r="J1337" t="s">
        <v>18</v>
      </c>
    </row>
    <row r="1338" spans="1:10" hidden="1" x14ac:dyDescent="0.25">
      <c r="A1338" t="s">
        <v>11</v>
      </c>
      <c r="B1338" t="str">
        <f>"865"</f>
        <v>865</v>
      </c>
      <c r="C1338" t="s">
        <v>49</v>
      </c>
      <c r="D1338" t="s">
        <v>2538</v>
      </c>
      <c r="E1338" t="str">
        <f>"7704340969"</f>
        <v>7704340969</v>
      </c>
      <c r="F1338" t="s">
        <v>76</v>
      </c>
      <c r="G1338" t="s">
        <v>77</v>
      </c>
      <c r="H1338" t="s">
        <v>2560</v>
      </c>
      <c r="I1338" t="s">
        <v>17</v>
      </c>
      <c r="J1338" t="s">
        <v>18</v>
      </c>
    </row>
    <row r="1339" spans="1:10" hidden="1" x14ac:dyDescent="0.25">
      <c r="A1339" t="s">
        <v>11</v>
      </c>
      <c r="B1339" t="str">
        <f>"897"</f>
        <v>897</v>
      </c>
      <c r="C1339" t="s">
        <v>49</v>
      </c>
      <c r="D1339" t="s">
        <v>2538</v>
      </c>
      <c r="E1339" t="str">
        <f>"7704340969"</f>
        <v>7704340969</v>
      </c>
      <c r="F1339" t="s">
        <v>76</v>
      </c>
      <c r="G1339" t="s">
        <v>79</v>
      </c>
      <c r="H1339" t="s">
        <v>2561</v>
      </c>
      <c r="I1339" t="s">
        <v>17</v>
      </c>
      <c r="J1339" t="s">
        <v>18</v>
      </c>
    </row>
    <row r="1340" spans="1:10" hidden="1" x14ac:dyDescent="0.25">
      <c r="A1340" t="s">
        <v>11</v>
      </c>
      <c r="B1340" t="str">
        <f>"924"</f>
        <v>924</v>
      </c>
      <c r="C1340" t="s">
        <v>49</v>
      </c>
      <c r="D1340" t="s">
        <v>2538</v>
      </c>
      <c r="E1340" t="str">
        <f>"7704340969"</f>
        <v>7704340969</v>
      </c>
      <c r="F1340" t="s">
        <v>76</v>
      </c>
      <c r="G1340" t="s">
        <v>81</v>
      </c>
      <c r="H1340" t="s">
        <v>2562</v>
      </c>
      <c r="I1340" t="s">
        <v>17</v>
      </c>
      <c r="J1340" t="s">
        <v>18</v>
      </c>
    </row>
    <row r="1341" spans="1:10" hidden="1" x14ac:dyDescent="0.25">
      <c r="A1341" t="s">
        <v>11</v>
      </c>
      <c r="B1341" t="str">
        <f>"968"</f>
        <v>968</v>
      </c>
      <c r="C1341" t="s">
        <v>49</v>
      </c>
      <c r="D1341" t="s">
        <v>2538</v>
      </c>
      <c r="E1341" t="str">
        <f>"7704340969"</f>
        <v>7704340969</v>
      </c>
      <c r="F1341" t="s">
        <v>76</v>
      </c>
      <c r="G1341" t="s">
        <v>83</v>
      </c>
      <c r="H1341" t="s">
        <v>2563</v>
      </c>
      <c r="I1341" t="s">
        <v>17</v>
      </c>
      <c r="J1341" t="s">
        <v>18</v>
      </c>
    </row>
    <row r="1342" spans="1:10" hidden="1" x14ac:dyDescent="0.25">
      <c r="A1342" t="s">
        <v>11</v>
      </c>
      <c r="B1342" t="str">
        <f>"АРГО0503/02"</f>
        <v>АРГО0503/02</v>
      </c>
      <c r="C1342" t="s">
        <v>65</v>
      </c>
      <c r="D1342" t="s">
        <v>2538</v>
      </c>
      <c r="E1342" t="str">
        <f>"7735126034"</f>
        <v>7735126034</v>
      </c>
      <c r="F1342" t="s">
        <v>131</v>
      </c>
      <c r="G1342" t="s">
        <v>2564</v>
      </c>
      <c r="H1342" t="s">
        <v>2565</v>
      </c>
      <c r="I1342" t="s">
        <v>17</v>
      </c>
      <c r="J1342" t="s">
        <v>18</v>
      </c>
    </row>
    <row r="1343" spans="1:10" hidden="1" x14ac:dyDescent="0.25">
      <c r="A1343" t="s">
        <v>11</v>
      </c>
      <c r="B1343" t="str">
        <f>"2023/30/03/0134292"</f>
        <v>2023/30/03/0134292</v>
      </c>
      <c r="C1343" t="s">
        <v>12</v>
      </c>
      <c r="D1343" t="s">
        <v>2538</v>
      </c>
      <c r="E1343" t="str">
        <f>"7718151150"</f>
        <v>7718151150</v>
      </c>
      <c r="F1343" t="s">
        <v>54</v>
      </c>
      <c r="G1343" t="s">
        <v>1430</v>
      </c>
      <c r="H1343" t="s">
        <v>2566</v>
      </c>
      <c r="I1343" t="s">
        <v>17</v>
      </c>
      <c r="J1343" t="s">
        <v>18</v>
      </c>
    </row>
    <row r="1344" spans="1:10" hidden="1" x14ac:dyDescent="0.25">
      <c r="A1344" t="s">
        <v>11</v>
      </c>
      <c r="B1344" t="str">
        <f>"4058"</f>
        <v>4058</v>
      </c>
      <c r="C1344" t="s">
        <v>2567</v>
      </c>
      <c r="D1344" t="s">
        <v>2538</v>
      </c>
      <c r="E1344" t="str">
        <f>"7722555967"</f>
        <v>7722555967</v>
      </c>
      <c r="F1344" t="s">
        <v>2568</v>
      </c>
      <c r="G1344" t="s">
        <v>2569</v>
      </c>
      <c r="H1344" t="s">
        <v>2570</v>
      </c>
      <c r="I1344" t="s">
        <v>17</v>
      </c>
      <c r="J1344" t="s">
        <v>18</v>
      </c>
    </row>
    <row r="1345" spans="1:10" hidden="1" x14ac:dyDescent="0.25">
      <c r="A1345" t="s">
        <v>11</v>
      </c>
      <c r="B1345" t="str">
        <f>"27774"</f>
        <v>27774</v>
      </c>
      <c r="C1345" t="s">
        <v>12</v>
      </c>
      <c r="D1345" t="s">
        <v>2538</v>
      </c>
      <c r="E1345" t="str">
        <f>"7729488999"</f>
        <v>7729488999</v>
      </c>
      <c r="F1345" t="s">
        <v>85</v>
      </c>
      <c r="G1345" t="s">
        <v>2571</v>
      </c>
      <c r="H1345" t="s">
        <v>2572</v>
      </c>
      <c r="I1345" t="s">
        <v>17</v>
      </c>
      <c r="J1345" t="s">
        <v>18</v>
      </c>
    </row>
    <row r="1346" spans="1:10" hidden="1" x14ac:dyDescent="0.25">
      <c r="A1346" t="s">
        <v>11</v>
      </c>
      <c r="B1346" t="str">
        <f>"27772"</f>
        <v>27772</v>
      </c>
      <c r="C1346" t="s">
        <v>12</v>
      </c>
      <c r="D1346" t="s">
        <v>2538</v>
      </c>
      <c r="E1346" t="str">
        <f>"7729488999"</f>
        <v>7729488999</v>
      </c>
      <c r="F1346" t="s">
        <v>85</v>
      </c>
      <c r="G1346" t="s">
        <v>2573</v>
      </c>
      <c r="H1346" t="s">
        <v>2574</v>
      </c>
      <c r="I1346" t="s">
        <v>17</v>
      </c>
      <c r="J1346" t="s">
        <v>18</v>
      </c>
    </row>
    <row r="1347" spans="1:10" hidden="1" x14ac:dyDescent="0.25">
      <c r="A1347" t="s">
        <v>11</v>
      </c>
      <c r="B1347" t="str">
        <f>"АРГО0503/08"</f>
        <v>АРГО0503/08</v>
      </c>
      <c r="C1347" t="s">
        <v>65</v>
      </c>
      <c r="D1347" t="s">
        <v>2538</v>
      </c>
      <c r="E1347" t="str">
        <f>"7735126034"</f>
        <v>7735126034</v>
      </c>
      <c r="F1347" t="s">
        <v>131</v>
      </c>
      <c r="G1347" t="s">
        <v>2575</v>
      </c>
      <c r="H1347" t="s">
        <v>2576</v>
      </c>
      <c r="I1347" t="s">
        <v>17</v>
      </c>
      <c r="J1347" t="s">
        <v>18</v>
      </c>
    </row>
    <row r="1348" spans="1:10" hidden="1" x14ac:dyDescent="0.25">
      <c r="A1348" t="s">
        <v>11</v>
      </c>
      <c r="B1348" t="str">
        <f>"110"</f>
        <v>110</v>
      </c>
      <c r="C1348" t="s">
        <v>49</v>
      </c>
      <c r="D1348" t="s">
        <v>2538</v>
      </c>
      <c r="E1348" t="str">
        <f>"7743128596"</f>
        <v>7743128596</v>
      </c>
      <c r="F1348" t="s">
        <v>351</v>
      </c>
      <c r="G1348" t="s">
        <v>352</v>
      </c>
      <c r="H1348" t="s">
        <v>2577</v>
      </c>
      <c r="I1348" t="s">
        <v>17</v>
      </c>
      <c r="J1348" t="s">
        <v>18</v>
      </c>
    </row>
    <row r="1349" spans="1:10" hidden="1" x14ac:dyDescent="0.25">
      <c r="A1349" t="s">
        <v>11</v>
      </c>
      <c r="B1349" t="str">
        <f>"2023/30/03/0137146/05"</f>
        <v>2023/30/03/0137146/05</v>
      </c>
      <c r="C1349" t="s">
        <v>65</v>
      </c>
      <c r="D1349" t="s">
        <v>2538</v>
      </c>
      <c r="E1349" t="str">
        <f>"7718151150"</f>
        <v>7718151150</v>
      </c>
      <c r="F1349" t="s">
        <v>54</v>
      </c>
      <c r="G1349" t="s">
        <v>1444</v>
      </c>
      <c r="H1349" t="s">
        <v>2578</v>
      </c>
      <c r="I1349" t="s">
        <v>17</v>
      </c>
      <c r="J1349" t="s">
        <v>18</v>
      </c>
    </row>
    <row r="1350" spans="1:10" hidden="1" x14ac:dyDescent="0.25">
      <c r="A1350" t="s">
        <v>11</v>
      </c>
      <c r="B1350" t="str">
        <f>"2023/30/03/0137148/05"</f>
        <v>2023/30/03/0137148/05</v>
      </c>
      <c r="C1350" t="s">
        <v>65</v>
      </c>
      <c r="D1350" t="s">
        <v>2538</v>
      </c>
      <c r="E1350" t="str">
        <f>"7718151150"</f>
        <v>7718151150</v>
      </c>
      <c r="F1350" t="s">
        <v>54</v>
      </c>
      <c r="G1350" t="s">
        <v>1439</v>
      </c>
      <c r="H1350" t="s">
        <v>2579</v>
      </c>
      <c r="I1350" t="s">
        <v>17</v>
      </c>
      <c r="J1350" t="s">
        <v>18</v>
      </c>
    </row>
    <row r="1351" spans="1:10" hidden="1" x14ac:dyDescent="0.25">
      <c r="A1351" t="s">
        <v>11</v>
      </c>
      <c r="B1351" t="str">
        <f>"2023/30/03/0137147/05"</f>
        <v>2023/30/03/0137147/05</v>
      </c>
      <c r="C1351" t="s">
        <v>65</v>
      </c>
      <c r="D1351" t="s">
        <v>2538</v>
      </c>
      <c r="E1351" t="str">
        <f>"7718151150"</f>
        <v>7718151150</v>
      </c>
      <c r="F1351" t="s">
        <v>54</v>
      </c>
      <c r="G1351" t="s">
        <v>2580</v>
      </c>
      <c r="H1351" t="s">
        <v>2581</v>
      </c>
      <c r="I1351" t="s">
        <v>17</v>
      </c>
      <c r="J1351" t="s">
        <v>18</v>
      </c>
    </row>
    <row r="1352" spans="1:10" hidden="1" x14ac:dyDescent="0.25">
      <c r="A1352" t="s">
        <v>11</v>
      </c>
      <c r="B1352" t="str">
        <f>"28313247"</f>
        <v>28313247</v>
      </c>
      <c r="C1352" t="s">
        <v>65</v>
      </c>
      <c r="D1352" t="s">
        <v>2538</v>
      </c>
      <c r="E1352" t="str">
        <f>"7721793895"</f>
        <v>7721793895</v>
      </c>
      <c r="F1352" t="s">
        <v>109</v>
      </c>
      <c r="G1352" t="s">
        <v>2582</v>
      </c>
      <c r="H1352" t="s">
        <v>2583</v>
      </c>
      <c r="I1352" t="s">
        <v>17</v>
      </c>
      <c r="J1352" t="s">
        <v>18</v>
      </c>
    </row>
    <row r="1353" spans="1:10" hidden="1" x14ac:dyDescent="0.25">
      <c r="A1353" t="s">
        <v>11</v>
      </c>
      <c r="B1353" t="str">
        <f>"163"</f>
        <v>163</v>
      </c>
      <c r="C1353" t="s">
        <v>49</v>
      </c>
      <c r="D1353" t="s">
        <v>2538</v>
      </c>
      <c r="E1353" t="str">
        <f>"7702392168"</f>
        <v>7702392168</v>
      </c>
      <c r="F1353" t="s">
        <v>97</v>
      </c>
      <c r="G1353" t="s">
        <v>2584</v>
      </c>
      <c r="H1353" t="s">
        <v>2585</v>
      </c>
      <c r="I1353" t="s">
        <v>17</v>
      </c>
      <c r="J1353" t="s">
        <v>18</v>
      </c>
    </row>
    <row r="1354" spans="1:10" hidden="1" x14ac:dyDescent="0.25">
      <c r="A1354" t="s">
        <v>11</v>
      </c>
      <c r="B1354" t="str">
        <f>"28421"</f>
        <v>28421</v>
      </c>
      <c r="C1354" t="s">
        <v>100</v>
      </c>
      <c r="D1354" t="s">
        <v>2538</v>
      </c>
      <c r="E1354" t="str">
        <f>"7729488999"</f>
        <v>7729488999</v>
      </c>
      <c r="F1354" t="s">
        <v>85</v>
      </c>
      <c r="G1354" t="s">
        <v>2586</v>
      </c>
      <c r="H1354" t="s">
        <v>2587</v>
      </c>
      <c r="I1354" t="s">
        <v>17</v>
      </c>
      <c r="J1354" t="s">
        <v>18</v>
      </c>
    </row>
    <row r="1355" spans="1:10" hidden="1" x14ac:dyDescent="0.25">
      <c r="A1355" t="s">
        <v>11</v>
      </c>
      <c r="B1355" t="str">
        <f>"28381"</f>
        <v>28381</v>
      </c>
      <c r="C1355" t="s">
        <v>100</v>
      </c>
      <c r="D1355" t="s">
        <v>2538</v>
      </c>
      <c r="E1355" t="str">
        <f>"7729488999"</f>
        <v>7729488999</v>
      </c>
      <c r="F1355" t="s">
        <v>85</v>
      </c>
      <c r="G1355" t="s">
        <v>2588</v>
      </c>
      <c r="H1355" t="s">
        <v>2589</v>
      </c>
      <c r="I1355" t="s">
        <v>17</v>
      </c>
      <c r="J1355" t="s">
        <v>18</v>
      </c>
    </row>
    <row r="1356" spans="1:10" hidden="1" x14ac:dyDescent="0.25">
      <c r="A1356" t="s">
        <v>11</v>
      </c>
      <c r="B1356" t="str">
        <f>"28376"</f>
        <v>28376</v>
      </c>
      <c r="C1356" t="s">
        <v>100</v>
      </c>
      <c r="D1356" t="s">
        <v>2538</v>
      </c>
      <c r="E1356" t="str">
        <f>"7729488999"</f>
        <v>7729488999</v>
      </c>
      <c r="F1356" t="s">
        <v>85</v>
      </c>
      <c r="G1356" t="s">
        <v>2590</v>
      </c>
      <c r="H1356" t="s">
        <v>2591</v>
      </c>
      <c r="I1356" t="s">
        <v>17</v>
      </c>
      <c r="J1356" t="s">
        <v>18</v>
      </c>
    </row>
    <row r="1357" spans="1:10" hidden="1" x14ac:dyDescent="0.25">
      <c r="A1357" t="s">
        <v>11</v>
      </c>
      <c r="B1357" t="str">
        <f>"SR110023287"</f>
        <v>SR110023287</v>
      </c>
      <c r="C1357" t="s">
        <v>100</v>
      </c>
      <c r="D1357" t="s">
        <v>2538</v>
      </c>
      <c r="E1357" t="str">
        <f>"4725006920"</f>
        <v>4725006920</v>
      </c>
      <c r="F1357" t="s">
        <v>101</v>
      </c>
      <c r="G1357" t="s">
        <v>2592</v>
      </c>
      <c r="H1357" t="s">
        <v>2593</v>
      </c>
      <c r="I1357" t="s">
        <v>17</v>
      </c>
      <c r="J1357" t="s">
        <v>18</v>
      </c>
    </row>
    <row r="1358" spans="1:10" hidden="1" x14ac:dyDescent="0.25">
      <c r="A1358" t="s">
        <v>11</v>
      </c>
      <c r="B1358" t="str">
        <f>"SR110023286"</f>
        <v>SR110023286</v>
      </c>
      <c r="C1358" t="s">
        <v>100</v>
      </c>
      <c r="D1358" t="s">
        <v>2538</v>
      </c>
      <c r="E1358" t="str">
        <f>"4725006920"</f>
        <v>4725006920</v>
      </c>
      <c r="F1358" t="s">
        <v>101</v>
      </c>
      <c r="G1358" t="s">
        <v>2594</v>
      </c>
      <c r="H1358" t="s">
        <v>2595</v>
      </c>
      <c r="I1358" t="s">
        <v>17</v>
      </c>
      <c r="J1358" t="s">
        <v>18</v>
      </c>
    </row>
    <row r="1359" spans="1:10" hidden="1" x14ac:dyDescent="0.25">
      <c r="A1359" t="s">
        <v>11</v>
      </c>
      <c r="B1359" t="str">
        <f>"UT-108043"</f>
        <v>UT-108043</v>
      </c>
      <c r="C1359" t="s">
        <v>100</v>
      </c>
      <c r="D1359" t="s">
        <v>2538</v>
      </c>
      <c r="E1359" t="str">
        <f t="shared" ref="E1359:E1373" si="61">"7806385951"</f>
        <v>7806385951</v>
      </c>
      <c r="F1359" t="s">
        <v>26</v>
      </c>
      <c r="G1359" t="s">
        <v>2596</v>
      </c>
      <c r="H1359" t="s">
        <v>2597</v>
      </c>
      <c r="I1359" t="s">
        <v>17</v>
      </c>
      <c r="J1359" t="s">
        <v>18</v>
      </c>
    </row>
    <row r="1360" spans="1:10" hidden="1" x14ac:dyDescent="0.25">
      <c r="A1360" t="s">
        <v>11</v>
      </c>
      <c r="B1360" t="str">
        <f>"UT-107991"</f>
        <v>UT-107991</v>
      </c>
      <c r="C1360" t="s">
        <v>100</v>
      </c>
      <c r="D1360" t="s">
        <v>2538</v>
      </c>
      <c r="E1360" t="str">
        <f t="shared" si="61"/>
        <v>7806385951</v>
      </c>
      <c r="F1360" t="s">
        <v>26</v>
      </c>
      <c r="G1360" t="s">
        <v>2598</v>
      </c>
      <c r="H1360" t="s">
        <v>2599</v>
      </c>
      <c r="I1360" t="s">
        <v>17</v>
      </c>
      <c r="J1360" t="s">
        <v>18</v>
      </c>
    </row>
    <row r="1361" spans="1:10" hidden="1" x14ac:dyDescent="0.25">
      <c r="A1361" t="s">
        <v>11</v>
      </c>
      <c r="B1361" t="str">
        <f>"UT-108359"</f>
        <v>UT-108359</v>
      </c>
      <c r="C1361" t="s">
        <v>100</v>
      </c>
      <c r="D1361" t="s">
        <v>2538</v>
      </c>
      <c r="E1361" t="str">
        <f t="shared" si="61"/>
        <v>7806385951</v>
      </c>
      <c r="F1361" t="s">
        <v>26</v>
      </c>
      <c r="G1361" t="s">
        <v>2600</v>
      </c>
      <c r="H1361" t="s">
        <v>2601</v>
      </c>
      <c r="I1361" t="s">
        <v>17</v>
      </c>
      <c r="J1361" t="s">
        <v>18</v>
      </c>
    </row>
    <row r="1362" spans="1:10" hidden="1" x14ac:dyDescent="0.25">
      <c r="A1362" t="s">
        <v>11</v>
      </c>
      <c r="B1362" t="str">
        <f>"UT-108404"</f>
        <v>UT-108404</v>
      </c>
      <c r="C1362" t="s">
        <v>100</v>
      </c>
      <c r="D1362" t="s">
        <v>2538</v>
      </c>
      <c r="E1362" t="str">
        <f t="shared" si="61"/>
        <v>7806385951</v>
      </c>
      <c r="F1362" t="s">
        <v>26</v>
      </c>
      <c r="G1362" t="s">
        <v>2602</v>
      </c>
      <c r="H1362" t="s">
        <v>2603</v>
      </c>
      <c r="I1362" t="s">
        <v>17</v>
      </c>
      <c r="J1362" t="s">
        <v>18</v>
      </c>
    </row>
    <row r="1363" spans="1:10" hidden="1" x14ac:dyDescent="0.25">
      <c r="A1363" t="s">
        <v>11</v>
      </c>
      <c r="B1363" t="str">
        <f>"UT-108405"</f>
        <v>UT-108405</v>
      </c>
      <c r="C1363" t="s">
        <v>100</v>
      </c>
      <c r="D1363" t="s">
        <v>2538</v>
      </c>
      <c r="E1363" t="str">
        <f t="shared" si="61"/>
        <v>7806385951</v>
      </c>
      <c r="F1363" t="s">
        <v>26</v>
      </c>
      <c r="G1363" t="s">
        <v>1707</v>
      </c>
      <c r="H1363" t="s">
        <v>2604</v>
      </c>
      <c r="I1363" t="s">
        <v>17</v>
      </c>
      <c r="J1363" t="s">
        <v>18</v>
      </c>
    </row>
    <row r="1364" spans="1:10" hidden="1" x14ac:dyDescent="0.25">
      <c r="A1364" t="s">
        <v>11</v>
      </c>
      <c r="B1364" t="str">
        <f>"UT-107989"</f>
        <v>UT-107989</v>
      </c>
      <c r="C1364" t="s">
        <v>100</v>
      </c>
      <c r="D1364" t="s">
        <v>2538</v>
      </c>
      <c r="E1364" t="str">
        <f t="shared" si="61"/>
        <v>7806385951</v>
      </c>
      <c r="F1364" t="s">
        <v>26</v>
      </c>
      <c r="G1364" t="s">
        <v>2605</v>
      </c>
      <c r="H1364" t="s">
        <v>2606</v>
      </c>
      <c r="I1364" t="s">
        <v>17</v>
      </c>
      <c r="J1364" t="s">
        <v>18</v>
      </c>
    </row>
    <row r="1365" spans="1:10" hidden="1" x14ac:dyDescent="0.25">
      <c r="A1365" t="s">
        <v>11</v>
      </c>
      <c r="B1365" t="str">
        <f>"UT-107992"</f>
        <v>UT-107992</v>
      </c>
      <c r="C1365" t="s">
        <v>100</v>
      </c>
      <c r="D1365" t="s">
        <v>2538</v>
      </c>
      <c r="E1365" t="str">
        <f t="shared" si="61"/>
        <v>7806385951</v>
      </c>
      <c r="F1365" t="s">
        <v>26</v>
      </c>
      <c r="G1365" t="s">
        <v>2607</v>
      </c>
      <c r="H1365" t="s">
        <v>2608</v>
      </c>
      <c r="I1365" t="s">
        <v>17</v>
      </c>
      <c r="J1365" t="s">
        <v>18</v>
      </c>
    </row>
    <row r="1366" spans="1:10" hidden="1" x14ac:dyDescent="0.25">
      <c r="A1366" t="s">
        <v>11</v>
      </c>
      <c r="B1366" t="str">
        <f>"UT-107993"</f>
        <v>UT-107993</v>
      </c>
      <c r="C1366" t="s">
        <v>100</v>
      </c>
      <c r="D1366" t="s">
        <v>2538</v>
      </c>
      <c r="E1366" t="str">
        <f t="shared" si="61"/>
        <v>7806385951</v>
      </c>
      <c r="F1366" t="s">
        <v>26</v>
      </c>
      <c r="G1366" t="s">
        <v>2609</v>
      </c>
      <c r="H1366" t="s">
        <v>2610</v>
      </c>
      <c r="I1366" t="s">
        <v>17</v>
      </c>
      <c r="J1366" t="s">
        <v>18</v>
      </c>
    </row>
    <row r="1367" spans="1:10" hidden="1" x14ac:dyDescent="0.25">
      <c r="A1367" t="s">
        <v>11</v>
      </c>
      <c r="B1367" t="str">
        <f>"UT-108263"</f>
        <v>UT-108263</v>
      </c>
      <c r="C1367" t="s">
        <v>100</v>
      </c>
      <c r="D1367" t="s">
        <v>2538</v>
      </c>
      <c r="E1367" t="str">
        <f t="shared" si="61"/>
        <v>7806385951</v>
      </c>
      <c r="F1367" t="s">
        <v>26</v>
      </c>
      <c r="G1367" t="s">
        <v>2611</v>
      </c>
      <c r="H1367" t="s">
        <v>2612</v>
      </c>
      <c r="I1367" t="s">
        <v>17</v>
      </c>
      <c r="J1367" t="s">
        <v>18</v>
      </c>
    </row>
    <row r="1368" spans="1:10" hidden="1" x14ac:dyDescent="0.25">
      <c r="A1368" t="s">
        <v>11</v>
      </c>
      <c r="B1368" t="str">
        <f>"UT-108360"</f>
        <v>UT-108360</v>
      </c>
      <c r="C1368" t="s">
        <v>100</v>
      </c>
      <c r="D1368" t="s">
        <v>2538</v>
      </c>
      <c r="E1368" t="str">
        <f t="shared" si="61"/>
        <v>7806385951</v>
      </c>
      <c r="F1368" t="s">
        <v>26</v>
      </c>
      <c r="G1368" t="s">
        <v>2613</v>
      </c>
      <c r="H1368" t="s">
        <v>2614</v>
      </c>
      <c r="I1368" t="s">
        <v>17</v>
      </c>
      <c r="J1368" t="s">
        <v>18</v>
      </c>
    </row>
    <row r="1369" spans="1:10" hidden="1" x14ac:dyDescent="0.25">
      <c r="A1369" t="s">
        <v>11</v>
      </c>
      <c r="B1369" t="str">
        <f>"UT-108403"</f>
        <v>UT-108403</v>
      </c>
      <c r="C1369" t="s">
        <v>100</v>
      </c>
      <c r="D1369" t="s">
        <v>2538</v>
      </c>
      <c r="E1369" t="str">
        <f t="shared" si="61"/>
        <v>7806385951</v>
      </c>
      <c r="F1369" t="s">
        <v>26</v>
      </c>
      <c r="G1369" t="s">
        <v>1420</v>
      </c>
      <c r="H1369" t="s">
        <v>2615</v>
      </c>
      <c r="I1369" t="s">
        <v>17</v>
      </c>
      <c r="J1369" t="s">
        <v>18</v>
      </c>
    </row>
    <row r="1370" spans="1:10" hidden="1" x14ac:dyDescent="0.25">
      <c r="A1370" t="s">
        <v>11</v>
      </c>
      <c r="B1370" t="str">
        <f>"UT-108044"</f>
        <v>UT-108044</v>
      </c>
      <c r="C1370" t="s">
        <v>100</v>
      </c>
      <c r="D1370" t="s">
        <v>2538</v>
      </c>
      <c r="E1370" t="str">
        <f t="shared" si="61"/>
        <v>7806385951</v>
      </c>
      <c r="F1370" t="s">
        <v>26</v>
      </c>
      <c r="G1370" t="s">
        <v>2616</v>
      </c>
      <c r="H1370" t="s">
        <v>2617</v>
      </c>
      <c r="I1370" t="s">
        <v>17</v>
      </c>
      <c r="J1370" t="s">
        <v>18</v>
      </c>
    </row>
    <row r="1371" spans="1:10" hidden="1" x14ac:dyDescent="0.25">
      <c r="A1371" t="s">
        <v>11</v>
      </c>
      <c r="B1371" t="str">
        <f>"UT-108434"</f>
        <v>UT-108434</v>
      </c>
      <c r="C1371" t="s">
        <v>100</v>
      </c>
      <c r="D1371" t="s">
        <v>2538</v>
      </c>
      <c r="E1371" t="str">
        <f t="shared" si="61"/>
        <v>7806385951</v>
      </c>
      <c r="F1371" t="s">
        <v>26</v>
      </c>
      <c r="G1371" t="s">
        <v>2618</v>
      </c>
      <c r="H1371" t="s">
        <v>2619</v>
      </c>
      <c r="I1371" t="s">
        <v>17</v>
      </c>
      <c r="J1371" t="s">
        <v>18</v>
      </c>
    </row>
    <row r="1372" spans="1:10" hidden="1" x14ac:dyDescent="0.25">
      <c r="A1372" t="s">
        <v>11</v>
      </c>
      <c r="B1372" t="str">
        <f>"UT-107990"</f>
        <v>UT-107990</v>
      </c>
      <c r="C1372" t="s">
        <v>100</v>
      </c>
      <c r="D1372" t="s">
        <v>2538</v>
      </c>
      <c r="E1372" t="str">
        <f t="shared" si="61"/>
        <v>7806385951</v>
      </c>
      <c r="F1372" t="s">
        <v>26</v>
      </c>
      <c r="G1372" t="s">
        <v>2620</v>
      </c>
      <c r="H1372" t="s">
        <v>2621</v>
      </c>
      <c r="I1372" t="s">
        <v>17</v>
      </c>
      <c r="J1372" t="s">
        <v>18</v>
      </c>
    </row>
    <row r="1373" spans="1:10" hidden="1" x14ac:dyDescent="0.25">
      <c r="A1373" t="s">
        <v>11</v>
      </c>
      <c r="B1373" t="str">
        <f>"UT-108336"</f>
        <v>UT-108336</v>
      </c>
      <c r="C1373" t="s">
        <v>100</v>
      </c>
      <c r="D1373" t="s">
        <v>2538</v>
      </c>
      <c r="E1373" t="str">
        <f t="shared" si="61"/>
        <v>7806385951</v>
      </c>
      <c r="F1373" t="s">
        <v>26</v>
      </c>
      <c r="G1373" t="s">
        <v>2622</v>
      </c>
      <c r="H1373" t="s">
        <v>2623</v>
      </c>
      <c r="I1373" t="s">
        <v>17</v>
      </c>
      <c r="J1373" t="s">
        <v>18</v>
      </c>
    </row>
    <row r="1374" spans="1:10" hidden="1" x14ac:dyDescent="0.25">
      <c r="A1374" t="s">
        <v>11</v>
      </c>
      <c r="B1374" t="str">
        <f>"7720/8174457672"</f>
        <v>7720/8174457672</v>
      </c>
      <c r="C1374" t="s">
        <v>100</v>
      </c>
      <c r="D1374" t="s">
        <v>2538</v>
      </c>
      <c r="E1374" t="str">
        <f>"5032260402"</f>
        <v>5032260402</v>
      </c>
      <c r="F1374" t="s">
        <v>341</v>
      </c>
      <c r="G1374" t="s">
        <v>2624</v>
      </c>
      <c r="H1374" t="s">
        <v>2625</v>
      </c>
      <c r="I1374" t="s">
        <v>17</v>
      </c>
      <c r="J1374" t="s">
        <v>18</v>
      </c>
    </row>
    <row r="1375" spans="1:10" hidden="1" x14ac:dyDescent="0.25">
      <c r="A1375" t="s">
        <v>11</v>
      </c>
      <c r="B1375" t="str">
        <f>"SR110023124"</f>
        <v>SR110023124</v>
      </c>
      <c r="C1375" t="s">
        <v>106</v>
      </c>
      <c r="D1375" t="s">
        <v>2538</v>
      </c>
      <c r="E1375" t="str">
        <f>"4725006920"</f>
        <v>4725006920</v>
      </c>
      <c r="F1375" t="s">
        <v>101</v>
      </c>
      <c r="G1375" t="s">
        <v>2626</v>
      </c>
      <c r="H1375" t="s">
        <v>2627</v>
      </c>
      <c r="I1375" t="s">
        <v>17</v>
      </c>
      <c r="J1375" t="s">
        <v>18</v>
      </c>
    </row>
    <row r="1376" spans="1:10" hidden="1" x14ac:dyDescent="0.25">
      <c r="A1376" t="s">
        <v>11</v>
      </c>
      <c r="B1376" t="str">
        <f>"SR110023122"</f>
        <v>SR110023122</v>
      </c>
      <c r="C1376" t="s">
        <v>106</v>
      </c>
      <c r="D1376" t="s">
        <v>2538</v>
      </c>
      <c r="E1376" t="str">
        <f>"4725006920"</f>
        <v>4725006920</v>
      </c>
      <c r="F1376" t="s">
        <v>101</v>
      </c>
      <c r="G1376" t="s">
        <v>2628</v>
      </c>
      <c r="H1376" t="s">
        <v>2629</v>
      </c>
      <c r="I1376" t="s">
        <v>17</v>
      </c>
      <c r="J1376" t="s">
        <v>18</v>
      </c>
    </row>
    <row r="1377" spans="1:10" hidden="1" x14ac:dyDescent="0.25">
      <c r="A1377" t="s">
        <v>11</v>
      </c>
      <c r="B1377" t="str">
        <f>"SR110023117"</f>
        <v>SR110023117</v>
      </c>
      <c r="C1377" t="s">
        <v>106</v>
      </c>
      <c r="D1377" t="s">
        <v>2538</v>
      </c>
      <c r="E1377" t="str">
        <f>"4725006920"</f>
        <v>4725006920</v>
      </c>
      <c r="F1377" t="s">
        <v>101</v>
      </c>
      <c r="G1377" t="s">
        <v>2630</v>
      </c>
      <c r="H1377" t="s">
        <v>2631</v>
      </c>
      <c r="I1377" t="s">
        <v>17</v>
      </c>
      <c r="J1377" t="s">
        <v>18</v>
      </c>
    </row>
    <row r="1378" spans="1:10" hidden="1" x14ac:dyDescent="0.25">
      <c r="A1378" t="s">
        <v>11</v>
      </c>
      <c r="B1378" t="str">
        <f>"SR110023116"</f>
        <v>SR110023116</v>
      </c>
      <c r="C1378" t="s">
        <v>106</v>
      </c>
      <c r="D1378" t="s">
        <v>2538</v>
      </c>
      <c r="E1378" t="str">
        <f>"4725006920"</f>
        <v>4725006920</v>
      </c>
      <c r="F1378" t="s">
        <v>101</v>
      </c>
      <c r="G1378" t="s">
        <v>2632</v>
      </c>
      <c r="H1378" t="s">
        <v>2633</v>
      </c>
      <c r="I1378" t="s">
        <v>17</v>
      </c>
      <c r="J1378" t="s">
        <v>18</v>
      </c>
    </row>
    <row r="1379" spans="1:10" hidden="1" x14ac:dyDescent="0.25">
      <c r="A1379" t="s">
        <v>11</v>
      </c>
      <c r="B1379" t="str">
        <f>"28335231"</f>
        <v>28335231</v>
      </c>
      <c r="C1379" t="s">
        <v>65</v>
      </c>
      <c r="D1379" t="s">
        <v>2538</v>
      </c>
      <c r="E1379" t="str">
        <f>"7721793895"</f>
        <v>7721793895</v>
      </c>
      <c r="F1379" t="s">
        <v>109</v>
      </c>
      <c r="G1379" t="s">
        <v>2634</v>
      </c>
      <c r="H1379" t="s">
        <v>2635</v>
      </c>
      <c r="I1379" t="s">
        <v>17</v>
      </c>
      <c r="J1379" t="s">
        <v>18</v>
      </c>
    </row>
    <row r="1380" spans="1:10" hidden="1" x14ac:dyDescent="0.25">
      <c r="A1380" t="s">
        <v>11</v>
      </c>
      <c r="B1380" t="str">
        <f>"28335250"</f>
        <v>28335250</v>
      </c>
      <c r="C1380" t="s">
        <v>65</v>
      </c>
      <c r="D1380" t="s">
        <v>2538</v>
      </c>
      <c r="E1380" t="str">
        <f>"7721793895"</f>
        <v>7721793895</v>
      </c>
      <c r="F1380" t="s">
        <v>109</v>
      </c>
      <c r="G1380" t="s">
        <v>2634</v>
      </c>
      <c r="H1380" t="s">
        <v>2636</v>
      </c>
      <c r="I1380" t="s">
        <v>17</v>
      </c>
      <c r="J1380" t="s">
        <v>18</v>
      </c>
    </row>
    <row r="1381" spans="1:10" hidden="1" x14ac:dyDescent="0.25">
      <c r="A1381" t="s">
        <v>11</v>
      </c>
      <c r="B1381" t="str">
        <f>"2023/30/03/0137018/05"</f>
        <v>2023/30/03/0137018/05</v>
      </c>
      <c r="C1381" t="s">
        <v>65</v>
      </c>
      <c r="D1381" t="s">
        <v>2538</v>
      </c>
      <c r="E1381" t="str">
        <f>"7718151150"</f>
        <v>7718151150</v>
      </c>
      <c r="F1381" t="s">
        <v>54</v>
      </c>
      <c r="G1381" t="s">
        <v>1430</v>
      </c>
      <c r="H1381" t="s">
        <v>2637</v>
      </c>
      <c r="I1381" t="s">
        <v>17</v>
      </c>
      <c r="J1381" t="s">
        <v>18</v>
      </c>
    </row>
    <row r="1382" spans="1:10" hidden="1" x14ac:dyDescent="0.25">
      <c r="A1382" t="s">
        <v>11</v>
      </c>
      <c r="B1382" t="str">
        <f>"28336248"</f>
        <v>28336248</v>
      </c>
      <c r="C1382" t="s">
        <v>65</v>
      </c>
      <c r="D1382" t="s">
        <v>2538</v>
      </c>
      <c r="E1382" t="str">
        <f>"7721793895"</f>
        <v>7721793895</v>
      </c>
      <c r="F1382" t="s">
        <v>109</v>
      </c>
      <c r="G1382" t="s">
        <v>2634</v>
      </c>
      <c r="H1382" t="s">
        <v>2638</v>
      </c>
      <c r="I1382" t="s">
        <v>17</v>
      </c>
      <c r="J1382" t="s">
        <v>18</v>
      </c>
    </row>
    <row r="1383" spans="1:10" hidden="1" x14ac:dyDescent="0.25">
      <c r="A1383" t="s">
        <v>11</v>
      </c>
      <c r="B1383" t="str">
        <f>"2023/30/03/0136515"</f>
        <v>2023/30/03/0136515</v>
      </c>
      <c r="C1383" t="s">
        <v>65</v>
      </c>
      <c r="D1383" t="s">
        <v>2538</v>
      </c>
      <c r="E1383" t="str">
        <f>"7718151150"</f>
        <v>7718151150</v>
      </c>
      <c r="F1383" t="s">
        <v>54</v>
      </c>
      <c r="G1383" t="s">
        <v>63</v>
      </c>
      <c r="H1383" t="s">
        <v>2639</v>
      </c>
      <c r="I1383" t="s">
        <v>17</v>
      </c>
      <c r="J1383" t="s">
        <v>18</v>
      </c>
    </row>
    <row r="1384" spans="1:10" hidden="1" x14ac:dyDescent="0.25">
      <c r="A1384" t="s">
        <v>11</v>
      </c>
      <c r="B1384" t="str">
        <f>"28337877"</f>
        <v>28337877</v>
      </c>
      <c r="C1384" t="s">
        <v>65</v>
      </c>
      <c r="D1384" t="s">
        <v>2538</v>
      </c>
      <c r="E1384" t="str">
        <f>"7721793895"</f>
        <v>7721793895</v>
      </c>
      <c r="F1384" t="s">
        <v>109</v>
      </c>
      <c r="G1384" t="s">
        <v>2634</v>
      </c>
      <c r="H1384" t="s">
        <v>2640</v>
      </c>
      <c r="I1384" t="s">
        <v>17</v>
      </c>
      <c r="J1384" t="s">
        <v>18</v>
      </c>
    </row>
    <row r="1385" spans="1:10" hidden="1" x14ac:dyDescent="0.25">
      <c r="A1385" t="s">
        <v>11</v>
      </c>
      <c r="B1385" t="str">
        <f>"19033/01"</f>
        <v>19033/01</v>
      </c>
      <c r="C1385" t="s">
        <v>531</v>
      </c>
      <c r="D1385" t="s">
        <v>2538</v>
      </c>
      <c r="E1385" t="str">
        <f>"9729019493"</f>
        <v>9729019493</v>
      </c>
      <c r="F1385" t="s">
        <v>560</v>
      </c>
      <c r="G1385" t="s">
        <v>2641</v>
      </c>
      <c r="H1385" t="s">
        <v>2642</v>
      </c>
      <c r="I1385" t="s">
        <v>17</v>
      </c>
      <c r="J1385" t="s">
        <v>18</v>
      </c>
    </row>
    <row r="1386" spans="1:10" hidden="1" x14ac:dyDescent="0.25">
      <c r="A1386" t="s">
        <v>11</v>
      </c>
      <c r="B1386" t="str">
        <f>"UT-108435"</f>
        <v>UT-108435</v>
      </c>
      <c r="C1386" t="s">
        <v>100</v>
      </c>
      <c r="D1386" t="s">
        <v>2538</v>
      </c>
      <c r="E1386" t="str">
        <f>"7806385951"</f>
        <v>7806385951</v>
      </c>
      <c r="F1386" t="s">
        <v>26</v>
      </c>
      <c r="G1386" t="s">
        <v>2643</v>
      </c>
      <c r="H1386" t="s">
        <v>2644</v>
      </c>
      <c r="I1386" t="s">
        <v>17</v>
      </c>
      <c r="J1386" t="s">
        <v>18</v>
      </c>
    </row>
    <row r="1387" spans="1:10" hidden="1" x14ac:dyDescent="0.25">
      <c r="A1387" t="s">
        <v>11</v>
      </c>
      <c r="B1387" t="str">
        <f>"28344643"</f>
        <v>28344643</v>
      </c>
      <c r="C1387" t="s">
        <v>100</v>
      </c>
      <c r="D1387" t="s">
        <v>2538</v>
      </c>
      <c r="E1387" t="str">
        <f>"7721793895"</f>
        <v>7721793895</v>
      </c>
      <c r="F1387" t="s">
        <v>109</v>
      </c>
      <c r="G1387" t="s">
        <v>2645</v>
      </c>
      <c r="H1387" t="s">
        <v>2646</v>
      </c>
      <c r="I1387" t="s">
        <v>17</v>
      </c>
      <c r="J1387" t="s">
        <v>18</v>
      </c>
    </row>
    <row r="1388" spans="1:10" hidden="1" x14ac:dyDescent="0.25">
      <c r="A1388" t="s">
        <v>11</v>
      </c>
      <c r="B1388" t="str">
        <f>"UT-109418"</f>
        <v>UT-109418</v>
      </c>
      <c r="C1388" t="s">
        <v>106</v>
      </c>
      <c r="D1388" t="s">
        <v>2538</v>
      </c>
      <c r="E1388" t="str">
        <f>"7806385951"</f>
        <v>7806385951</v>
      </c>
      <c r="F1388" t="s">
        <v>26</v>
      </c>
      <c r="G1388" t="s">
        <v>2647</v>
      </c>
      <c r="H1388" t="s">
        <v>2648</v>
      </c>
      <c r="I1388" t="s">
        <v>17</v>
      </c>
      <c r="J1388" t="s">
        <v>18</v>
      </c>
    </row>
    <row r="1389" spans="1:10" hidden="1" x14ac:dyDescent="0.25">
      <c r="A1389" t="s">
        <v>11</v>
      </c>
      <c r="B1389" t="str">
        <f>"UT-109535"</f>
        <v>UT-109535</v>
      </c>
      <c r="C1389" t="s">
        <v>106</v>
      </c>
      <c r="D1389" t="s">
        <v>2538</v>
      </c>
      <c r="E1389" t="str">
        <f>"7806385951"</f>
        <v>7806385951</v>
      </c>
      <c r="F1389" t="s">
        <v>26</v>
      </c>
      <c r="G1389" t="s">
        <v>1420</v>
      </c>
      <c r="H1389" t="s">
        <v>2649</v>
      </c>
      <c r="I1389" t="s">
        <v>17</v>
      </c>
      <c r="J1389" t="s">
        <v>18</v>
      </c>
    </row>
    <row r="1390" spans="1:10" hidden="1" x14ac:dyDescent="0.25">
      <c r="A1390" t="s">
        <v>11</v>
      </c>
      <c r="B1390" t="str">
        <f>"7720/8174496950"</f>
        <v>7720/8174496950</v>
      </c>
      <c r="C1390" t="s">
        <v>106</v>
      </c>
      <c r="D1390" t="s">
        <v>2538</v>
      </c>
      <c r="E1390" t="str">
        <f>"5032260402"</f>
        <v>5032260402</v>
      </c>
      <c r="F1390" t="s">
        <v>341</v>
      </c>
      <c r="G1390" t="s">
        <v>2650</v>
      </c>
      <c r="H1390" t="s">
        <v>2651</v>
      </c>
      <c r="I1390" t="s">
        <v>17</v>
      </c>
      <c r="J1390" t="s">
        <v>18</v>
      </c>
    </row>
    <row r="1391" spans="1:10" hidden="1" x14ac:dyDescent="0.25">
      <c r="A1391" t="s">
        <v>11</v>
      </c>
      <c r="B1391" t="str">
        <f>"1132"</f>
        <v>1132</v>
      </c>
      <c r="C1391" t="s">
        <v>100</v>
      </c>
      <c r="D1391" t="s">
        <v>2538</v>
      </c>
      <c r="E1391" t="str">
        <f>"9729019493"</f>
        <v>9729019493</v>
      </c>
      <c r="F1391" t="s">
        <v>560</v>
      </c>
      <c r="G1391" t="s">
        <v>1335</v>
      </c>
      <c r="H1391" t="s">
        <v>2652</v>
      </c>
      <c r="I1391" t="s">
        <v>17</v>
      </c>
      <c r="J1391" t="s">
        <v>18</v>
      </c>
    </row>
    <row r="1392" spans="1:10" hidden="1" x14ac:dyDescent="0.25">
      <c r="A1392" t="s">
        <v>11</v>
      </c>
      <c r="B1392" t="str">
        <f>"УТ-605-000051"</f>
        <v>УТ-605-000051</v>
      </c>
      <c r="C1392" t="s">
        <v>420</v>
      </c>
      <c r="D1392" t="s">
        <v>2538</v>
      </c>
      <c r="E1392" t="str">
        <f>"7839454551"</f>
        <v>7839454551</v>
      </c>
      <c r="F1392" t="s">
        <v>57</v>
      </c>
      <c r="G1392" t="s">
        <v>2653</v>
      </c>
      <c r="H1392" t="s">
        <v>2654</v>
      </c>
      <c r="I1392" t="s">
        <v>17</v>
      </c>
      <c r="J1392" t="s">
        <v>18</v>
      </c>
    </row>
    <row r="1393" spans="1:10" hidden="1" x14ac:dyDescent="0.25">
      <c r="A1393" t="s">
        <v>11</v>
      </c>
      <c r="B1393" t="str">
        <f>"УТ-605-000036"</f>
        <v>УТ-605-000036</v>
      </c>
      <c r="C1393" t="s">
        <v>420</v>
      </c>
      <c r="D1393" t="s">
        <v>2538</v>
      </c>
      <c r="E1393" t="str">
        <f>"7839454551"</f>
        <v>7839454551</v>
      </c>
      <c r="F1393" t="s">
        <v>57</v>
      </c>
      <c r="G1393" t="s">
        <v>2655</v>
      </c>
      <c r="H1393" t="s">
        <v>2656</v>
      </c>
      <c r="I1393" t="s">
        <v>17</v>
      </c>
      <c r="J1393" t="s">
        <v>18</v>
      </c>
    </row>
    <row r="1394" spans="1:10" hidden="1" x14ac:dyDescent="0.25">
      <c r="A1394" t="s">
        <v>11</v>
      </c>
      <c r="B1394" t="str">
        <f>"УТ-705-000015"</f>
        <v>УТ-705-000015</v>
      </c>
      <c r="C1394" t="s">
        <v>119</v>
      </c>
      <c r="D1394" t="s">
        <v>2538</v>
      </c>
      <c r="E1394" t="str">
        <f>"7839454551"</f>
        <v>7839454551</v>
      </c>
      <c r="F1394" t="s">
        <v>57</v>
      </c>
      <c r="G1394" t="s">
        <v>2657</v>
      </c>
      <c r="H1394" t="s">
        <v>2658</v>
      </c>
      <c r="I1394" t="s">
        <v>17</v>
      </c>
      <c r="J1394" t="s">
        <v>18</v>
      </c>
    </row>
    <row r="1395" spans="1:10" hidden="1" x14ac:dyDescent="0.25">
      <c r="A1395" t="s">
        <v>11</v>
      </c>
      <c r="B1395" t="str">
        <f>"UT-108042"</f>
        <v>UT-108042</v>
      </c>
      <c r="C1395" t="s">
        <v>100</v>
      </c>
      <c r="D1395" t="s">
        <v>2538</v>
      </c>
      <c r="E1395" t="str">
        <f>"7806385951"</f>
        <v>7806385951</v>
      </c>
      <c r="F1395" t="s">
        <v>26</v>
      </c>
      <c r="G1395" t="s">
        <v>2659</v>
      </c>
      <c r="H1395" t="s">
        <v>2660</v>
      </c>
      <c r="I1395" t="s">
        <v>17</v>
      </c>
      <c r="J1395" t="s">
        <v>18</v>
      </c>
    </row>
    <row r="1396" spans="1:10" hidden="1" x14ac:dyDescent="0.25">
      <c r="A1396" t="s">
        <v>11</v>
      </c>
      <c r="B1396" t="str">
        <f>"3580518-МСК"</f>
        <v>3580518-МСК</v>
      </c>
      <c r="C1396" t="s">
        <v>106</v>
      </c>
      <c r="D1396" t="s">
        <v>2538</v>
      </c>
      <c r="E1396" t="str">
        <f>"7722753969"</f>
        <v>7722753969</v>
      </c>
      <c r="F1396" t="s">
        <v>2661</v>
      </c>
      <c r="G1396" t="s">
        <v>2662</v>
      </c>
      <c r="H1396" t="s">
        <v>2663</v>
      </c>
      <c r="I1396" t="s">
        <v>17</v>
      </c>
      <c r="J1396" t="s">
        <v>18</v>
      </c>
    </row>
    <row r="1397" spans="1:10" hidden="1" x14ac:dyDescent="0.25">
      <c r="A1397" t="s">
        <v>11</v>
      </c>
      <c r="B1397" t="str">
        <f>"3511551"</f>
        <v>3511551</v>
      </c>
      <c r="C1397" t="s">
        <v>420</v>
      </c>
      <c r="D1397" t="s">
        <v>2538</v>
      </c>
      <c r="E1397" t="str">
        <f>"7704217370"</f>
        <v>7704217370</v>
      </c>
      <c r="F1397" t="s">
        <v>1432</v>
      </c>
      <c r="G1397" t="s">
        <v>2664</v>
      </c>
      <c r="H1397" t="s">
        <v>2665</v>
      </c>
      <c r="I1397" t="s">
        <v>17</v>
      </c>
      <c r="J1397" t="s">
        <v>18</v>
      </c>
    </row>
    <row r="1398" spans="1:10" hidden="1" x14ac:dyDescent="0.25">
      <c r="A1398" t="s">
        <v>11</v>
      </c>
      <c r="B1398" t="str">
        <f>"59227841-0008/0605"</f>
        <v>59227841-0008/0605</v>
      </c>
      <c r="C1398" t="s">
        <v>420</v>
      </c>
      <c r="D1398" t="s">
        <v>2538</v>
      </c>
      <c r="E1398" t="str">
        <f>"7704217370"</f>
        <v>7704217370</v>
      </c>
      <c r="F1398" t="s">
        <v>1432</v>
      </c>
      <c r="G1398" t="s">
        <v>2666</v>
      </c>
      <c r="H1398" t="s">
        <v>2667</v>
      </c>
      <c r="I1398" t="s">
        <v>17</v>
      </c>
      <c r="J1398" t="s">
        <v>18</v>
      </c>
    </row>
    <row r="1399" spans="1:10" hidden="1" x14ac:dyDescent="0.25">
      <c r="A1399" t="s">
        <v>11</v>
      </c>
      <c r="B1399" t="str">
        <f>"UT-104928"</f>
        <v>UT-104928</v>
      </c>
      <c r="C1399" t="s">
        <v>12</v>
      </c>
      <c r="D1399" t="s">
        <v>2668</v>
      </c>
      <c r="E1399" t="str">
        <f t="shared" ref="E1399:E1406" si="62">"7806385951"</f>
        <v>7806385951</v>
      </c>
      <c r="F1399" t="s">
        <v>26</v>
      </c>
      <c r="G1399" t="s">
        <v>2669</v>
      </c>
      <c r="H1399" t="s">
        <v>2670</v>
      </c>
      <c r="I1399" t="s">
        <v>17</v>
      </c>
      <c r="J1399" t="s">
        <v>18</v>
      </c>
    </row>
    <row r="1400" spans="1:10" hidden="1" x14ac:dyDescent="0.25">
      <c r="A1400" t="s">
        <v>11</v>
      </c>
      <c r="B1400" t="str">
        <f>"UT-105205"</f>
        <v>UT-105205</v>
      </c>
      <c r="C1400" t="s">
        <v>12</v>
      </c>
      <c r="D1400" t="s">
        <v>2668</v>
      </c>
      <c r="E1400" t="str">
        <f t="shared" si="62"/>
        <v>7806385951</v>
      </c>
      <c r="F1400" t="s">
        <v>26</v>
      </c>
      <c r="G1400" t="s">
        <v>2671</v>
      </c>
      <c r="H1400" t="s">
        <v>2672</v>
      </c>
      <c r="I1400" t="s">
        <v>17</v>
      </c>
      <c r="J1400" t="s">
        <v>18</v>
      </c>
    </row>
    <row r="1401" spans="1:10" hidden="1" x14ac:dyDescent="0.25">
      <c r="A1401" t="s">
        <v>11</v>
      </c>
      <c r="B1401" t="str">
        <f>"UT-104482"</f>
        <v>UT-104482</v>
      </c>
      <c r="C1401" t="s">
        <v>12</v>
      </c>
      <c r="D1401" t="s">
        <v>2668</v>
      </c>
      <c r="E1401" t="str">
        <f t="shared" si="62"/>
        <v>7806385951</v>
      </c>
      <c r="F1401" t="s">
        <v>26</v>
      </c>
      <c r="G1401" t="s">
        <v>2673</v>
      </c>
      <c r="H1401" t="s">
        <v>2674</v>
      </c>
      <c r="I1401" t="s">
        <v>17</v>
      </c>
      <c r="J1401" t="s">
        <v>21</v>
      </c>
    </row>
    <row r="1402" spans="1:10" hidden="1" x14ac:dyDescent="0.25">
      <c r="A1402" t="s">
        <v>11</v>
      </c>
      <c r="B1402" t="str">
        <f>"UT-104484"</f>
        <v>UT-104484</v>
      </c>
      <c r="C1402" t="s">
        <v>12</v>
      </c>
      <c r="D1402" t="s">
        <v>2668</v>
      </c>
      <c r="E1402" t="str">
        <f t="shared" si="62"/>
        <v>7806385951</v>
      </c>
      <c r="F1402" t="s">
        <v>26</v>
      </c>
      <c r="G1402" t="s">
        <v>2675</v>
      </c>
      <c r="H1402" t="s">
        <v>2676</v>
      </c>
      <c r="I1402" t="s">
        <v>17</v>
      </c>
      <c r="J1402" t="s">
        <v>18</v>
      </c>
    </row>
    <row r="1403" spans="1:10" hidden="1" x14ac:dyDescent="0.25">
      <c r="A1403" t="s">
        <v>11</v>
      </c>
      <c r="B1403" t="str">
        <f>"UT-104505"</f>
        <v>UT-104505</v>
      </c>
      <c r="C1403" t="s">
        <v>12</v>
      </c>
      <c r="D1403" t="s">
        <v>2668</v>
      </c>
      <c r="E1403" t="str">
        <f t="shared" si="62"/>
        <v>7806385951</v>
      </c>
      <c r="F1403" t="s">
        <v>26</v>
      </c>
      <c r="G1403" t="s">
        <v>2677</v>
      </c>
      <c r="H1403" t="s">
        <v>2678</v>
      </c>
      <c r="I1403" t="s">
        <v>17</v>
      </c>
      <c r="J1403" t="s">
        <v>18</v>
      </c>
    </row>
    <row r="1404" spans="1:10" hidden="1" x14ac:dyDescent="0.25">
      <c r="A1404" t="s">
        <v>11</v>
      </c>
      <c r="B1404" t="str">
        <f>"UT-104891"</f>
        <v>UT-104891</v>
      </c>
      <c r="C1404" t="s">
        <v>12</v>
      </c>
      <c r="D1404" t="s">
        <v>2668</v>
      </c>
      <c r="E1404" t="str">
        <f t="shared" si="62"/>
        <v>7806385951</v>
      </c>
      <c r="F1404" t="s">
        <v>26</v>
      </c>
      <c r="G1404" t="s">
        <v>2679</v>
      </c>
      <c r="H1404" t="s">
        <v>2680</v>
      </c>
      <c r="I1404" t="s">
        <v>17</v>
      </c>
      <c r="J1404" t="s">
        <v>18</v>
      </c>
    </row>
    <row r="1405" spans="1:10" hidden="1" x14ac:dyDescent="0.25">
      <c r="A1405" t="s">
        <v>11</v>
      </c>
      <c r="B1405" t="str">
        <f>"UT-104926"</f>
        <v>UT-104926</v>
      </c>
      <c r="C1405" t="s">
        <v>12</v>
      </c>
      <c r="D1405" t="s">
        <v>2668</v>
      </c>
      <c r="E1405" t="str">
        <f t="shared" si="62"/>
        <v>7806385951</v>
      </c>
      <c r="F1405" t="s">
        <v>26</v>
      </c>
      <c r="G1405" t="s">
        <v>2681</v>
      </c>
      <c r="H1405" t="s">
        <v>2682</v>
      </c>
      <c r="I1405" t="s">
        <v>17</v>
      </c>
      <c r="J1405" t="s">
        <v>18</v>
      </c>
    </row>
    <row r="1406" spans="1:10" hidden="1" x14ac:dyDescent="0.25">
      <c r="A1406" t="s">
        <v>11</v>
      </c>
      <c r="B1406" t="str">
        <f>"UT-105143"</f>
        <v>UT-105143</v>
      </c>
      <c r="C1406" t="s">
        <v>12</v>
      </c>
      <c r="D1406" t="s">
        <v>2668</v>
      </c>
      <c r="E1406" t="str">
        <f t="shared" si="62"/>
        <v>7806385951</v>
      </c>
      <c r="F1406" t="s">
        <v>26</v>
      </c>
      <c r="G1406" t="s">
        <v>2220</v>
      </c>
      <c r="H1406" t="s">
        <v>2683</v>
      </c>
      <c r="I1406" t="s">
        <v>17</v>
      </c>
      <c r="J1406" t="s">
        <v>18</v>
      </c>
    </row>
    <row r="1407" spans="1:10" hidden="1" x14ac:dyDescent="0.25">
      <c r="A1407" t="s">
        <v>11</v>
      </c>
      <c r="B1407" t="str">
        <f>"34606/520E"</f>
        <v>34606/520E</v>
      </c>
      <c r="C1407" t="s">
        <v>65</v>
      </c>
      <c r="D1407" t="s">
        <v>2668</v>
      </c>
      <c r="E1407" t="str">
        <f>"5003052454"</f>
        <v>5003052454</v>
      </c>
      <c r="F1407" t="s">
        <v>14</v>
      </c>
      <c r="G1407" t="s">
        <v>2346</v>
      </c>
      <c r="H1407" t="s">
        <v>2684</v>
      </c>
      <c r="I1407" t="s">
        <v>17</v>
      </c>
      <c r="J1407" t="s">
        <v>18</v>
      </c>
    </row>
    <row r="1408" spans="1:10" hidden="1" x14ac:dyDescent="0.25">
      <c r="A1408" t="s">
        <v>11</v>
      </c>
      <c r="B1408" t="str">
        <f>"34611/520E"</f>
        <v>34611/520E</v>
      </c>
      <c r="C1408" t="s">
        <v>65</v>
      </c>
      <c r="D1408" t="s">
        <v>2668</v>
      </c>
      <c r="E1408" t="str">
        <f>"5003052454"</f>
        <v>5003052454</v>
      </c>
      <c r="F1408" t="s">
        <v>14</v>
      </c>
      <c r="G1408" t="s">
        <v>2685</v>
      </c>
      <c r="H1408" t="s">
        <v>2686</v>
      </c>
      <c r="I1408" t="s">
        <v>17</v>
      </c>
      <c r="J1408" t="s">
        <v>18</v>
      </c>
    </row>
    <row r="1409" spans="1:10" hidden="1" x14ac:dyDescent="0.25">
      <c r="A1409" t="s">
        <v>11</v>
      </c>
      <c r="B1409" t="str">
        <f>"882"</f>
        <v>882</v>
      </c>
      <c r="C1409" t="s">
        <v>49</v>
      </c>
      <c r="D1409" t="s">
        <v>2668</v>
      </c>
      <c r="E1409" t="str">
        <f>"7704340969"</f>
        <v>7704340969</v>
      </c>
      <c r="F1409" t="s">
        <v>76</v>
      </c>
      <c r="G1409" t="s">
        <v>1726</v>
      </c>
      <c r="H1409" t="s">
        <v>2687</v>
      </c>
      <c r="I1409" t="s">
        <v>17</v>
      </c>
      <c r="J1409" t="s">
        <v>18</v>
      </c>
    </row>
    <row r="1410" spans="1:10" hidden="1" x14ac:dyDescent="0.25">
      <c r="A1410" t="s">
        <v>11</v>
      </c>
      <c r="B1410" t="str">
        <f>"911"</f>
        <v>911</v>
      </c>
      <c r="C1410" t="s">
        <v>49</v>
      </c>
      <c r="D1410" t="s">
        <v>2668</v>
      </c>
      <c r="E1410" t="str">
        <f>"7704340969"</f>
        <v>7704340969</v>
      </c>
      <c r="F1410" t="s">
        <v>76</v>
      </c>
      <c r="G1410" t="s">
        <v>1728</v>
      </c>
      <c r="H1410" t="s">
        <v>2688</v>
      </c>
      <c r="I1410" t="s">
        <v>17</v>
      </c>
      <c r="J1410" t="s">
        <v>18</v>
      </c>
    </row>
    <row r="1411" spans="1:10" hidden="1" x14ac:dyDescent="0.25">
      <c r="A1411" t="s">
        <v>11</v>
      </c>
      <c r="B1411" t="str">
        <f>"939"</f>
        <v>939</v>
      </c>
      <c r="C1411" t="s">
        <v>49</v>
      </c>
      <c r="D1411" t="s">
        <v>2668</v>
      </c>
      <c r="E1411" t="str">
        <f>"7704340969"</f>
        <v>7704340969</v>
      </c>
      <c r="F1411" t="s">
        <v>76</v>
      </c>
      <c r="G1411" t="s">
        <v>1730</v>
      </c>
      <c r="H1411" t="s">
        <v>2689</v>
      </c>
      <c r="I1411" t="s">
        <v>17</v>
      </c>
      <c r="J1411" t="s">
        <v>18</v>
      </c>
    </row>
    <row r="1412" spans="1:10" hidden="1" x14ac:dyDescent="0.25">
      <c r="A1412" t="s">
        <v>11</v>
      </c>
      <c r="B1412" t="str">
        <f>"982"</f>
        <v>982</v>
      </c>
      <c r="C1412" t="s">
        <v>49</v>
      </c>
      <c r="D1412" t="s">
        <v>2668</v>
      </c>
      <c r="E1412" t="str">
        <f>"7704340969"</f>
        <v>7704340969</v>
      </c>
      <c r="F1412" t="s">
        <v>76</v>
      </c>
      <c r="G1412" t="s">
        <v>1732</v>
      </c>
      <c r="H1412" t="s">
        <v>2690</v>
      </c>
      <c r="I1412" t="s">
        <v>17</v>
      </c>
      <c r="J1412" t="s">
        <v>18</v>
      </c>
    </row>
    <row r="1413" spans="1:10" hidden="1" x14ac:dyDescent="0.25">
      <c r="A1413" t="s">
        <v>11</v>
      </c>
      <c r="B1413" t="str">
        <f>"27534"</f>
        <v>27534</v>
      </c>
      <c r="C1413" t="s">
        <v>12</v>
      </c>
      <c r="D1413" t="s">
        <v>2668</v>
      </c>
      <c r="E1413" t="str">
        <f>"7729488999"</f>
        <v>7729488999</v>
      </c>
      <c r="F1413" t="s">
        <v>85</v>
      </c>
      <c r="G1413" t="s">
        <v>2691</v>
      </c>
      <c r="H1413" t="s">
        <v>2692</v>
      </c>
      <c r="I1413" t="s">
        <v>17</v>
      </c>
      <c r="J1413" t="s">
        <v>18</v>
      </c>
    </row>
    <row r="1414" spans="1:10" hidden="1" x14ac:dyDescent="0.25">
      <c r="A1414" t="s">
        <v>11</v>
      </c>
      <c r="B1414" t="str">
        <f>"27518"</f>
        <v>27518</v>
      </c>
      <c r="C1414" t="s">
        <v>12</v>
      </c>
      <c r="D1414" t="s">
        <v>2668</v>
      </c>
      <c r="E1414" t="str">
        <f>"7729488999"</f>
        <v>7729488999</v>
      </c>
      <c r="F1414" t="s">
        <v>85</v>
      </c>
      <c r="G1414" t="s">
        <v>2693</v>
      </c>
      <c r="H1414" t="s">
        <v>2694</v>
      </c>
      <c r="I1414" t="s">
        <v>17</v>
      </c>
      <c r="J1414" t="s">
        <v>18</v>
      </c>
    </row>
    <row r="1415" spans="1:10" hidden="1" x14ac:dyDescent="0.25">
      <c r="A1415" t="s">
        <v>11</v>
      </c>
      <c r="B1415" t="str">
        <f>"27454"</f>
        <v>27454</v>
      </c>
      <c r="C1415" t="s">
        <v>12</v>
      </c>
      <c r="D1415" t="s">
        <v>2668</v>
      </c>
      <c r="E1415" t="str">
        <f>"7729488999"</f>
        <v>7729488999</v>
      </c>
      <c r="F1415" t="s">
        <v>85</v>
      </c>
      <c r="G1415" t="s">
        <v>2695</v>
      </c>
      <c r="H1415" t="s">
        <v>2696</v>
      </c>
      <c r="I1415" t="s">
        <v>17</v>
      </c>
      <c r="J1415" t="s">
        <v>18</v>
      </c>
    </row>
    <row r="1416" spans="1:10" hidden="1" x14ac:dyDescent="0.25">
      <c r="A1416" t="s">
        <v>11</v>
      </c>
      <c r="B1416" t="str">
        <f>"164"</f>
        <v>164</v>
      </c>
      <c r="C1416" t="s">
        <v>49</v>
      </c>
      <c r="D1416" t="s">
        <v>2668</v>
      </c>
      <c r="E1416" t="str">
        <f>"7702392168"</f>
        <v>7702392168</v>
      </c>
      <c r="F1416" t="s">
        <v>97</v>
      </c>
      <c r="G1416" t="s">
        <v>2697</v>
      </c>
      <c r="H1416" t="s">
        <v>2698</v>
      </c>
      <c r="I1416" t="s">
        <v>17</v>
      </c>
      <c r="J1416" t="s">
        <v>21</v>
      </c>
    </row>
    <row r="1417" spans="1:10" x14ac:dyDescent="0.25">
      <c r="A1417" t="s">
        <v>290</v>
      </c>
      <c r="B1417" t="str">
        <f>"1800002521"</f>
        <v>1800002521</v>
      </c>
      <c r="C1417" t="s">
        <v>100</v>
      </c>
      <c r="D1417" t="s">
        <v>2668</v>
      </c>
      <c r="E1417" t="str">
        <f>"5032260402"</f>
        <v>5032260402</v>
      </c>
      <c r="F1417" t="s">
        <v>341</v>
      </c>
      <c r="G1417" t="s">
        <v>847</v>
      </c>
      <c r="H1417" t="s">
        <v>2699</v>
      </c>
      <c r="I1417" t="s">
        <v>17</v>
      </c>
      <c r="J1417" t="s">
        <v>166</v>
      </c>
    </row>
    <row r="1418" spans="1:10" hidden="1" x14ac:dyDescent="0.25">
      <c r="A1418" t="s">
        <v>11</v>
      </c>
      <c r="B1418" t="str">
        <f>"5220/8174471405"</f>
        <v>5220/8174471405</v>
      </c>
      <c r="C1418" t="s">
        <v>100</v>
      </c>
      <c r="D1418" t="s">
        <v>2668</v>
      </c>
      <c r="E1418" t="str">
        <f>"5032260402"</f>
        <v>5032260402</v>
      </c>
      <c r="F1418" t="s">
        <v>341</v>
      </c>
      <c r="G1418" t="s">
        <v>2700</v>
      </c>
      <c r="H1418" t="s">
        <v>2701</v>
      </c>
      <c r="I1418" t="s">
        <v>17</v>
      </c>
      <c r="J1418" t="s">
        <v>18</v>
      </c>
    </row>
    <row r="1419" spans="1:10" hidden="1" x14ac:dyDescent="0.25">
      <c r="A1419" t="s">
        <v>11</v>
      </c>
      <c r="B1419" t="str">
        <f>"5220/8174471446"</f>
        <v>5220/8174471446</v>
      </c>
      <c r="C1419" t="s">
        <v>100</v>
      </c>
      <c r="D1419" t="s">
        <v>2668</v>
      </c>
      <c r="E1419" t="str">
        <f>"5032260402"</f>
        <v>5032260402</v>
      </c>
      <c r="F1419" t="s">
        <v>341</v>
      </c>
      <c r="G1419" t="s">
        <v>2702</v>
      </c>
      <c r="H1419" t="s">
        <v>2703</v>
      </c>
      <c r="I1419" t="s">
        <v>17</v>
      </c>
      <c r="J1419" t="s">
        <v>18</v>
      </c>
    </row>
    <row r="1420" spans="1:10" hidden="1" x14ac:dyDescent="0.25">
      <c r="A1420" t="s">
        <v>11</v>
      </c>
      <c r="B1420" t="str">
        <f>"КАДА0504/06"</f>
        <v>КАДА0504/06</v>
      </c>
      <c r="C1420" t="s">
        <v>100</v>
      </c>
      <c r="D1420" t="s">
        <v>2668</v>
      </c>
      <c r="E1420" t="str">
        <f>"7735126034"</f>
        <v>7735126034</v>
      </c>
      <c r="F1420" t="s">
        <v>131</v>
      </c>
      <c r="G1420" t="s">
        <v>2704</v>
      </c>
      <c r="H1420" t="s">
        <v>2705</v>
      </c>
      <c r="I1420" t="s">
        <v>17</v>
      </c>
      <c r="J1420" t="s">
        <v>18</v>
      </c>
    </row>
    <row r="1421" spans="1:10" hidden="1" x14ac:dyDescent="0.25">
      <c r="A1421" t="s">
        <v>11</v>
      </c>
      <c r="B1421" t="str">
        <f>"1090"</f>
        <v>1090</v>
      </c>
      <c r="C1421" t="s">
        <v>1325</v>
      </c>
      <c r="D1421" t="s">
        <v>2668</v>
      </c>
      <c r="E1421" t="str">
        <f>"9729019493"</f>
        <v>9729019493</v>
      </c>
      <c r="F1421" t="s">
        <v>560</v>
      </c>
      <c r="G1421" t="s">
        <v>1335</v>
      </c>
      <c r="H1421" t="s">
        <v>2706</v>
      </c>
      <c r="I1421" t="s">
        <v>17</v>
      </c>
      <c r="J1421" t="s">
        <v>21</v>
      </c>
    </row>
    <row r="1422" spans="1:10" hidden="1" x14ac:dyDescent="0.25">
      <c r="A1422" t="s">
        <v>11</v>
      </c>
      <c r="B1422" t="str">
        <f>"35644/520E"</f>
        <v>35644/520E</v>
      </c>
      <c r="C1422" t="s">
        <v>106</v>
      </c>
      <c r="D1422" t="s">
        <v>2668</v>
      </c>
      <c r="E1422" t="str">
        <f>"5003052454"</f>
        <v>5003052454</v>
      </c>
      <c r="F1422" t="s">
        <v>14</v>
      </c>
      <c r="G1422" t="s">
        <v>857</v>
      </c>
      <c r="H1422" t="s">
        <v>2707</v>
      </c>
      <c r="I1422" t="s">
        <v>17</v>
      </c>
      <c r="J1422" t="s">
        <v>21</v>
      </c>
    </row>
    <row r="1423" spans="1:10" hidden="1" x14ac:dyDescent="0.25">
      <c r="A1423" t="s">
        <v>11</v>
      </c>
      <c r="B1423" t="str">
        <f>"35647/520E"</f>
        <v>35647/520E</v>
      </c>
      <c r="C1423" t="s">
        <v>106</v>
      </c>
      <c r="D1423" t="s">
        <v>2668</v>
      </c>
      <c r="E1423" t="str">
        <f>"5003052454"</f>
        <v>5003052454</v>
      </c>
      <c r="F1423" t="s">
        <v>14</v>
      </c>
      <c r="G1423" t="s">
        <v>2708</v>
      </c>
      <c r="H1423" t="s">
        <v>2709</v>
      </c>
      <c r="I1423" t="s">
        <v>17</v>
      </c>
      <c r="J1423" t="s">
        <v>18</v>
      </c>
    </row>
    <row r="1424" spans="1:10" hidden="1" x14ac:dyDescent="0.25">
      <c r="A1424" t="s">
        <v>11</v>
      </c>
      <c r="B1424" t="str">
        <f>"35651/520E"</f>
        <v>35651/520E</v>
      </c>
      <c r="C1424" t="s">
        <v>106</v>
      </c>
      <c r="D1424" t="s">
        <v>2668</v>
      </c>
      <c r="E1424" t="str">
        <f>"5003052454"</f>
        <v>5003052454</v>
      </c>
      <c r="F1424" t="s">
        <v>14</v>
      </c>
      <c r="G1424" t="s">
        <v>2710</v>
      </c>
      <c r="H1424" t="s">
        <v>2711</v>
      </c>
      <c r="I1424" t="s">
        <v>17</v>
      </c>
      <c r="J1424" t="s">
        <v>18</v>
      </c>
    </row>
    <row r="1425" spans="1:10" hidden="1" x14ac:dyDescent="0.25">
      <c r="A1425" t="s">
        <v>11</v>
      </c>
      <c r="B1425" t="str">
        <f>"35650/520E"</f>
        <v>35650/520E</v>
      </c>
      <c r="C1425" t="s">
        <v>106</v>
      </c>
      <c r="D1425" t="s">
        <v>2668</v>
      </c>
      <c r="E1425" t="str">
        <f>"5003052454"</f>
        <v>5003052454</v>
      </c>
      <c r="F1425" t="s">
        <v>14</v>
      </c>
      <c r="G1425" t="s">
        <v>2712</v>
      </c>
      <c r="H1425" t="s">
        <v>2713</v>
      </c>
      <c r="I1425" t="s">
        <v>17</v>
      </c>
      <c r="J1425" t="s">
        <v>18</v>
      </c>
    </row>
    <row r="1426" spans="1:10" hidden="1" x14ac:dyDescent="0.25">
      <c r="A1426" t="s">
        <v>11</v>
      </c>
      <c r="B1426" t="str">
        <f>"5-229427"</f>
        <v>5-229427</v>
      </c>
      <c r="C1426" t="s">
        <v>106</v>
      </c>
      <c r="D1426" t="s">
        <v>2668</v>
      </c>
      <c r="E1426" t="str">
        <f>"7326030557"</f>
        <v>7326030557</v>
      </c>
      <c r="F1426" t="s">
        <v>528</v>
      </c>
      <c r="G1426" t="s">
        <v>2714</v>
      </c>
      <c r="H1426" t="s">
        <v>2715</v>
      </c>
      <c r="I1426" t="s">
        <v>17</v>
      </c>
      <c r="J1426" t="s">
        <v>18</v>
      </c>
    </row>
    <row r="1427" spans="1:10" hidden="1" x14ac:dyDescent="0.25">
      <c r="A1427" t="s">
        <v>11</v>
      </c>
      <c r="B1427" t="str">
        <f>"5-229422"</f>
        <v>5-229422</v>
      </c>
      <c r="C1427" t="s">
        <v>106</v>
      </c>
      <c r="D1427" t="s">
        <v>2668</v>
      </c>
      <c r="E1427" t="str">
        <f>"7326030557"</f>
        <v>7326030557</v>
      </c>
      <c r="F1427" t="s">
        <v>528</v>
      </c>
      <c r="G1427" t="s">
        <v>576</v>
      </c>
      <c r="H1427" t="s">
        <v>2716</v>
      </c>
      <c r="I1427" t="s">
        <v>17</v>
      </c>
      <c r="J1427" t="s">
        <v>18</v>
      </c>
    </row>
    <row r="1428" spans="1:10" hidden="1" x14ac:dyDescent="0.25">
      <c r="A1428" t="s">
        <v>11</v>
      </c>
      <c r="B1428" t="str">
        <f>"5-229410"</f>
        <v>5-229410</v>
      </c>
      <c r="C1428" t="s">
        <v>106</v>
      </c>
      <c r="D1428" t="s">
        <v>2668</v>
      </c>
      <c r="E1428" t="str">
        <f>"7326030557"</f>
        <v>7326030557</v>
      </c>
      <c r="F1428" t="s">
        <v>528</v>
      </c>
      <c r="G1428" t="s">
        <v>576</v>
      </c>
      <c r="H1428" t="s">
        <v>2717</v>
      </c>
      <c r="I1428" t="s">
        <v>17</v>
      </c>
      <c r="J1428" t="s">
        <v>18</v>
      </c>
    </row>
    <row r="1429" spans="1:10" hidden="1" x14ac:dyDescent="0.25">
      <c r="A1429" t="s">
        <v>11</v>
      </c>
      <c r="B1429" t="str">
        <f>"5220/8174510882"</f>
        <v>5220/8174510882</v>
      </c>
      <c r="C1429" t="s">
        <v>106</v>
      </c>
      <c r="D1429" t="s">
        <v>2668</v>
      </c>
      <c r="E1429" t="str">
        <f>"5032260402"</f>
        <v>5032260402</v>
      </c>
      <c r="F1429" t="s">
        <v>341</v>
      </c>
      <c r="G1429" t="s">
        <v>2718</v>
      </c>
      <c r="H1429" t="s">
        <v>2719</v>
      </c>
      <c r="I1429" t="s">
        <v>17</v>
      </c>
      <c r="J1429" t="s">
        <v>21</v>
      </c>
    </row>
    <row r="1430" spans="1:10" hidden="1" x14ac:dyDescent="0.25">
      <c r="A1430" t="s">
        <v>11</v>
      </c>
      <c r="B1430" t="str">
        <f>"5220/8174510916"</f>
        <v>5220/8174510916</v>
      </c>
      <c r="C1430" t="s">
        <v>106</v>
      </c>
      <c r="D1430" t="s">
        <v>2668</v>
      </c>
      <c r="E1430" t="str">
        <f>"5032260402"</f>
        <v>5032260402</v>
      </c>
      <c r="F1430" t="s">
        <v>341</v>
      </c>
      <c r="G1430" t="s">
        <v>2720</v>
      </c>
      <c r="H1430" t="s">
        <v>2721</v>
      </c>
      <c r="I1430" t="s">
        <v>17</v>
      </c>
      <c r="J1430" t="s">
        <v>21</v>
      </c>
    </row>
    <row r="1431" spans="1:10" hidden="1" x14ac:dyDescent="0.25">
      <c r="A1431" t="s">
        <v>11</v>
      </c>
      <c r="B1431" t="str">
        <f>"5220/8174511094"</f>
        <v>5220/8174511094</v>
      </c>
      <c r="C1431" t="s">
        <v>106</v>
      </c>
      <c r="D1431" t="s">
        <v>2668</v>
      </c>
      <c r="E1431" t="str">
        <f>"5032260402"</f>
        <v>5032260402</v>
      </c>
      <c r="F1431" t="s">
        <v>341</v>
      </c>
      <c r="G1431" t="s">
        <v>2722</v>
      </c>
      <c r="H1431" t="s">
        <v>2723</v>
      </c>
      <c r="I1431" t="s">
        <v>17</v>
      </c>
      <c r="J1431" t="s">
        <v>18</v>
      </c>
    </row>
    <row r="1432" spans="1:10" hidden="1" x14ac:dyDescent="0.25">
      <c r="A1432" t="s">
        <v>11</v>
      </c>
      <c r="B1432" t="str">
        <f>"5220/8174519706"</f>
        <v>5220/8174519706</v>
      </c>
      <c r="C1432" t="s">
        <v>106</v>
      </c>
      <c r="D1432" t="s">
        <v>2668</v>
      </c>
      <c r="E1432" t="str">
        <f>"5032260402"</f>
        <v>5032260402</v>
      </c>
      <c r="F1432" t="s">
        <v>341</v>
      </c>
      <c r="G1432" t="s">
        <v>2724</v>
      </c>
      <c r="H1432" t="s">
        <v>2725</v>
      </c>
      <c r="I1432" t="s">
        <v>17</v>
      </c>
      <c r="J1432" t="s">
        <v>18</v>
      </c>
    </row>
    <row r="1433" spans="1:10" hidden="1" x14ac:dyDescent="0.25">
      <c r="A1433" t="s">
        <v>11</v>
      </c>
      <c r="B1433" t="str">
        <f>"UT-105237"</f>
        <v>UT-105237</v>
      </c>
      <c r="C1433" t="s">
        <v>12</v>
      </c>
      <c r="D1433" t="s">
        <v>2726</v>
      </c>
      <c r="E1433" t="str">
        <f>"7806385951"</f>
        <v>7806385951</v>
      </c>
      <c r="F1433" t="s">
        <v>26</v>
      </c>
      <c r="G1433" t="s">
        <v>2727</v>
      </c>
      <c r="H1433" t="s">
        <v>2728</v>
      </c>
      <c r="I1433" t="s">
        <v>17</v>
      </c>
      <c r="J1433" t="s">
        <v>18</v>
      </c>
    </row>
    <row r="1434" spans="1:10" hidden="1" x14ac:dyDescent="0.25">
      <c r="A1434" t="s">
        <v>11</v>
      </c>
      <c r="B1434" t="str">
        <f>"UT-105374"</f>
        <v>UT-105374</v>
      </c>
      <c r="C1434" t="s">
        <v>12</v>
      </c>
      <c r="D1434" t="s">
        <v>2726</v>
      </c>
      <c r="E1434" t="str">
        <f>"7806385951"</f>
        <v>7806385951</v>
      </c>
      <c r="F1434" t="s">
        <v>26</v>
      </c>
      <c r="G1434" t="s">
        <v>2729</v>
      </c>
      <c r="H1434" t="s">
        <v>2730</v>
      </c>
      <c r="I1434" t="s">
        <v>17</v>
      </c>
      <c r="J1434" t="s">
        <v>18</v>
      </c>
    </row>
    <row r="1435" spans="1:10" hidden="1" x14ac:dyDescent="0.25">
      <c r="A1435" t="s">
        <v>11</v>
      </c>
      <c r="B1435" t="str">
        <f>"UT-105382"</f>
        <v>UT-105382</v>
      </c>
      <c r="C1435" t="s">
        <v>12</v>
      </c>
      <c r="D1435" t="s">
        <v>2726</v>
      </c>
      <c r="E1435" t="str">
        <f>"7806385951"</f>
        <v>7806385951</v>
      </c>
      <c r="F1435" t="s">
        <v>26</v>
      </c>
      <c r="G1435" t="s">
        <v>2731</v>
      </c>
      <c r="H1435" t="s">
        <v>2732</v>
      </c>
      <c r="I1435" t="s">
        <v>17</v>
      </c>
      <c r="J1435" t="s">
        <v>18</v>
      </c>
    </row>
    <row r="1436" spans="1:10" hidden="1" x14ac:dyDescent="0.25">
      <c r="A1436" t="s">
        <v>11</v>
      </c>
      <c r="B1436" t="str">
        <f>"UT-105383"</f>
        <v>UT-105383</v>
      </c>
      <c r="C1436" t="s">
        <v>12</v>
      </c>
      <c r="D1436" t="s">
        <v>2726</v>
      </c>
      <c r="E1436" t="str">
        <f>"7806385951"</f>
        <v>7806385951</v>
      </c>
      <c r="F1436" t="s">
        <v>26</v>
      </c>
      <c r="G1436" t="s">
        <v>1236</v>
      </c>
      <c r="H1436" t="s">
        <v>2733</v>
      </c>
      <c r="I1436" t="s">
        <v>17</v>
      </c>
      <c r="J1436" t="s">
        <v>18</v>
      </c>
    </row>
    <row r="1437" spans="1:10" hidden="1" x14ac:dyDescent="0.25">
      <c r="A1437" t="s">
        <v>11</v>
      </c>
      <c r="B1437" t="str">
        <f>"UT-105425"</f>
        <v>UT-105425</v>
      </c>
      <c r="C1437" t="s">
        <v>12</v>
      </c>
      <c r="D1437" t="s">
        <v>2726</v>
      </c>
      <c r="E1437" t="str">
        <f>"7806385951"</f>
        <v>7806385951</v>
      </c>
      <c r="F1437" t="s">
        <v>26</v>
      </c>
      <c r="G1437" t="s">
        <v>2734</v>
      </c>
      <c r="H1437" t="s">
        <v>2735</v>
      </c>
      <c r="I1437" t="s">
        <v>17</v>
      </c>
      <c r="J1437" t="s">
        <v>18</v>
      </c>
    </row>
    <row r="1438" spans="1:10" hidden="1" x14ac:dyDescent="0.25">
      <c r="A1438" t="s">
        <v>11</v>
      </c>
      <c r="B1438" t="str">
        <f>"17952/320E"</f>
        <v>17952/320E</v>
      </c>
      <c r="C1438" t="s">
        <v>65</v>
      </c>
      <c r="D1438" t="s">
        <v>2726</v>
      </c>
      <c r="E1438" t="str">
        <f>"5003052454"</f>
        <v>5003052454</v>
      </c>
      <c r="F1438" t="s">
        <v>14</v>
      </c>
      <c r="G1438" t="s">
        <v>2736</v>
      </c>
      <c r="H1438" t="s">
        <v>2737</v>
      </c>
      <c r="I1438" t="s">
        <v>17</v>
      </c>
      <c r="J1438" t="s">
        <v>18</v>
      </c>
    </row>
    <row r="1439" spans="1:10" hidden="1" x14ac:dyDescent="0.25">
      <c r="A1439" t="s">
        <v>11</v>
      </c>
      <c r="B1439" t="str">
        <f>"17953/320E"</f>
        <v>17953/320E</v>
      </c>
      <c r="C1439" t="s">
        <v>65</v>
      </c>
      <c r="D1439" t="s">
        <v>2726</v>
      </c>
      <c r="E1439" t="str">
        <f>"5003052454"</f>
        <v>5003052454</v>
      </c>
      <c r="F1439" t="s">
        <v>14</v>
      </c>
      <c r="G1439" t="s">
        <v>2738</v>
      </c>
      <c r="H1439" t="s">
        <v>2739</v>
      </c>
      <c r="I1439" t="s">
        <v>17</v>
      </c>
      <c r="J1439" t="s">
        <v>18</v>
      </c>
    </row>
    <row r="1440" spans="1:10" hidden="1" x14ac:dyDescent="0.25">
      <c r="A1440" t="s">
        <v>11</v>
      </c>
      <c r="B1440" t="str">
        <f>"UT-106897"</f>
        <v>UT-106897</v>
      </c>
      <c r="C1440" t="s">
        <v>65</v>
      </c>
      <c r="D1440" t="s">
        <v>2726</v>
      </c>
      <c r="E1440" t="str">
        <f>"7806385951"</f>
        <v>7806385951</v>
      </c>
      <c r="F1440" t="s">
        <v>26</v>
      </c>
      <c r="G1440" t="s">
        <v>2740</v>
      </c>
      <c r="H1440" t="s">
        <v>2741</v>
      </c>
      <c r="I1440" t="s">
        <v>17</v>
      </c>
      <c r="J1440" t="s">
        <v>18</v>
      </c>
    </row>
    <row r="1441" spans="1:10" hidden="1" x14ac:dyDescent="0.25">
      <c r="A1441" t="s">
        <v>11</v>
      </c>
      <c r="B1441" t="str">
        <f>"UT-106898"</f>
        <v>UT-106898</v>
      </c>
      <c r="C1441" t="s">
        <v>65</v>
      </c>
      <c r="D1441" t="s">
        <v>2726</v>
      </c>
      <c r="E1441" t="str">
        <f>"7806385951"</f>
        <v>7806385951</v>
      </c>
      <c r="F1441" t="s">
        <v>26</v>
      </c>
      <c r="G1441" t="s">
        <v>2742</v>
      </c>
      <c r="H1441" t="s">
        <v>2743</v>
      </c>
      <c r="I1441" t="s">
        <v>17</v>
      </c>
      <c r="J1441" t="s">
        <v>18</v>
      </c>
    </row>
    <row r="1442" spans="1:10" x14ac:dyDescent="0.25">
      <c r="A1442" t="s">
        <v>11</v>
      </c>
      <c r="B1442" t="str">
        <f>"УТ-305-000072"</f>
        <v>УТ-305-000072</v>
      </c>
      <c r="C1442" t="s">
        <v>65</v>
      </c>
      <c r="D1442" t="s">
        <v>2726</v>
      </c>
      <c r="E1442" t="str">
        <f>"7839454551"</f>
        <v>7839454551</v>
      </c>
      <c r="F1442" t="s">
        <v>57</v>
      </c>
      <c r="G1442" t="s">
        <v>622</v>
      </c>
      <c r="H1442" t="s">
        <v>2744</v>
      </c>
      <c r="I1442" t="s">
        <v>17</v>
      </c>
      <c r="J1442" t="s">
        <v>166</v>
      </c>
    </row>
    <row r="1443" spans="1:10" hidden="1" x14ac:dyDescent="0.25">
      <c r="A1443" t="s">
        <v>11</v>
      </c>
      <c r="B1443" t="str">
        <f>"УТ-305-000066"</f>
        <v>УТ-305-000066</v>
      </c>
      <c r="C1443" t="s">
        <v>65</v>
      </c>
      <c r="D1443" t="s">
        <v>2726</v>
      </c>
      <c r="E1443" t="str">
        <f>"7839454551"</f>
        <v>7839454551</v>
      </c>
      <c r="F1443" t="s">
        <v>57</v>
      </c>
      <c r="G1443" t="s">
        <v>2745</v>
      </c>
      <c r="H1443" t="s">
        <v>2746</v>
      </c>
      <c r="I1443" t="s">
        <v>17</v>
      </c>
      <c r="J1443" t="s">
        <v>18</v>
      </c>
    </row>
    <row r="1444" spans="1:10" hidden="1" x14ac:dyDescent="0.25">
      <c r="A1444" t="s">
        <v>11</v>
      </c>
      <c r="B1444" t="str">
        <f>"УТ-305-000064"</f>
        <v>УТ-305-000064</v>
      </c>
      <c r="C1444" t="s">
        <v>65</v>
      </c>
      <c r="D1444" t="s">
        <v>2726</v>
      </c>
      <c r="E1444" t="str">
        <f>"7839454551"</f>
        <v>7839454551</v>
      </c>
      <c r="F1444" t="s">
        <v>57</v>
      </c>
      <c r="G1444" t="s">
        <v>2747</v>
      </c>
      <c r="H1444" t="s">
        <v>2748</v>
      </c>
      <c r="I1444" t="s">
        <v>17</v>
      </c>
      <c r="J1444" t="s">
        <v>18</v>
      </c>
    </row>
    <row r="1445" spans="1:10" hidden="1" x14ac:dyDescent="0.25">
      <c r="A1445" t="s">
        <v>11</v>
      </c>
      <c r="B1445" t="str">
        <f>"866"</f>
        <v>866</v>
      </c>
      <c r="C1445" t="s">
        <v>49</v>
      </c>
      <c r="D1445" t="s">
        <v>2726</v>
      </c>
      <c r="E1445" t="str">
        <f>"7704340969"</f>
        <v>7704340969</v>
      </c>
      <c r="F1445" t="s">
        <v>76</v>
      </c>
      <c r="G1445" t="s">
        <v>2749</v>
      </c>
      <c r="H1445" t="s">
        <v>2750</v>
      </c>
      <c r="I1445" t="s">
        <v>17</v>
      </c>
      <c r="J1445" t="s">
        <v>18</v>
      </c>
    </row>
    <row r="1446" spans="1:10" hidden="1" x14ac:dyDescent="0.25">
      <c r="A1446" t="s">
        <v>11</v>
      </c>
      <c r="B1446" t="str">
        <f>"898"</f>
        <v>898</v>
      </c>
      <c r="C1446" t="s">
        <v>49</v>
      </c>
      <c r="D1446" t="s">
        <v>2726</v>
      </c>
      <c r="E1446" t="str">
        <f>"7704340969"</f>
        <v>7704340969</v>
      </c>
      <c r="F1446" t="s">
        <v>76</v>
      </c>
      <c r="G1446" t="s">
        <v>2751</v>
      </c>
      <c r="H1446" t="s">
        <v>2752</v>
      </c>
      <c r="I1446" t="s">
        <v>17</v>
      </c>
      <c r="J1446" t="s">
        <v>18</v>
      </c>
    </row>
    <row r="1447" spans="1:10" hidden="1" x14ac:dyDescent="0.25">
      <c r="A1447" t="s">
        <v>11</v>
      </c>
      <c r="B1447" t="str">
        <f>"925"</f>
        <v>925</v>
      </c>
      <c r="C1447" t="s">
        <v>49</v>
      </c>
      <c r="D1447" t="s">
        <v>2726</v>
      </c>
      <c r="E1447" t="str">
        <f>"7704340969"</f>
        <v>7704340969</v>
      </c>
      <c r="F1447" t="s">
        <v>76</v>
      </c>
      <c r="G1447" t="s">
        <v>2753</v>
      </c>
      <c r="H1447" t="s">
        <v>2754</v>
      </c>
      <c r="I1447" t="s">
        <v>17</v>
      </c>
      <c r="J1447" t="s">
        <v>18</v>
      </c>
    </row>
    <row r="1448" spans="1:10" hidden="1" x14ac:dyDescent="0.25">
      <c r="A1448" t="s">
        <v>11</v>
      </c>
      <c r="B1448" t="str">
        <f>"969"</f>
        <v>969</v>
      </c>
      <c r="C1448" t="s">
        <v>49</v>
      </c>
      <c r="D1448" t="s">
        <v>2726</v>
      </c>
      <c r="E1448" t="str">
        <f>"7704340969"</f>
        <v>7704340969</v>
      </c>
      <c r="F1448" t="s">
        <v>76</v>
      </c>
      <c r="G1448" t="s">
        <v>2755</v>
      </c>
      <c r="H1448" t="s">
        <v>2756</v>
      </c>
      <c r="I1448" t="s">
        <v>17</v>
      </c>
      <c r="J1448" t="s">
        <v>18</v>
      </c>
    </row>
    <row r="1449" spans="1:10" hidden="1" x14ac:dyDescent="0.25">
      <c r="A1449" t="s">
        <v>11</v>
      </c>
      <c r="B1449" t="str">
        <f>"2279"</f>
        <v>2279</v>
      </c>
      <c r="C1449" t="s">
        <v>12</v>
      </c>
      <c r="D1449" t="s">
        <v>2726</v>
      </c>
      <c r="E1449" t="str">
        <f>"7825076677"</f>
        <v>7825076677</v>
      </c>
      <c r="F1449" t="s">
        <v>891</v>
      </c>
      <c r="G1449" t="s">
        <v>1591</v>
      </c>
      <c r="H1449" t="s">
        <v>2757</v>
      </c>
      <c r="I1449" t="s">
        <v>17</v>
      </c>
      <c r="J1449" t="s">
        <v>18</v>
      </c>
    </row>
    <row r="1450" spans="1:10" hidden="1" x14ac:dyDescent="0.25">
      <c r="A1450" t="s">
        <v>11</v>
      </c>
      <c r="B1450" t="str">
        <f>"3210/8174449293"</f>
        <v>3210/8174449293</v>
      </c>
      <c r="C1450" t="s">
        <v>65</v>
      </c>
      <c r="D1450" t="s">
        <v>2726</v>
      </c>
      <c r="E1450" t="str">
        <f>"5032260402"</f>
        <v>5032260402</v>
      </c>
      <c r="F1450" t="s">
        <v>341</v>
      </c>
      <c r="G1450" t="s">
        <v>2758</v>
      </c>
      <c r="H1450" t="s">
        <v>2759</v>
      </c>
      <c r="I1450" t="s">
        <v>17</v>
      </c>
      <c r="J1450" t="s">
        <v>18</v>
      </c>
    </row>
    <row r="1451" spans="1:10" hidden="1" x14ac:dyDescent="0.25">
      <c r="A1451" t="s">
        <v>11</v>
      </c>
      <c r="B1451" t="str">
        <f>"3210/8174449449"</f>
        <v>3210/8174449449</v>
      </c>
      <c r="C1451" t="s">
        <v>65</v>
      </c>
      <c r="D1451" t="s">
        <v>2726</v>
      </c>
      <c r="E1451" t="str">
        <f>"5032260402"</f>
        <v>5032260402</v>
      </c>
      <c r="F1451" t="s">
        <v>341</v>
      </c>
      <c r="G1451" t="s">
        <v>2760</v>
      </c>
      <c r="H1451" t="s">
        <v>2761</v>
      </c>
      <c r="I1451" t="s">
        <v>17</v>
      </c>
      <c r="J1451" t="s">
        <v>18</v>
      </c>
    </row>
    <row r="1452" spans="1:10" hidden="1" x14ac:dyDescent="0.25">
      <c r="A1452" t="s">
        <v>11</v>
      </c>
      <c r="B1452" t="str">
        <f>"111"</f>
        <v>111</v>
      </c>
      <c r="C1452" t="s">
        <v>49</v>
      </c>
      <c r="D1452" t="s">
        <v>2726</v>
      </c>
      <c r="E1452" t="str">
        <f>"7743128596"</f>
        <v>7743128596</v>
      </c>
      <c r="F1452" t="s">
        <v>351</v>
      </c>
      <c r="G1452" t="s">
        <v>352</v>
      </c>
      <c r="H1452" t="s">
        <v>2762</v>
      </c>
      <c r="I1452" t="s">
        <v>17</v>
      </c>
      <c r="J1452" t="s">
        <v>18</v>
      </c>
    </row>
    <row r="1453" spans="1:10" hidden="1" x14ac:dyDescent="0.25">
      <c r="A1453" t="s">
        <v>11</v>
      </c>
      <c r="B1453" t="str">
        <f>"ИгДМ0425/06"</f>
        <v>ИгДМ0425/06</v>
      </c>
      <c r="C1453" t="s">
        <v>1916</v>
      </c>
      <c r="D1453" t="s">
        <v>2726</v>
      </c>
      <c r="E1453" t="str">
        <f>"7735126034"</f>
        <v>7735126034</v>
      </c>
      <c r="F1453" t="s">
        <v>131</v>
      </c>
      <c r="G1453" t="s">
        <v>2763</v>
      </c>
      <c r="H1453" t="s">
        <v>2764</v>
      </c>
      <c r="I1453" t="s">
        <v>17</v>
      </c>
      <c r="J1453" t="s">
        <v>18</v>
      </c>
    </row>
    <row r="1454" spans="1:10" hidden="1" x14ac:dyDescent="0.25">
      <c r="A1454" t="s">
        <v>11</v>
      </c>
      <c r="B1454" t="str">
        <f>"КУБО0426/15"</f>
        <v>КУБО0426/15</v>
      </c>
      <c r="C1454" t="s">
        <v>531</v>
      </c>
      <c r="D1454" t="s">
        <v>2726</v>
      </c>
      <c r="E1454" t="str">
        <f>"7735126034"</f>
        <v>7735126034</v>
      </c>
      <c r="F1454" t="s">
        <v>131</v>
      </c>
      <c r="G1454" t="s">
        <v>2765</v>
      </c>
      <c r="H1454" t="s">
        <v>2766</v>
      </c>
      <c r="I1454" t="s">
        <v>17</v>
      </c>
      <c r="J1454" t="s">
        <v>18</v>
      </c>
    </row>
    <row r="1455" spans="1:10" hidden="1" x14ac:dyDescent="0.25">
      <c r="A1455" t="s">
        <v>11</v>
      </c>
      <c r="B1455" t="str">
        <f>"ИгДМ0426/11"</f>
        <v>ИгДМ0426/11</v>
      </c>
      <c r="C1455" t="s">
        <v>531</v>
      </c>
      <c r="D1455" t="s">
        <v>2726</v>
      </c>
      <c r="E1455" t="str">
        <f>"7735126034"</f>
        <v>7735126034</v>
      </c>
      <c r="F1455" t="s">
        <v>131</v>
      </c>
      <c r="G1455" t="s">
        <v>2767</v>
      </c>
      <c r="H1455" t="s">
        <v>2768</v>
      </c>
      <c r="I1455" t="s">
        <v>17</v>
      </c>
      <c r="J1455" t="s">
        <v>18</v>
      </c>
    </row>
    <row r="1456" spans="1:10" hidden="1" x14ac:dyDescent="0.25">
      <c r="A1456" t="s">
        <v>11</v>
      </c>
      <c r="B1456" t="str">
        <f>"ИгДМ0427/14"</f>
        <v>ИгДМ0427/14</v>
      </c>
      <c r="C1456" t="s">
        <v>903</v>
      </c>
      <c r="D1456" t="s">
        <v>2726</v>
      </c>
      <c r="E1456" t="str">
        <f>"7735126034"</f>
        <v>7735126034</v>
      </c>
      <c r="F1456" t="s">
        <v>131</v>
      </c>
      <c r="G1456" t="s">
        <v>435</v>
      </c>
      <c r="H1456" t="s">
        <v>2769</v>
      </c>
      <c r="I1456" t="s">
        <v>17</v>
      </c>
      <c r="J1456" t="s">
        <v>18</v>
      </c>
    </row>
    <row r="1457" spans="1:10" hidden="1" x14ac:dyDescent="0.25">
      <c r="A1457" t="s">
        <v>11</v>
      </c>
      <c r="B1457" t="str">
        <f>"КУБО0427/11"</f>
        <v>КУБО0427/11</v>
      </c>
      <c r="C1457" t="s">
        <v>903</v>
      </c>
      <c r="D1457" t="s">
        <v>2726</v>
      </c>
      <c r="E1457" t="str">
        <f>"7735126034"</f>
        <v>7735126034</v>
      </c>
      <c r="F1457" t="s">
        <v>131</v>
      </c>
      <c r="G1457" t="s">
        <v>2770</v>
      </c>
      <c r="H1457" t="s">
        <v>2771</v>
      </c>
      <c r="I1457" t="s">
        <v>17</v>
      </c>
      <c r="J1457" t="s">
        <v>18</v>
      </c>
    </row>
    <row r="1458" spans="1:10" hidden="1" x14ac:dyDescent="0.25">
      <c r="A1458" t="s">
        <v>11</v>
      </c>
      <c r="B1458" t="str">
        <f>"13470503-12"</f>
        <v>13470503-12</v>
      </c>
      <c r="C1458" t="s">
        <v>65</v>
      </c>
      <c r="D1458" t="s">
        <v>2726</v>
      </c>
      <c r="E1458" t="str">
        <f>"7709242041"</f>
        <v>7709242041</v>
      </c>
      <c r="F1458" t="s">
        <v>1502</v>
      </c>
      <c r="G1458" t="s">
        <v>2772</v>
      </c>
      <c r="H1458" t="s">
        <v>2773</v>
      </c>
      <c r="I1458" t="s">
        <v>17</v>
      </c>
      <c r="J1458" t="s">
        <v>18</v>
      </c>
    </row>
    <row r="1459" spans="1:10" hidden="1" x14ac:dyDescent="0.25">
      <c r="A1459" t="s">
        <v>11</v>
      </c>
      <c r="B1459" t="str">
        <f>"165"</f>
        <v>165</v>
      </c>
      <c r="C1459" t="s">
        <v>49</v>
      </c>
      <c r="D1459" t="s">
        <v>2726</v>
      </c>
      <c r="E1459" t="str">
        <f>"7702392168"</f>
        <v>7702392168</v>
      </c>
      <c r="F1459" t="s">
        <v>97</v>
      </c>
      <c r="G1459" t="s">
        <v>2774</v>
      </c>
      <c r="H1459" t="s">
        <v>2775</v>
      </c>
      <c r="I1459" t="s">
        <v>17</v>
      </c>
      <c r="J1459" t="s">
        <v>18</v>
      </c>
    </row>
    <row r="1460" spans="1:10" hidden="1" x14ac:dyDescent="0.25">
      <c r="A1460" t="s">
        <v>11</v>
      </c>
      <c r="B1460" t="str">
        <f>"SR110023204"</f>
        <v>SR110023204</v>
      </c>
      <c r="C1460" t="s">
        <v>100</v>
      </c>
      <c r="D1460" t="s">
        <v>2726</v>
      </c>
      <c r="E1460" t="str">
        <f>"4725006920"</f>
        <v>4725006920</v>
      </c>
      <c r="F1460" t="s">
        <v>101</v>
      </c>
      <c r="G1460" t="s">
        <v>2776</v>
      </c>
      <c r="H1460" t="s">
        <v>2777</v>
      </c>
      <c r="I1460" t="s">
        <v>17</v>
      </c>
      <c r="J1460" t="s">
        <v>18</v>
      </c>
    </row>
    <row r="1461" spans="1:10" hidden="1" x14ac:dyDescent="0.25">
      <c r="A1461" t="s">
        <v>11</v>
      </c>
      <c r="B1461" t="str">
        <f>"SR110023259"</f>
        <v>SR110023259</v>
      </c>
      <c r="C1461" t="s">
        <v>100</v>
      </c>
      <c r="D1461" t="s">
        <v>2726</v>
      </c>
      <c r="E1461" t="str">
        <f>"4725006920"</f>
        <v>4725006920</v>
      </c>
      <c r="F1461" t="s">
        <v>101</v>
      </c>
      <c r="G1461" t="s">
        <v>2778</v>
      </c>
      <c r="H1461" t="s">
        <v>2779</v>
      </c>
      <c r="I1461" t="s">
        <v>17</v>
      </c>
      <c r="J1461" t="s">
        <v>18</v>
      </c>
    </row>
    <row r="1462" spans="1:10" hidden="1" x14ac:dyDescent="0.25">
      <c r="A1462" t="s">
        <v>11</v>
      </c>
      <c r="B1462" t="str">
        <f>"4831/670F"</f>
        <v>4831/670F</v>
      </c>
      <c r="C1462" t="s">
        <v>100</v>
      </c>
      <c r="D1462" t="s">
        <v>2726</v>
      </c>
      <c r="E1462" t="str">
        <f t="shared" ref="E1462:E1470" si="63">"5003052454"</f>
        <v>5003052454</v>
      </c>
      <c r="F1462" t="s">
        <v>14</v>
      </c>
      <c r="G1462" t="s">
        <v>2780</v>
      </c>
      <c r="H1462" t="s">
        <v>2781</v>
      </c>
      <c r="I1462" t="s">
        <v>17</v>
      </c>
      <c r="J1462" t="s">
        <v>18</v>
      </c>
    </row>
    <row r="1463" spans="1:10" hidden="1" x14ac:dyDescent="0.25">
      <c r="A1463" t="s">
        <v>11</v>
      </c>
      <c r="B1463" t="str">
        <f>"4832/670F"</f>
        <v>4832/670F</v>
      </c>
      <c r="C1463" t="s">
        <v>100</v>
      </c>
      <c r="D1463" t="s">
        <v>2726</v>
      </c>
      <c r="E1463" t="str">
        <f t="shared" si="63"/>
        <v>5003052454</v>
      </c>
      <c r="F1463" t="s">
        <v>14</v>
      </c>
      <c r="G1463" t="s">
        <v>2782</v>
      </c>
      <c r="H1463" t="s">
        <v>2783</v>
      </c>
      <c r="I1463" t="s">
        <v>17</v>
      </c>
      <c r="J1463" t="s">
        <v>18</v>
      </c>
    </row>
    <row r="1464" spans="1:10" hidden="1" x14ac:dyDescent="0.25">
      <c r="A1464" t="s">
        <v>11</v>
      </c>
      <c r="B1464" t="str">
        <f>"15557/670E"</f>
        <v>15557/670E</v>
      </c>
      <c r="C1464" t="s">
        <v>100</v>
      </c>
      <c r="D1464" t="s">
        <v>2726</v>
      </c>
      <c r="E1464" t="str">
        <f t="shared" si="63"/>
        <v>5003052454</v>
      </c>
      <c r="F1464" t="s">
        <v>14</v>
      </c>
      <c r="G1464" t="s">
        <v>2784</v>
      </c>
      <c r="H1464" t="s">
        <v>2785</v>
      </c>
      <c r="I1464" t="s">
        <v>17</v>
      </c>
      <c r="J1464" t="s">
        <v>18</v>
      </c>
    </row>
    <row r="1465" spans="1:10" hidden="1" x14ac:dyDescent="0.25">
      <c r="A1465" t="s">
        <v>11</v>
      </c>
      <c r="B1465" t="str">
        <f>"15558/670E"</f>
        <v>15558/670E</v>
      </c>
      <c r="C1465" t="s">
        <v>100</v>
      </c>
      <c r="D1465" t="s">
        <v>2726</v>
      </c>
      <c r="E1465" t="str">
        <f t="shared" si="63"/>
        <v>5003052454</v>
      </c>
      <c r="F1465" t="s">
        <v>14</v>
      </c>
      <c r="G1465" t="s">
        <v>2786</v>
      </c>
      <c r="H1465" t="s">
        <v>2787</v>
      </c>
      <c r="I1465" t="s">
        <v>17</v>
      </c>
      <c r="J1465" t="s">
        <v>18</v>
      </c>
    </row>
    <row r="1466" spans="1:10" hidden="1" x14ac:dyDescent="0.25">
      <c r="A1466" t="s">
        <v>11</v>
      </c>
      <c r="B1466" t="str">
        <f>"15559/670E"</f>
        <v>15559/670E</v>
      </c>
      <c r="C1466" t="s">
        <v>100</v>
      </c>
      <c r="D1466" t="s">
        <v>2726</v>
      </c>
      <c r="E1466" t="str">
        <f t="shared" si="63"/>
        <v>5003052454</v>
      </c>
      <c r="F1466" t="s">
        <v>14</v>
      </c>
      <c r="G1466" t="s">
        <v>2788</v>
      </c>
      <c r="H1466" t="s">
        <v>2789</v>
      </c>
      <c r="I1466" t="s">
        <v>17</v>
      </c>
      <c r="J1466" t="s">
        <v>18</v>
      </c>
    </row>
    <row r="1467" spans="1:10" hidden="1" x14ac:dyDescent="0.25">
      <c r="A1467" t="s">
        <v>11</v>
      </c>
      <c r="B1467" t="str">
        <f>"18201/320E"</f>
        <v>18201/320E</v>
      </c>
      <c r="C1467" t="s">
        <v>100</v>
      </c>
      <c r="D1467" t="s">
        <v>2726</v>
      </c>
      <c r="E1467" t="str">
        <f t="shared" si="63"/>
        <v>5003052454</v>
      </c>
      <c r="F1467" t="s">
        <v>14</v>
      </c>
      <c r="G1467" t="s">
        <v>2790</v>
      </c>
      <c r="H1467" t="s">
        <v>2791</v>
      </c>
      <c r="I1467" t="s">
        <v>17</v>
      </c>
      <c r="J1467" t="s">
        <v>18</v>
      </c>
    </row>
    <row r="1468" spans="1:10" hidden="1" x14ac:dyDescent="0.25">
      <c r="A1468" t="s">
        <v>11</v>
      </c>
      <c r="B1468" t="str">
        <f>"18200/320E"</f>
        <v>18200/320E</v>
      </c>
      <c r="C1468" t="s">
        <v>100</v>
      </c>
      <c r="D1468" t="s">
        <v>2726</v>
      </c>
      <c r="E1468" t="str">
        <f t="shared" si="63"/>
        <v>5003052454</v>
      </c>
      <c r="F1468" t="s">
        <v>14</v>
      </c>
      <c r="G1468" t="s">
        <v>2792</v>
      </c>
      <c r="H1468" t="s">
        <v>2793</v>
      </c>
      <c r="I1468" t="s">
        <v>17</v>
      </c>
      <c r="J1468" t="s">
        <v>18</v>
      </c>
    </row>
    <row r="1469" spans="1:10" hidden="1" x14ac:dyDescent="0.25">
      <c r="A1469" t="s">
        <v>11</v>
      </c>
      <c r="B1469" t="str">
        <f>"18234/320E"</f>
        <v>18234/320E</v>
      </c>
      <c r="C1469" t="s">
        <v>100</v>
      </c>
      <c r="D1469" t="s">
        <v>2726</v>
      </c>
      <c r="E1469" t="str">
        <f t="shared" si="63"/>
        <v>5003052454</v>
      </c>
      <c r="F1469" t="s">
        <v>14</v>
      </c>
      <c r="G1469" t="s">
        <v>2794</v>
      </c>
      <c r="H1469" t="s">
        <v>2795</v>
      </c>
      <c r="I1469" t="s">
        <v>17</v>
      </c>
      <c r="J1469" t="s">
        <v>18</v>
      </c>
    </row>
    <row r="1470" spans="1:10" hidden="1" x14ac:dyDescent="0.25">
      <c r="A1470" t="s">
        <v>11</v>
      </c>
      <c r="B1470" t="str">
        <f>"18235/320E"</f>
        <v>18235/320E</v>
      </c>
      <c r="C1470" t="s">
        <v>100</v>
      </c>
      <c r="D1470" t="s">
        <v>2726</v>
      </c>
      <c r="E1470" t="str">
        <f t="shared" si="63"/>
        <v>5003052454</v>
      </c>
      <c r="F1470" t="s">
        <v>14</v>
      </c>
      <c r="G1470" t="s">
        <v>2796</v>
      </c>
      <c r="H1470" t="s">
        <v>2797</v>
      </c>
      <c r="I1470" t="s">
        <v>17</v>
      </c>
      <c r="J1470" t="s">
        <v>18</v>
      </c>
    </row>
    <row r="1471" spans="1:10" hidden="1" x14ac:dyDescent="0.25">
      <c r="A1471" t="s">
        <v>11</v>
      </c>
      <c r="B1471" t="str">
        <f>"UT-108361"</f>
        <v>UT-108361</v>
      </c>
      <c r="C1471" t="s">
        <v>100</v>
      </c>
      <c r="D1471" t="s">
        <v>2726</v>
      </c>
      <c r="E1471" t="str">
        <f>"7806385951"</f>
        <v>7806385951</v>
      </c>
      <c r="F1471" t="s">
        <v>26</v>
      </c>
      <c r="G1471" t="s">
        <v>2798</v>
      </c>
      <c r="H1471" t="s">
        <v>2799</v>
      </c>
      <c r="I1471" t="s">
        <v>17</v>
      </c>
      <c r="J1471" t="s">
        <v>18</v>
      </c>
    </row>
    <row r="1472" spans="1:10" hidden="1" x14ac:dyDescent="0.25">
      <c r="A1472" t="s">
        <v>11</v>
      </c>
      <c r="B1472" t="str">
        <f>"UT-108362"</f>
        <v>UT-108362</v>
      </c>
      <c r="C1472" t="s">
        <v>100</v>
      </c>
      <c r="D1472" t="s">
        <v>2726</v>
      </c>
      <c r="E1472" t="str">
        <f>"7806385951"</f>
        <v>7806385951</v>
      </c>
      <c r="F1472" t="s">
        <v>26</v>
      </c>
      <c r="G1472" t="s">
        <v>2800</v>
      </c>
      <c r="H1472" t="s">
        <v>2801</v>
      </c>
      <c r="I1472" t="s">
        <v>17</v>
      </c>
      <c r="J1472" t="s">
        <v>18</v>
      </c>
    </row>
    <row r="1473" spans="1:10" hidden="1" x14ac:dyDescent="0.25">
      <c r="A1473" t="s">
        <v>11</v>
      </c>
      <c r="B1473" t="str">
        <f>"2320431"</f>
        <v>2320431</v>
      </c>
      <c r="C1473" t="s">
        <v>100</v>
      </c>
      <c r="D1473" t="s">
        <v>2726</v>
      </c>
      <c r="E1473" t="str">
        <f>"325402548069"</f>
        <v>325402548069</v>
      </c>
      <c r="F1473" t="s">
        <v>2802</v>
      </c>
      <c r="G1473" t="s">
        <v>2803</v>
      </c>
      <c r="H1473" t="s">
        <v>2804</v>
      </c>
      <c r="I1473" t="s">
        <v>17</v>
      </c>
      <c r="J1473" t="s">
        <v>18</v>
      </c>
    </row>
    <row r="1474" spans="1:10" x14ac:dyDescent="0.25">
      <c r="A1474" t="s">
        <v>290</v>
      </c>
      <c r="B1474" t="str">
        <f>"1800000616"</f>
        <v>1800000616</v>
      </c>
      <c r="C1474" t="s">
        <v>100</v>
      </c>
      <c r="D1474" t="s">
        <v>2726</v>
      </c>
      <c r="E1474" t="str">
        <f>"5032260402"</f>
        <v>5032260402</v>
      </c>
      <c r="F1474" t="s">
        <v>341</v>
      </c>
      <c r="G1474" t="s">
        <v>847</v>
      </c>
      <c r="H1474" t="s">
        <v>2805</v>
      </c>
      <c r="I1474" t="s">
        <v>17</v>
      </c>
      <c r="J1474" t="s">
        <v>166</v>
      </c>
    </row>
    <row r="1475" spans="1:10" hidden="1" x14ac:dyDescent="0.25">
      <c r="A1475" t="s">
        <v>11</v>
      </c>
      <c r="B1475" t="str">
        <f>"61 003151 / 069"</f>
        <v>61 003151 / 069</v>
      </c>
      <c r="C1475" t="s">
        <v>100</v>
      </c>
      <c r="D1475" t="s">
        <v>2726</v>
      </c>
      <c r="E1475" t="str">
        <f>"7704218694"</f>
        <v>7704218694</v>
      </c>
      <c r="F1475" t="s">
        <v>1744</v>
      </c>
      <c r="G1475" t="s">
        <v>2806</v>
      </c>
      <c r="H1475" t="s">
        <v>2807</v>
      </c>
      <c r="I1475" t="s">
        <v>17</v>
      </c>
      <c r="J1475" t="s">
        <v>18</v>
      </c>
    </row>
    <row r="1476" spans="1:10" hidden="1" x14ac:dyDescent="0.25">
      <c r="A1476" t="s">
        <v>11</v>
      </c>
      <c r="B1476" t="str">
        <f>"61 003152 / 069"</f>
        <v>61 003152 / 069</v>
      </c>
      <c r="C1476" t="s">
        <v>100</v>
      </c>
      <c r="D1476" t="s">
        <v>2726</v>
      </c>
      <c r="E1476" t="str">
        <f>"7704218694"</f>
        <v>7704218694</v>
      </c>
      <c r="F1476" t="s">
        <v>1744</v>
      </c>
      <c r="G1476" t="s">
        <v>2806</v>
      </c>
      <c r="H1476" t="s">
        <v>2808</v>
      </c>
      <c r="I1476" t="s">
        <v>17</v>
      </c>
      <c r="J1476" t="s">
        <v>18</v>
      </c>
    </row>
    <row r="1477" spans="1:10" hidden="1" x14ac:dyDescent="0.25">
      <c r="A1477" t="s">
        <v>11</v>
      </c>
      <c r="B1477" t="str">
        <f>"13470503-15"</f>
        <v>13470503-15</v>
      </c>
      <c r="C1477" t="s">
        <v>65</v>
      </c>
      <c r="D1477" t="s">
        <v>2726</v>
      </c>
      <c r="E1477" t="str">
        <f>"7709242041"</f>
        <v>7709242041</v>
      </c>
      <c r="F1477" t="s">
        <v>1502</v>
      </c>
      <c r="G1477" t="s">
        <v>2809</v>
      </c>
      <c r="H1477" t="s">
        <v>2810</v>
      </c>
      <c r="I1477" t="s">
        <v>17</v>
      </c>
      <c r="J1477" t="s">
        <v>18</v>
      </c>
    </row>
    <row r="1478" spans="1:10" hidden="1" x14ac:dyDescent="0.25">
      <c r="A1478" t="s">
        <v>11</v>
      </c>
      <c r="B1478" t="str">
        <f>"3210/8174469120"</f>
        <v>3210/8174469120</v>
      </c>
      <c r="C1478" t="s">
        <v>100</v>
      </c>
      <c r="D1478" t="s">
        <v>2726</v>
      </c>
      <c r="E1478" t="str">
        <f>"5032260402"</f>
        <v>5032260402</v>
      </c>
      <c r="F1478" t="s">
        <v>341</v>
      </c>
      <c r="G1478" t="s">
        <v>2811</v>
      </c>
      <c r="H1478" t="s">
        <v>2812</v>
      </c>
      <c r="I1478" t="s">
        <v>17</v>
      </c>
      <c r="J1478" t="s">
        <v>18</v>
      </c>
    </row>
    <row r="1479" spans="1:10" hidden="1" x14ac:dyDescent="0.25">
      <c r="A1479" t="s">
        <v>11</v>
      </c>
      <c r="B1479" t="str">
        <f>"13470504-05"</f>
        <v>13470504-05</v>
      </c>
      <c r="C1479" t="s">
        <v>100</v>
      </c>
      <c r="D1479" t="s">
        <v>2726</v>
      </c>
      <c r="E1479" t="str">
        <f>"7709242041"</f>
        <v>7709242041</v>
      </c>
      <c r="F1479" t="s">
        <v>1502</v>
      </c>
      <c r="G1479" t="s">
        <v>2813</v>
      </c>
      <c r="H1479" t="s">
        <v>2814</v>
      </c>
      <c r="I1479" t="s">
        <v>17</v>
      </c>
      <c r="J1479" t="s">
        <v>18</v>
      </c>
    </row>
    <row r="1480" spans="1:10" hidden="1" x14ac:dyDescent="0.25">
      <c r="A1480" t="s">
        <v>11</v>
      </c>
      <c r="B1480" t="str">
        <f>"13470504-02"</f>
        <v>13470504-02</v>
      </c>
      <c r="C1480" t="s">
        <v>100</v>
      </c>
      <c r="D1480" t="s">
        <v>2726</v>
      </c>
      <c r="E1480" t="str">
        <f>"7709242041"</f>
        <v>7709242041</v>
      </c>
      <c r="F1480" t="s">
        <v>1502</v>
      </c>
      <c r="G1480" t="s">
        <v>2815</v>
      </c>
      <c r="H1480" t="s">
        <v>2816</v>
      </c>
      <c r="I1480" t="s">
        <v>17</v>
      </c>
      <c r="J1480" t="s">
        <v>18</v>
      </c>
    </row>
    <row r="1481" spans="1:10" hidden="1" x14ac:dyDescent="0.25">
      <c r="A1481" t="s">
        <v>11</v>
      </c>
      <c r="B1481" t="str">
        <f>"15793/670E"</f>
        <v>15793/670E</v>
      </c>
      <c r="C1481" t="s">
        <v>106</v>
      </c>
      <c r="D1481" t="s">
        <v>2726</v>
      </c>
      <c r="E1481" t="str">
        <f>"5003052454"</f>
        <v>5003052454</v>
      </c>
      <c r="F1481" t="s">
        <v>14</v>
      </c>
      <c r="G1481" t="s">
        <v>2817</v>
      </c>
      <c r="H1481" t="s">
        <v>2818</v>
      </c>
      <c r="I1481" t="s">
        <v>17</v>
      </c>
      <c r="J1481" t="s">
        <v>18</v>
      </c>
    </row>
    <row r="1482" spans="1:10" hidden="1" x14ac:dyDescent="0.25">
      <c r="A1482" t="s">
        <v>11</v>
      </c>
      <c r="B1482" t="str">
        <f>"15794/670E"</f>
        <v>15794/670E</v>
      </c>
      <c r="C1482" t="s">
        <v>106</v>
      </c>
      <c r="D1482" t="s">
        <v>2726</v>
      </c>
      <c r="E1482" t="str">
        <f>"5003052454"</f>
        <v>5003052454</v>
      </c>
      <c r="F1482" t="s">
        <v>14</v>
      </c>
      <c r="G1482" t="s">
        <v>2819</v>
      </c>
      <c r="H1482" t="s">
        <v>2820</v>
      </c>
      <c r="I1482" t="s">
        <v>17</v>
      </c>
      <c r="J1482" t="s">
        <v>18</v>
      </c>
    </row>
    <row r="1483" spans="1:10" hidden="1" x14ac:dyDescent="0.25">
      <c r="A1483" t="s">
        <v>11</v>
      </c>
      <c r="B1483" t="str">
        <f>"UT-109509"</f>
        <v>UT-109509</v>
      </c>
      <c r="C1483" t="s">
        <v>106</v>
      </c>
      <c r="D1483" t="s">
        <v>2726</v>
      </c>
      <c r="E1483" t="str">
        <f>"7806385951"</f>
        <v>7806385951</v>
      </c>
      <c r="F1483" t="s">
        <v>26</v>
      </c>
      <c r="G1483" t="s">
        <v>2821</v>
      </c>
      <c r="H1483" t="s">
        <v>2822</v>
      </c>
      <c r="I1483" t="s">
        <v>17</v>
      </c>
      <c r="J1483" t="s">
        <v>18</v>
      </c>
    </row>
    <row r="1484" spans="1:10" hidden="1" x14ac:dyDescent="0.25">
      <c r="A1484" t="s">
        <v>11</v>
      </c>
      <c r="B1484" t="str">
        <f>"UT-109419"</f>
        <v>UT-109419</v>
      </c>
      <c r="C1484" t="s">
        <v>106</v>
      </c>
      <c r="D1484" t="s">
        <v>2726</v>
      </c>
      <c r="E1484" t="str">
        <f>"7806385951"</f>
        <v>7806385951</v>
      </c>
      <c r="F1484" t="s">
        <v>26</v>
      </c>
      <c r="G1484" t="s">
        <v>2823</v>
      </c>
      <c r="H1484" t="s">
        <v>2824</v>
      </c>
      <c r="I1484" t="s">
        <v>17</v>
      </c>
      <c r="J1484" t="s">
        <v>18</v>
      </c>
    </row>
    <row r="1485" spans="1:10" hidden="1" x14ac:dyDescent="0.25">
      <c r="A1485" t="s">
        <v>11</v>
      </c>
      <c r="B1485" t="str">
        <f>"UT-109452"</f>
        <v>UT-109452</v>
      </c>
      <c r="C1485" t="s">
        <v>106</v>
      </c>
      <c r="D1485" t="s">
        <v>2726</v>
      </c>
      <c r="E1485" t="str">
        <f>"7806385951"</f>
        <v>7806385951</v>
      </c>
      <c r="F1485" t="s">
        <v>26</v>
      </c>
      <c r="G1485" t="s">
        <v>2825</v>
      </c>
      <c r="H1485" t="s">
        <v>2826</v>
      </c>
      <c r="I1485" t="s">
        <v>17</v>
      </c>
      <c r="J1485" t="s">
        <v>18</v>
      </c>
    </row>
    <row r="1486" spans="1:10" hidden="1" x14ac:dyDescent="0.25">
      <c r="A1486" t="s">
        <v>11</v>
      </c>
      <c r="B1486" t="str">
        <f>"UT-109453"</f>
        <v>UT-109453</v>
      </c>
      <c r="C1486" t="s">
        <v>106</v>
      </c>
      <c r="D1486" t="s">
        <v>2726</v>
      </c>
      <c r="E1486" t="str">
        <f>"7806385951"</f>
        <v>7806385951</v>
      </c>
      <c r="F1486" t="s">
        <v>26</v>
      </c>
      <c r="G1486" t="s">
        <v>2827</v>
      </c>
      <c r="H1486" t="s">
        <v>2828</v>
      </c>
      <c r="I1486" t="s">
        <v>17</v>
      </c>
      <c r="J1486" t="s">
        <v>18</v>
      </c>
    </row>
    <row r="1487" spans="1:10" hidden="1" x14ac:dyDescent="0.25">
      <c r="A1487" t="s">
        <v>11</v>
      </c>
      <c r="B1487" t="str">
        <f>"SR110023862"</f>
        <v>SR110023862</v>
      </c>
      <c r="C1487" t="s">
        <v>420</v>
      </c>
      <c r="D1487" t="s">
        <v>2726</v>
      </c>
      <c r="E1487" t="str">
        <f>"4725006920"</f>
        <v>4725006920</v>
      </c>
      <c r="F1487" t="s">
        <v>101</v>
      </c>
      <c r="G1487" t="s">
        <v>2829</v>
      </c>
      <c r="H1487" t="s">
        <v>2830</v>
      </c>
      <c r="I1487" t="s">
        <v>17</v>
      </c>
      <c r="J1487" t="s">
        <v>18</v>
      </c>
    </row>
    <row r="1488" spans="1:10" hidden="1" x14ac:dyDescent="0.25">
      <c r="A1488" t="s">
        <v>11</v>
      </c>
      <c r="B1488" t="str">
        <f>"SR110023859"</f>
        <v>SR110023859</v>
      </c>
      <c r="C1488" t="s">
        <v>420</v>
      </c>
      <c r="D1488" t="s">
        <v>2726</v>
      </c>
      <c r="E1488" t="str">
        <f>"4725006920"</f>
        <v>4725006920</v>
      </c>
      <c r="F1488" t="s">
        <v>101</v>
      </c>
      <c r="G1488" t="s">
        <v>2831</v>
      </c>
      <c r="H1488" t="s">
        <v>2832</v>
      </c>
      <c r="I1488" t="s">
        <v>17</v>
      </c>
      <c r="J1488" t="s">
        <v>18</v>
      </c>
    </row>
    <row r="1489" spans="1:10" hidden="1" x14ac:dyDescent="0.25">
      <c r="A1489" t="s">
        <v>11</v>
      </c>
      <c r="B1489" t="str">
        <f>"ВАГР0501/13"</f>
        <v>ВАГР0501/13</v>
      </c>
      <c r="C1489" t="s">
        <v>53</v>
      </c>
      <c r="D1489" t="s">
        <v>2833</v>
      </c>
      <c r="E1489" t="str">
        <f>"7735126034"</f>
        <v>7735126034</v>
      </c>
      <c r="F1489" t="s">
        <v>131</v>
      </c>
      <c r="G1489" t="s">
        <v>2834</v>
      </c>
      <c r="H1489" t="s">
        <v>2835</v>
      </c>
      <c r="I1489" t="s">
        <v>17</v>
      </c>
      <c r="J1489" t="s">
        <v>18</v>
      </c>
    </row>
    <row r="1490" spans="1:10" hidden="1" x14ac:dyDescent="0.25">
      <c r="A1490" t="s">
        <v>11</v>
      </c>
      <c r="B1490" t="str">
        <f>"UT-104344"</f>
        <v>UT-104344</v>
      </c>
      <c r="C1490" t="s">
        <v>12</v>
      </c>
      <c r="D1490" t="s">
        <v>2833</v>
      </c>
      <c r="E1490" t="str">
        <f t="shared" ref="E1490:E1498" si="64">"7806385951"</f>
        <v>7806385951</v>
      </c>
      <c r="F1490" t="s">
        <v>26</v>
      </c>
      <c r="G1490" t="s">
        <v>2836</v>
      </c>
      <c r="H1490" t="s">
        <v>2837</v>
      </c>
      <c r="I1490" t="s">
        <v>17</v>
      </c>
      <c r="J1490" t="s">
        <v>18</v>
      </c>
    </row>
    <row r="1491" spans="1:10" hidden="1" x14ac:dyDescent="0.25">
      <c r="A1491" t="s">
        <v>11</v>
      </c>
      <c r="B1491" t="str">
        <f>"UT-104337"</f>
        <v>UT-104337</v>
      </c>
      <c r="C1491" t="s">
        <v>12</v>
      </c>
      <c r="D1491" t="s">
        <v>2833</v>
      </c>
      <c r="E1491" t="str">
        <f t="shared" si="64"/>
        <v>7806385951</v>
      </c>
      <c r="F1491" t="s">
        <v>26</v>
      </c>
      <c r="G1491" t="s">
        <v>2838</v>
      </c>
      <c r="H1491" t="s">
        <v>2839</v>
      </c>
      <c r="I1491" t="s">
        <v>17</v>
      </c>
      <c r="J1491" t="s">
        <v>18</v>
      </c>
    </row>
    <row r="1492" spans="1:10" hidden="1" x14ac:dyDescent="0.25">
      <c r="A1492" t="s">
        <v>11</v>
      </c>
      <c r="B1492" t="str">
        <f>"UT-104339"</f>
        <v>UT-104339</v>
      </c>
      <c r="C1492" t="s">
        <v>12</v>
      </c>
      <c r="D1492" t="s">
        <v>2833</v>
      </c>
      <c r="E1492" t="str">
        <f t="shared" si="64"/>
        <v>7806385951</v>
      </c>
      <c r="F1492" t="s">
        <v>26</v>
      </c>
      <c r="G1492" t="s">
        <v>35</v>
      </c>
      <c r="H1492" t="s">
        <v>2840</v>
      </c>
      <c r="I1492" t="s">
        <v>17</v>
      </c>
      <c r="J1492" t="s">
        <v>18</v>
      </c>
    </row>
    <row r="1493" spans="1:10" hidden="1" x14ac:dyDescent="0.25">
      <c r="A1493" t="s">
        <v>11</v>
      </c>
      <c r="B1493" t="str">
        <f>"UT-104486"</f>
        <v>UT-104486</v>
      </c>
      <c r="C1493" t="s">
        <v>12</v>
      </c>
      <c r="D1493" t="s">
        <v>2833</v>
      </c>
      <c r="E1493" t="str">
        <f t="shared" si="64"/>
        <v>7806385951</v>
      </c>
      <c r="F1493" t="s">
        <v>26</v>
      </c>
      <c r="G1493" t="s">
        <v>2841</v>
      </c>
      <c r="H1493" t="s">
        <v>2842</v>
      </c>
      <c r="I1493" t="s">
        <v>17</v>
      </c>
      <c r="J1493" t="s">
        <v>18</v>
      </c>
    </row>
    <row r="1494" spans="1:10" hidden="1" x14ac:dyDescent="0.25">
      <c r="A1494" t="s">
        <v>11</v>
      </c>
      <c r="B1494" t="str">
        <f>"UT-104488"</f>
        <v>UT-104488</v>
      </c>
      <c r="C1494" t="s">
        <v>12</v>
      </c>
      <c r="D1494" t="s">
        <v>2833</v>
      </c>
      <c r="E1494" t="str">
        <f t="shared" si="64"/>
        <v>7806385951</v>
      </c>
      <c r="F1494" t="s">
        <v>26</v>
      </c>
      <c r="G1494" t="s">
        <v>2843</v>
      </c>
      <c r="H1494" t="s">
        <v>2844</v>
      </c>
      <c r="I1494" t="s">
        <v>17</v>
      </c>
      <c r="J1494" t="s">
        <v>18</v>
      </c>
    </row>
    <row r="1495" spans="1:10" hidden="1" x14ac:dyDescent="0.25">
      <c r="A1495" t="s">
        <v>11</v>
      </c>
      <c r="B1495" t="str">
        <f>"UT-104927"</f>
        <v>UT-104927</v>
      </c>
      <c r="C1495" t="s">
        <v>12</v>
      </c>
      <c r="D1495" t="s">
        <v>2833</v>
      </c>
      <c r="E1495" t="str">
        <f t="shared" si="64"/>
        <v>7806385951</v>
      </c>
      <c r="F1495" t="s">
        <v>26</v>
      </c>
      <c r="G1495" t="s">
        <v>2845</v>
      </c>
      <c r="H1495" t="s">
        <v>2846</v>
      </c>
      <c r="I1495" t="s">
        <v>17</v>
      </c>
      <c r="J1495" t="s">
        <v>18</v>
      </c>
    </row>
    <row r="1496" spans="1:10" hidden="1" x14ac:dyDescent="0.25">
      <c r="A1496" t="s">
        <v>11</v>
      </c>
      <c r="B1496" t="str">
        <f>"UT-105203"</f>
        <v>UT-105203</v>
      </c>
      <c r="C1496" t="s">
        <v>12</v>
      </c>
      <c r="D1496" t="s">
        <v>2833</v>
      </c>
      <c r="E1496" t="str">
        <f t="shared" si="64"/>
        <v>7806385951</v>
      </c>
      <c r="F1496" t="s">
        <v>26</v>
      </c>
      <c r="G1496" t="s">
        <v>2847</v>
      </c>
      <c r="H1496" t="s">
        <v>2848</v>
      </c>
      <c r="I1496" t="s">
        <v>17</v>
      </c>
      <c r="J1496" t="s">
        <v>18</v>
      </c>
    </row>
    <row r="1497" spans="1:10" hidden="1" x14ac:dyDescent="0.25">
      <c r="A1497" t="s">
        <v>11</v>
      </c>
      <c r="B1497" t="str">
        <f>"UT-105204"</f>
        <v>UT-105204</v>
      </c>
      <c r="C1497" t="s">
        <v>12</v>
      </c>
      <c r="D1497" t="s">
        <v>2833</v>
      </c>
      <c r="E1497" t="str">
        <f t="shared" si="64"/>
        <v>7806385951</v>
      </c>
      <c r="F1497" t="s">
        <v>26</v>
      </c>
      <c r="G1497" t="s">
        <v>1420</v>
      </c>
      <c r="H1497" t="s">
        <v>2849</v>
      </c>
      <c r="I1497" t="s">
        <v>17</v>
      </c>
      <c r="J1497" t="s">
        <v>18</v>
      </c>
    </row>
    <row r="1498" spans="1:10" hidden="1" x14ac:dyDescent="0.25">
      <c r="A1498" t="s">
        <v>11</v>
      </c>
      <c r="B1498" t="str">
        <f>"UT-105214"</f>
        <v>UT-105214</v>
      </c>
      <c r="C1498" t="s">
        <v>12</v>
      </c>
      <c r="D1498" t="s">
        <v>2833</v>
      </c>
      <c r="E1498" t="str">
        <f t="shared" si="64"/>
        <v>7806385951</v>
      </c>
      <c r="F1498" t="s">
        <v>26</v>
      </c>
      <c r="G1498" t="s">
        <v>1715</v>
      </c>
      <c r="H1498" t="s">
        <v>2850</v>
      </c>
      <c r="I1498" t="s">
        <v>17</v>
      </c>
      <c r="J1498" t="s">
        <v>18</v>
      </c>
    </row>
    <row r="1499" spans="1:10" x14ac:dyDescent="0.25">
      <c r="A1499" t="s">
        <v>11</v>
      </c>
      <c r="B1499" t="str">
        <f>"2023/30/03/0133178"</f>
        <v>2023/30/03/0133178</v>
      </c>
      <c r="C1499" t="s">
        <v>49</v>
      </c>
      <c r="D1499" t="s">
        <v>2833</v>
      </c>
      <c r="E1499" t="str">
        <f>"7718151150"</f>
        <v>7718151150</v>
      </c>
      <c r="F1499" t="s">
        <v>54</v>
      </c>
      <c r="G1499" t="s">
        <v>164</v>
      </c>
      <c r="H1499" t="s">
        <v>2851</v>
      </c>
      <c r="I1499" t="s">
        <v>17</v>
      </c>
      <c r="J1499" t="s">
        <v>166</v>
      </c>
    </row>
    <row r="1500" spans="1:10" hidden="1" x14ac:dyDescent="0.25">
      <c r="A1500" t="s">
        <v>11</v>
      </c>
      <c r="B1500" t="str">
        <f>"2023/30/03/0127992/38"</f>
        <v>2023/30/03/0127992/38</v>
      </c>
      <c r="C1500" t="s">
        <v>53</v>
      </c>
      <c r="D1500" t="s">
        <v>2833</v>
      </c>
      <c r="E1500" t="str">
        <f>"7718151150"</f>
        <v>7718151150</v>
      </c>
      <c r="F1500" t="s">
        <v>54</v>
      </c>
      <c r="G1500" t="s">
        <v>63</v>
      </c>
      <c r="H1500" t="s">
        <v>2852</v>
      </c>
      <c r="I1500" t="s">
        <v>17</v>
      </c>
      <c r="J1500" t="s">
        <v>18</v>
      </c>
    </row>
    <row r="1501" spans="1:10" hidden="1" x14ac:dyDescent="0.25">
      <c r="A1501" t="s">
        <v>11</v>
      </c>
      <c r="B1501" t="str">
        <f>"2023/30/03/0127993/38"</f>
        <v>2023/30/03/0127993/38</v>
      </c>
      <c r="C1501" t="s">
        <v>53</v>
      </c>
      <c r="D1501" t="s">
        <v>2833</v>
      </c>
      <c r="E1501" t="str">
        <f>"7718151150"</f>
        <v>7718151150</v>
      </c>
      <c r="F1501" t="s">
        <v>54</v>
      </c>
      <c r="G1501" t="s">
        <v>2068</v>
      </c>
      <c r="H1501" t="s">
        <v>2853</v>
      </c>
      <c r="I1501" t="s">
        <v>17</v>
      </c>
      <c r="J1501" t="s">
        <v>18</v>
      </c>
    </row>
    <row r="1502" spans="1:10" hidden="1" x14ac:dyDescent="0.25">
      <c r="A1502" t="s">
        <v>11</v>
      </c>
      <c r="B1502" t="str">
        <f>"МОС0502/07"</f>
        <v>МОС0502/07</v>
      </c>
      <c r="C1502" t="s">
        <v>12</v>
      </c>
      <c r="D1502" t="s">
        <v>2833</v>
      </c>
      <c r="E1502" t="str">
        <f>"7735126034"</f>
        <v>7735126034</v>
      </c>
      <c r="F1502" t="s">
        <v>131</v>
      </c>
      <c r="G1502" t="s">
        <v>2854</v>
      </c>
      <c r="H1502" t="s">
        <v>2855</v>
      </c>
      <c r="I1502" t="s">
        <v>17</v>
      </c>
      <c r="J1502" t="s">
        <v>18</v>
      </c>
    </row>
    <row r="1503" spans="1:10" hidden="1" x14ac:dyDescent="0.25">
      <c r="A1503" t="s">
        <v>11</v>
      </c>
      <c r="B1503" t="str">
        <f>"ОТ-3004-000027"</f>
        <v>ОТ-3004-000027</v>
      </c>
      <c r="C1503" t="s">
        <v>49</v>
      </c>
      <c r="D1503" t="s">
        <v>2833</v>
      </c>
      <c r="E1503" t="str">
        <f>"7839454551"</f>
        <v>7839454551</v>
      </c>
      <c r="F1503" t="s">
        <v>57</v>
      </c>
      <c r="G1503" t="s">
        <v>58</v>
      </c>
      <c r="H1503" t="s">
        <v>2856</v>
      </c>
      <c r="I1503" t="s">
        <v>17</v>
      </c>
      <c r="J1503" t="s">
        <v>18</v>
      </c>
    </row>
    <row r="1504" spans="1:10" hidden="1" x14ac:dyDescent="0.25">
      <c r="A1504" t="s">
        <v>11</v>
      </c>
      <c r="B1504" t="str">
        <f>"ОТ-3004-000026"</f>
        <v>ОТ-3004-000026</v>
      </c>
      <c r="C1504" t="s">
        <v>49</v>
      </c>
      <c r="D1504" t="s">
        <v>2833</v>
      </c>
      <c r="E1504" t="str">
        <f>"7839454551"</f>
        <v>7839454551</v>
      </c>
      <c r="F1504" t="s">
        <v>57</v>
      </c>
      <c r="G1504" t="s">
        <v>58</v>
      </c>
      <c r="H1504" t="s">
        <v>2857</v>
      </c>
      <c r="I1504" t="s">
        <v>17</v>
      </c>
      <c r="J1504" t="s">
        <v>18</v>
      </c>
    </row>
    <row r="1505" spans="1:10" hidden="1" x14ac:dyDescent="0.25">
      <c r="A1505" t="s">
        <v>11</v>
      </c>
      <c r="B1505" t="str">
        <f>"ОТ-3004-000025"</f>
        <v>ОТ-3004-000025</v>
      </c>
      <c r="C1505" t="s">
        <v>49</v>
      </c>
      <c r="D1505" t="s">
        <v>2833</v>
      </c>
      <c r="E1505" t="str">
        <f>"7839454551"</f>
        <v>7839454551</v>
      </c>
      <c r="F1505" t="s">
        <v>57</v>
      </c>
      <c r="G1505" t="s">
        <v>58</v>
      </c>
      <c r="H1505" t="s">
        <v>2858</v>
      </c>
      <c r="I1505" t="s">
        <v>17</v>
      </c>
      <c r="J1505" t="s">
        <v>18</v>
      </c>
    </row>
    <row r="1506" spans="1:10" hidden="1" x14ac:dyDescent="0.25">
      <c r="A1506" t="s">
        <v>11</v>
      </c>
      <c r="B1506" t="str">
        <f>"UT-106900"</f>
        <v>UT-106900</v>
      </c>
      <c r="C1506" t="s">
        <v>65</v>
      </c>
      <c r="D1506" t="s">
        <v>2833</v>
      </c>
      <c r="E1506" t="str">
        <f t="shared" ref="E1506:E1514" si="65">"7806385951"</f>
        <v>7806385951</v>
      </c>
      <c r="F1506" t="s">
        <v>26</v>
      </c>
      <c r="G1506" t="s">
        <v>2859</v>
      </c>
      <c r="H1506" t="s">
        <v>2860</v>
      </c>
      <c r="I1506" t="s">
        <v>17</v>
      </c>
      <c r="J1506" t="s">
        <v>18</v>
      </c>
    </row>
    <row r="1507" spans="1:10" hidden="1" x14ac:dyDescent="0.25">
      <c r="A1507" t="s">
        <v>11</v>
      </c>
      <c r="B1507" t="str">
        <f>"UT-106871"</f>
        <v>UT-106871</v>
      </c>
      <c r="C1507" t="s">
        <v>65</v>
      </c>
      <c r="D1507" t="s">
        <v>2833</v>
      </c>
      <c r="E1507" t="str">
        <f t="shared" si="65"/>
        <v>7806385951</v>
      </c>
      <c r="F1507" t="s">
        <v>26</v>
      </c>
      <c r="G1507" t="s">
        <v>2861</v>
      </c>
      <c r="H1507" t="s">
        <v>2862</v>
      </c>
      <c r="I1507" t="s">
        <v>17</v>
      </c>
      <c r="J1507" t="s">
        <v>18</v>
      </c>
    </row>
    <row r="1508" spans="1:10" hidden="1" x14ac:dyDescent="0.25">
      <c r="A1508" t="s">
        <v>11</v>
      </c>
      <c r="B1508" t="str">
        <f>"UT-106873"</f>
        <v>UT-106873</v>
      </c>
      <c r="C1508" t="s">
        <v>65</v>
      </c>
      <c r="D1508" t="s">
        <v>2833</v>
      </c>
      <c r="E1508" t="str">
        <f t="shared" si="65"/>
        <v>7806385951</v>
      </c>
      <c r="F1508" t="s">
        <v>26</v>
      </c>
      <c r="G1508" t="s">
        <v>2863</v>
      </c>
      <c r="H1508" t="s">
        <v>2864</v>
      </c>
      <c r="I1508" t="s">
        <v>17</v>
      </c>
      <c r="J1508" t="s">
        <v>18</v>
      </c>
    </row>
    <row r="1509" spans="1:10" hidden="1" x14ac:dyDescent="0.25">
      <c r="A1509" t="s">
        <v>11</v>
      </c>
      <c r="B1509" t="str">
        <f>"UT-106899"</f>
        <v>UT-106899</v>
      </c>
      <c r="C1509" t="s">
        <v>65</v>
      </c>
      <c r="D1509" t="s">
        <v>2833</v>
      </c>
      <c r="E1509" t="str">
        <f t="shared" si="65"/>
        <v>7806385951</v>
      </c>
      <c r="F1509" t="s">
        <v>26</v>
      </c>
      <c r="G1509" t="s">
        <v>2865</v>
      </c>
      <c r="H1509" t="s">
        <v>2866</v>
      </c>
      <c r="I1509" t="s">
        <v>17</v>
      </c>
      <c r="J1509" t="s">
        <v>18</v>
      </c>
    </row>
    <row r="1510" spans="1:10" x14ac:dyDescent="0.25">
      <c r="A1510" t="s">
        <v>11</v>
      </c>
      <c r="B1510" t="str">
        <f>"UT-106903"</f>
        <v>UT-106903</v>
      </c>
      <c r="C1510" t="s">
        <v>65</v>
      </c>
      <c r="D1510" t="s">
        <v>2833</v>
      </c>
      <c r="E1510" t="str">
        <f t="shared" si="65"/>
        <v>7806385951</v>
      </c>
      <c r="F1510" t="s">
        <v>26</v>
      </c>
      <c r="G1510" t="s">
        <v>1465</v>
      </c>
      <c r="H1510" t="s">
        <v>2867</v>
      </c>
      <c r="I1510" t="s">
        <v>17</v>
      </c>
      <c r="J1510" t="s">
        <v>166</v>
      </c>
    </row>
    <row r="1511" spans="1:10" hidden="1" x14ac:dyDescent="0.25">
      <c r="A1511" t="s">
        <v>11</v>
      </c>
      <c r="B1511" t="str">
        <f>"UT-106902"</f>
        <v>UT-106902</v>
      </c>
      <c r="C1511" t="s">
        <v>65</v>
      </c>
      <c r="D1511" t="s">
        <v>2833</v>
      </c>
      <c r="E1511" t="str">
        <f t="shared" si="65"/>
        <v>7806385951</v>
      </c>
      <c r="F1511" t="s">
        <v>26</v>
      </c>
      <c r="G1511" t="s">
        <v>2868</v>
      </c>
      <c r="H1511" t="s">
        <v>2869</v>
      </c>
      <c r="I1511" t="s">
        <v>17</v>
      </c>
      <c r="J1511" t="s">
        <v>18</v>
      </c>
    </row>
    <row r="1512" spans="1:10" hidden="1" x14ac:dyDescent="0.25">
      <c r="A1512" t="s">
        <v>11</v>
      </c>
      <c r="B1512" t="str">
        <f>"UT-106904"</f>
        <v>UT-106904</v>
      </c>
      <c r="C1512" t="s">
        <v>65</v>
      </c>
      <c r="D1512" t="s">
        <v>2833</v>
      </c>
      <c r="E1512" t="str">
        <f t="shared" si="65"/>
        <v>7806385951</v>
      </c>
      <c r="F1512" t="s">
        <v>26</v>
      </c>
      <c r="G1512" t="s">
        <v>2870</v>
      </c>
      <c r="H1512" t="s">
        <v>2871</v>
      </c>
      <c r="I1512" t="s">
        <v>17</v>
      </c>
      <c r="J1512" t="s">
        <v>18</v>
      </c>
    </row>
    <row r="1513" spans="1:10" hidden="1" x14ac:dyDescent="0.25">
      <c r="A1513" t="s">
        <v>11</v>
      </c>
      <c r="B1513" t="str">
        <f>"UT-106872"</f>
        <v>UT-106872</v>
      </c>
      <c r="C1513" t="s">
        <v>65</v>
      </c>
      <c r="D1513" t="s">
        <v>2833</v>
      </c>
      <c r="E1513" t="str">
        <f t="shared" si="65"/>
        <v>7806385951</v>
      </c>
      <c r="F1513" t="s">
        <v>26</v>
      </c>
      <c r="G1513" t="s">
        <v>2872</v>
      </c>
      <c r="H1513" t="s">
        <v>2873</v>
      </c>
      <c r="I1513" t="s">
        <v>17</v>
      </c>
      <c r="J1513" t="s">
        <v>18</v>
      </c>
    </row>
    <row r="1514" spans="1:10" hidden="1" x14ac:dyDescent="0.25">
      <c r="A1514" t="s">
        <v>11</v>
      </c>
      <c r="B1514" t="str">
        <f>"UT-106901"</f>
        <v>UT-106901</v>
      </c>
      <c r="C1514" t="s">
        <v>65</v>
      </c>
      <c r="D1514" t="s">
        <v>2833</v>
      </c>
      <c r="E1514" t="str">
        <f t="shared" si="65"/>
        <v>7806385951</v>
      </c>
      <c r="F1514" t="s">
        <v>26</v>
      </c>
      <c r="G1514" t="s">
        <v>66</v>
      </c>
      <c r="H1514" t="s">
        <v>2874</v>
      </c>
      <c r="I1514" t="s">
        <v>17</v>
      </c>
      <c r="J1514" t="s">
        <v>18</v>
      </c>
    </row>
    <row r="1515" spans="1:10" hidden="1" x14ac:dyDescent="0.25">
      <c r="A1515" t="s">
        <v>11</v>
      </c>
      <c r="B1515" t="str">
        <f>"01/00232183-23"</f>
        <v>01/00232183-23</v>
      </c>
      <c r="C1515" t="s">
        <v>65</v>
      </c>
      <c r="D1515" t="s">
        <v>2833</v>
      </c>
      <c r="E1515" t="str">
        <f>"7705034202"</f>
        <v>7705034202</v>
      </c>
      <c r="F1515" t="s">
        <v>407</v>
      </c>
      <c r="G1515" t="s">
        <v>2875</v>
      </c>
      <c r="H1515" t="s">
        <v>2876</v>
      </c>
      <c r="I1515" t="s">
        <v>17</v>
      </c>
      <c r="J1515" t="s">
        <v>18</v>
      </c>
    </row>
    <row r="1516" spans="1:10" hidden="1" x14ac:dyDescent="0.25">
      <c r="A1516" t="s">
        <v>11</v>
      </c>
      <c r="B1516" t="str">
        <f>"868"</f>
        <v>868</v>
      </c>
      <c r="C1516" t="s">
        <v>49</v>
      </c>
      <c r="D1516" t="s">
        <v>2833</v>
      </c>
      <c r="E1516" t="str">
        <f>"7704340969"</f>
        <v>7704340969</v>
      </c>
      <c r="F1516" t="s">
        <v>76</v>
      </c>
      <c r="G1516" t="s">
        <v>665</v>
      </c>
      <c r="H1516" t="s">
        <v>2877</v>
      </c>
      <c r="I1516" t="s">
        <v>17</v>
      </c>
      <c r="J1516" t="s">
        <v>18</v>
      </c>
    </row>
    <row r="1517" spans="1:10" hidden="1" x14ac:dyDescent="0.25">
      <c r="A1517" t="s">
        <v>11</v>
      </c>
      <c r="B1517" t="str">
        <f>"900"</f>
        <v>900</v>
      </c>
      <c r="C1517" t="s">
        <v>49</v>
      </c>
      <c r="D1517" t="s">
        <v>2833</v>
      </c>
      <c r="E1517" t="str">
        <f>"7704340969"</f>
        <v>7704340969</v>
      </c>
      <c r="F1517" t="s">
        <v>76</v>
      </c>
      <c r="G1517" t="s">
        <v>669</v>
      </c>
      <c r="H1517" t="s">
        <v>2878</v>
      </c>
      <c r="I1517" t="s">
        <v>17</v>
      </c>
      <c r="J1517" t="s">
        <v>18</v>
      </c>
    </row>
    <row r="1518" spans="1:10" hidden="1" x14ac:dyDescent="0.25">
      <c r="A1518" t="s">
        <v>11</v>
      </c>
      <c r="B1518" t="str">
        <f>"927"</f>
        <v>927</v>
      </c>
      <c r="C1518" t="s">
        <v>49</v>
      </c>
      <c r="D1518" t="s">
        <v>2833</v>
      </c>
      <c r="E1518" t="str">
        <f>"7704340969"</f>
        <v>7704340969</v>
      </c>
      <c r="F1518" t="s">
        <v>76</v>
      </c>
      <c r="G1518" t="s">
        <v>671</v>
      </c>
      <c r="H1518" t="s">
        <v>2879</v>
      </c>
      <c r="I1518" t="s">
        <v>17</v>
      </c>
      <c r="J1518" t="s">
        <v>18</v>
      </c>
    </row>
    <row r="1519" spans="1:10" hidden="1" x14ac:dyDescent="0.25">
      <c r="A1519" t="s">
        <v>11</v>
      </c>
      <c r="B1519" t="str">
        <f>"971"</f>
        <v>971</v>
      </c>
      <c r="C1519" t="s">
        <v>49</v>
      </c>
      <c r="D1519" t="s">
        <v>2833</v>
      </c>
      <c r="E1519" t="str">
        <f>"7704340969"</f>
        <v>7704340969</v>
      </c>
      <c r="F1519" t="s">
        <v>76</v>
      </c>
      <c r="G1519" t="s">
        <v>673</v>
      </c>
      <c r="H1519" t="s">
        <v>2880</v>
      </c>
      <c r="I1519" t="s">
        <v>17</v>
      </c>
      <c r="J1519" t="s">
        <v>18</v>
      </c>
    </row>
    <row r="1520" spans="1:10" hidden="1" x14ac:dyDescent="0.25">
      <c r="A1520" t="s">
        <v>11</v>
      </c>
      <c r="B1520" t="str">
        <f>"2023/30/03/0134871/38"</f>
        <v>2023/30/03/0134871/38</v>
      </c>
      <c r="C1520" t="s">
        <v>12</v>
      </c>
      <c r="D1520" t="s">
        <v>2833</v>
      </c>
      <c r="E1520" t="str">
        <f>"7718151150"</f>
        <v>7718151150</v>
      </c>
      <c r="F1520" t="s">
        <v>54</v>
      </c>
      <c r="G1520" t="s">
        <v>55</v>
      </c>
      <c r="H1520" t="s">
        <v>2881</v>
      </c>
      <c r="I1520" t="s">
        <v>17</v>
      </c>
      <c r="J1520" t="s">
        <v>18</v>
      </c>
    </row>
    <row r="1521" spans="1:10" hidden="1" x14ac:dyDescent="0.25">
      <c r="A1521" t="s">
        <v>11</v>
      </c>
      <c r="B1521" t="str">
        <f>"2023/30/03/0134870/38"</f>
        <v>2023/30/03/0134870/38</v>
      </c>
      <c r="C1521" t="s">
        <v>12</v>
      </c>
      <c r="D1521" t="s">
        <v>2833</v>
      </c>
      <c r="E1521" t="str">
        <f>"7718151150"</f>
        <v>7718151150</v>
      </c>
      <c r="F1521" t="s">
        <v>54</v>
      </c>
      <c r="G1521" t="s">
        <v>63</v>
      </c>
      <c r="H1521" t="s">
        <v>2882</v>
      </c>
      <c r="I1521" t="s">
        <v>17</v>
      </c>
      <c r="J1521" t="s">
        <v>18</v>
      </c>
    </row>
    <row r="1522" spans="1:10" hidden="1" x14ac:dyDescent="0.25">
      <c r="A1522" t="s">
        <v>11</v>
      </c>
      <c r="B1522" t="str">
        <f>"2023/30/03/0134835/38"</f>
        <v>2023/30/03/0134835/38</v>
      </c>
      <c r="C1522" t="s">
        <v>12</v>
      </c>
      <c r="D1522" t="s">
        <v>2833</v>
      </c>
      <c r="E1522" t="str">
        <f>"7718151150"</f>
        <v>7718151150</v>
      </c>
      <c r="F1522" t="s">
        <v>54</v>
      </c>
      <c r="G1522" t="s">
        <v>61</v>
      </c>
      <c r="H1522" t="s">
        <v>2883</v>
      </c>
      <c r="I1522" t="s">
        <v>17</v>
      </c>
      <c r="J1522" t="s">
        <v>18</v>
      </c>
    </row>
    <row r="1523" spans="1:10" hidden="1" x14ac:dyDescent="0.25">
      <c r="A1523" t="s">
        <v>11</v>
      </c>
      <c r="B1523" t="str">
        <f>"972"</f>
        <v>972</v>
      </c>
      <c r="C1523" t="s">
        <v>49</v>
      </c>
      <c r="D1523" t="s">
        <v>2833</v>
      </c>
      <c r="E1523" t="str">
        <f>"7714724185"</f>
        <v>7714724185</v>
      </c>
      <c r="F1523" t="s">
        <v>2884</v>
      </c>
      <c r="G1523" t="s">
        <v>2885</v>
      </c>
      <c r="H1523" t="s">
        <v>2886</v>
      </c>
      <c r="I1523" t="s">
        <v>17</v>
      </c>
      <c r="J1523" t="s">
        <v>18</v>
      </c>
    </row>
    <row r="1524" spans="1:10" hidden="1" x14ac:dyDescent="0.25">
      <c r="A1524" t="s">
        <v>11</v>
      </c>
      <c r="B1524" t="str">
        <f>"28182"</f>
        <v>28182</v>
      </c>
      <c r="C1524" t="s">
        <v>65</v>
      </c>
      <c r="D1524" t="s">
        <v>2833</v>
      </c>
      <c r="E1524" t="str">
        <f t="shared" ref="E1524:E1532" si="66">"7729488999"</f>
        <v>7729488999</v>
      </c>
      <c r="F1524" t="s">
        <v>85</v>
      </c>
      <c r="G1524" t="s">
        <v>2887</v>
      </c>
      <c r="H1524" t="s">
        <v>2888</v>
      </c>
      <c r="I1524" t="s">
        <v>17</v>
      </c>
      <c r="J1524" t="s">
        <v>18</v>
      </c>
    </row>
    <row r="1525" spans="1:10" hidden="1" x14ac:dyDescent="0.25">
      <c r="A1525" t="s">
        <v>11</v>
      </c>
      <c r="B1525" t="str">
        <f>"27675"</f>
        <v>27675</v>
      </c>
      <c r="C1525" t="s">
        <v>12</v>
      </c>
      <c r="D1525" t="s">
        <v>2833</v>
      </c>
      <c r="E1525" t="str">
        <f t="shared" si="66"/>
        <v>7729488999</v>
      </c>
      <c r="F1525" t="s">
        <v>85</v>
      </c>
      <c r="G1525" t="s">
        <v>2889</v>
      </c>
      <c r="H1525" t="s">
        <v>2890</v>
      </c>
      <c r="I1525" t="s">
        <v>17</v>
      </c>
      <c r="J1525" t="s">
        <v>18</v>
      </c>
    </row>
    <row r="1526" spans="1:10" hidden="1" x14ac:dyDescent="0.25">
      <c r="A1526" t="s">
        <v>11</v>
      </c>
      <c r="B1526" t="str">
        <f>"27619"</f>
        <v>27619</v>
      </c>
      <c r="C1526" t="s">
        <v>12</v>
      </c>
      <c r="D1526" t="s">
        <v>2833</v>
      </c>
      <c r="E1526" t="str">
        <f t="shared" si="66"/>
        <v>7729488999</v>
      </c>
      <c r="F1526" t="s">
        <v>85</v>
      </c>
      <c r="G1526" t="s">
        <v>2891</v>
      </c>
      <c r="H1526" t="s">
        <v>2892</v>
      </c>
      <c r="I1526" t="s">
        <v>17</v>
      </c>
      <c r="J1526" t="s">
        <v>18</v>
      </c>
    </row>
    <row r="1527" spans="1:10" hidden="1" x14ac:dyDescent="0.25">
      <c r="A1527" t="s">
        <v>11</v>
      </c>
      <c r="B1527" t="str">
        <f>"27543"</f>
        <v>27543</v>
      </c>
      <c r="C1527" t="s">
        <v>12</v>
      </c>
      <c r="D1527" t="s">
        <v>2833</v>
      </c>
      <c r="E1527" t="str">
        <f t="shared" si="66"/>
        <v>7729488999</v>
      </c>
      <c r="F1527" t="s">
        <v>85</v>
      </c>
      <c r="G1527" t="s">
        <v>2893</v>
      </c>
      <c r="H1527" t="s">
        <v>2894</v>
      </c>
      <c r="I1527" t="s">
        <v>17</v>
      </c>
      <c r="J1527" t="s">
        <v>18</v>
      </c>
    </row>
    <row r="1528" spans="1:10" hidden="1" x14ac:dyDescent="0.25">
      <c r="A1528" t="s">
        <v>11</v>
      </c>
      <c r="B1528" t="str">
        <f>"27224"</f>
        <v>27224</v>
      </c>
      <c r="C1528" t="s">
        <v>12</v>
      </c>
      <c r="D1528" t="s">
        <v>2833</v>
      </c>
      <c r="E1528" t="str">
        <f t="shared" si="66"/>
        <v>7729488999</v>
      </c>
      <c r="F1528" t="s">
        <v>85</v>
      </c>
      <c r="G1528" t="s">
        <v>2895</v>
      </c>
      <c r="H1528" t="s">
        <v>2896</v>
      </c>
      <c r="I1528" t="s">
        <v>17</v>
      </c>
      <c r="J1528" t="s">
        <v>18</v>
      </c>
    </row>
    <row r="1529" spans="1:10" hidden="1" x14ac:dyDescent="0.25">
      <c r="A1529" t="s">
        <v>11</v>
      </c>
      <c r="B1529" t="str">
        <f>"27210"</f>
        <v>27210</v>
      </c>
      <c r="C1529" t="s">
        <v>12</v>
      </c>
      <c r="D1529" t="s">
        <v>2833</v>
      </c>
      <c r="E1529" t="str">
        <f t="shared" si="66"/>
        <v>7729488999</v>
      </c>
      <c r="F1529" t="s">
        <v>85</v>
      </c>
      <c r="G1529" t="s">
        <v>2897</v>
      </c>
      <c r="H1529" t="s">
        <v>2898</v>
      </c>
      <c r="I1529" t="s">
        <v>17</v>
      </c>
      <c r="J1529" t="s">
        <v>18</v>
      </c>
    </row>
    <row r="1530" spans="1:10" hidden="1" x14ac:dyDescent="0.25">
      <c r="A1530" t="s">
        <v>11</v>
      </c>
      <c r="B1530" t="str">
        <f>"27189"</f>
        <v>27189</v>
      </c>
      <c r="C1530" t="s">
        <v>12</v>
      </c>
      <c r="D1530" t="s">
        <v>2833</v>
      </c>
      <c r="E1530" t="str">
        <f t="shared" si="66"/>
        <v>7729488999</v>
      </c>
      <c r="F1530" t="s">
        <v>85</v>
      </c>
      <c r="G1530" t="s">
        <v>2899</v>
      </c>
      <c r="H1530" t="s">
        <v>2900</v>
      </c>
      <c r="I1530" t="s">
        <v>17</v>
      </c>
      <c r="J1530" t="s">
        <v>18</v>
      </c>
    </row>
    <row r="1531" spans="1:10" x14ac:dyDescent="0.25">
      <c r="A1531" t="s">
        <v>11</v>
      </c>
      <c r="B1531" t="str">
        <f>"26691"</f>
        <v>26691</v>
      </c>
      <c r="C1531" t="s">
        <v>12</v>
      </c>
      <c r="D1531" t="s">
        <v>2833</v>
      </c>
      <c r="E1531" t="str">
        <f t="shared" si="66"/>
        <v>7729488999</v>
      </c>
      <c r="F1531" t="s">
        <v>85</v>
      </c>
      <c r="G1531" t="s">
        <v>90</v>
      </c>
      <c r="H1531" t="s">
        <v>2901</v>
      </c>
      <c r="I1531" t="s">
        <v>17</v>
      </c>
      <c r="J1531" t="s">
        <v>166</v>
      </c>
    </row>
    <row r="1532" spans="1:10" x14ac:dyDescent="0.25">
      <c r="A1532" t="s">
        <v>11</v>
      </c>
      <c r="B1532" t="str">
        <f>"26687"</f>
        <v>26687</v>
      </c>
      <c r="C1532" t="s">
        <v>12</v>
      </c>
      <c r="D1532" t="s">
        <v>2833</v>
      </c>
      <c r="E1532" t="str">
        <f t="shared" si="66"/>
        <v>7729488999</v>
      </c>
      <c r="F1532" t="s">
        <v>85</v>
      </c>
      <c r="G1532" t="s">
        <v>90</v>
      </c>
      <c r="H1532" t="s">
        <v>2902</v>
      </c>
      <c r="I1532" t="s">
        <v>17</v>
      </c>
      <c r="J1532" t="s">
        <v>166</v>
      </c>
    </row>
    <row r="1533" spans="1:10" hidden="1" x14ac:dyDescent="0.25">
      <c r="A1533" t="s">
        <v>11</v>
      </c>
      <c r="B1533" t="str">
        <f>"113"</f>
        <v>113</v>
      </c>
      <c r="C1533" t="s">
        <v>49</v>
      </c>
      <c r="D1533" t="s">
        <v>2833</v>
      </c>
      <c r="E1533" t="str">
        <f>"7743128596"</f>
        <v>7743128596</v>
      </c>
      <c r="F1533" t="s">
        <v>351</v>
      </c>
      <c r="G1533" t="s">
        <v>352</v>
      </c>
      <c r="H1533" t="s">
        <v>2903</v>
      </c>
      <c r="I1533" t="s">
        <v>17</v>
      </c>
      <c r="J1533" t="s">
        <v>18</v>
      </c>
    </row>
    <row r="1534" spans="1:10" hidden="1" x14ac:dyDescent="0.25">
      <c r="A1534" t="s">
        <v>11</v>
      </c>
      <c r="B1534" t="str">
        <f>"УТ-405-000119"</f>
        <v>УТ-405-000119</v>
      </c>
      <c r="C1534" t="s">
        <v>100</v>
      </c>
      <c r="D1534" t="s">
        <v>2833</v>
      </c>
      <c r="E1534" t="str">
        <f>"7839454551"</f>
        <v>7839454551</v>
      </c>
      <c r="F1534" t="s">
        <v>57</v>
      </c>
      <c r="G1534" t="s">
        <v>2904</v>
      </c>
      <c r="H1534" t="s">
        <v>2905</v>
      </c>
      <c r="I1534" t="s">
        <v>17</v>
      </c>
      <c r="J1534" t="s">
        <v>18</v>
      </c>
    </row>
    <row r="1535" spans="1:10" hidden="1" x14ac:dyDescent="0.25">
      <c r="A1535" t="s">
        <v>11</v>
      </c>
      <c r="B1535" t="str">
        <f>"УТ-405-000103"</f>
        <v>УТ-405-000103</v>
      </c>
      <c r="C1535" t="s">
        <v>100</v>
      </c>
      <c r="D1535" t="s">
        <v>2833</v>
      </c>
      <c r="E1535" t="str">
        <f>"7839454551"</f>
        <v>7839454551</v>
      </c>
      <c r="F1535" t="s">
        <v>57</v>
      </c>
      <c r="G1535" t="s">
        <v>2906</v>
      </c>
      <c r="H1535" t="s">
        <v>2907</v>
      </c>
      <c r="I1535" t="s">
        <v>17</v>
      </c>
      <c r="J1535" t="s">
        <v>18</v>
      </c>
    </row>
    <row r="1536" spans="1:10" hidden="1" x14ac:dyDescent="0.25">
      <c r="A1536" t="s">
        <v>11</v>
      </c>
      <c r="B1536" t="str">
        <f>"УТ-405-000093"</f>
        <v>УТ-405-000093</v>
      </c>
      <c r="C1536" t="s">
        <v>100</v>
      </c>
      <c r="D1536" t="s">
        <v>2833</v>
      </c>
      <c r="E1536" t="str">
        <f>"7839454551"</f>
        <v>7839454551</v>
      </c>
      <c r="F1536" t="s">
        <v>57</v>
      </c>
      <c r="G1536" t="s">
        <v>2908</v>
      </c>
      <c r="H1536" t="s">
        <v>2909</v>
      </c>
      <c r="I1536" t="s">
        <v>17</v>
      </c>
      <c r="J1536" t="s">
        <v>18</v>
      </c>
    </row>
    <row r="1537" spans="1:10" hidden="1" x14ac:dyDescent="0.25">
      <c r="A1537" t="s">
        <v>11</v>
      </c>
      <c r="B1537" t="str">
        <f>"28313880"</f>
        <v>28313880</v>
      </c>
      <c r="C1537" t="s">
        <v>65</v>
      </c>
      <c r="D1537" t="s">
        <v>2833</v>
      </c>
      <c r="E1537" t="str">
        <f>"7721793895"</f>
        <v>7721793895</v>
      </c>
      <c r="F1537" t="s">
        <v>109</v>
      </c>
      <c r="G1537" t="s">
        <v>2910</v>
      </c>
      <c r="H1537" t="s">
        <v>2911</v>
      </c>
      <c r="I1537" t="s">
        <v>17</v>
      </c>
      <c r="J1537" t="s">
        <v>18</v>
      </c>
    </row>
    <row r="1538" spans="1:10" hidden="1" x14ac:dyDescent="0.25">
      <c r="A1538" t="s">
        <v>11</v>
      </c>
      <c r="B1538" t="str">
        <f>"166"</f>
        <v>166</v>
      </c>
      <c r="C1538" t="s">
        <v>49</v>
      </c>
      <c r="D1538" t="s">
        <v>2833</v>
      </c>
      <c r="E1538" t="str">
        <f>"7702392168"</f>
        <v>7702392168</v>
      </c>
      <c r="F1538" t="s">
        <v>97</v>
      </c>
      <c r="G1538" t="s">
        <v>2912</v>
      </c>
      <c r="H1538" t="s">
        <v>2913</v>
      </c>
      <c r="I1538" t="s">
        <v>17</v>
      </c>
      <c r="J1538" t="s">
        <v>18</v>
      </c>
    </row>
    <row r="1539" spans="1:10" hidden="1" x14ac:dyDescent="0.25">
      <c r="A1539" t="s">
        <v>11</v>
      </c>
      <c r="B1539" t="str">
        <f>"32637/760E"</f>
        <v>32637/760E</v>
      </c>
      <c r="C1539" t="s">
        <v>100</v>
      </c>
      <c r="D1539" t="s">
        <v>2833</v>
      </c>
      <c r="E1539" t="str">
        <f>"5003052454"</f>
        <v>5003052454</v>
      </c>
      <c r="F1539" t="s">
        <v>14</v>
      </c>
      <c r="G1539" t="s">
        <v>2914</v>
      </c>
      <c r="H1539" t="s">
        <v>2915</v>
      </c>
      <c r="I1539" t="s">
        <v>17</v>
      </c>
      <c r="J1539" t="s">
        <v>18</v>
      </c>
    </row>
    <row r="1540" spans="1:10" hidden="1" x14ac:dyDescent="0.25">
      <c r="A1540" t="s">
        <v>11</v>
      </c>
      <c r="B1540" t="str">
        <f>"32638/760E"</f>
        <v>32638/760E</v>
      </c>
      <c r="C1540" t="s">
        <v>100</v>
      </c>
      <c r="D1540" t="s">
        <v>2833</v>
      </c>
      <c r="E1540" t="str">
        <f>"5003052454"</f>
        <v>5003052454</v>
      </c>
      <c r="F1540" t="s">
        <v>14</v>
      </c>
      <c r="G1540" t="s">
        <v>2916</v>
      </c>
      <c r="H1540" t="s">
        <v>2917</v>
      </c>
      <c r="I1540" t="s">
        <v>17</v>
      </c>
      <c r="J1540" t="s">
        <v>18</v>
      </c>
    </row>
    <row r="1541" spans="1:10" hidden="1" x14ac:dyDescent="0.25">
      <c r="A1541" t="s">
        <v>11</v>
      </c>
      <c r="B1541" t="str">
        <f>"32639/760E"</f>
        <v>32639/760E</v>
      </c>
      <c r="C1541" t="s">
        <v>100</v>
      </c>
      <c r="D1541" t="s">
        <v>2833</v>
      </c>
      <c r="E1541" t="str">
        <f>"5003052454"</f>
        <v>5003052454</v>
      </c>
      <c r="F1541" t="s">
        <v>14</v>
      </c>
      <c r="G1541" t="s">
        <v>2918</v>
      </c>
      <c r="H1541" t="s">
        <v>2919</v>
      </c>
      <c r="I1541" t="s">
        <v>17</v>
      </c>
      <c r="J1541" t="s">
        <v>18</v>
      </c>
    </row>
    <row r="1542" spans="1:10" hidden="1" x14ac:dyDescent="0.25">
      <c r="A1542" t="s">
        <v>11</v>
      </c>
      <c r="B1542" t="str">
        <f>"UT-108264"</f>
        <v>UT-108264</v>
      </c>
      <c r="C1542" t="s">
        <v>100</v>
      </c>
      <c r="D1542" t="s">
        <v>2833</v>
      </c>
      <c r="E1542" t="str">
        <f t="shared" ref="E1542:E1548" si="67">"7806385951"</f>
        <v>7806385951</v>
      </c>
      <c r="F1542" t="s">
        <v>26</v>
      </c>
      <c r="G1542" t="s">
        <v>2920</v>
      </c>
      <c r="H1542" t="s">
        <v>2921</v>
      </c>
      <c r="I1542" t="s">
        <v>17</v>
      </c>
      <c r="J1542" t="s">
        <v>18</v>
      </c>
    </row>
    <row r="1543" spans="1:10" hidden="1" x14ac:dyDescent="0.25">
      <c r="A1543" t="s">
        <v>11</v>
      </c>
      <c r="B1543" t="str">
        <f>"UT-108265"</f>
        <v>UT-108265</v>
      </c>
      <c r="C1543" t="s">
        <v>100</v>
      </c>
      <c r="D1543" t="s">
        <v>2833</v>
      </c>
      <c r="E1543" t="str">
        <f t="shared" si="67"/>
        <v>7806385951</v>
      </c>
      <c r="F1543" t="s">
        <v>26</v>
      </c>
      <c r="G1543" t="s">
        <v>2922</v>
      </c>
      <c r="H1543" t="s">
        <v>2923</v>
      </c>
      <c r="I1543" t="s">
        <v>17</v>
      </c>
      <c r="J1543" t="s">
        <v>18</v>
      </c>
    </row>
    <row r="1544" spans="1:10" hidden="1" x14ac:dyDescent="0.25">
      <c r="A1544" t="s">
        <v>11</v>
      </c>
      <c r="B1544" t="str">
        <f>"UT-108363"</f>
        <v>UT-108363</v>
      </c>
      <c r="C1544" t="s">
        <v>100</v>
      </c>
      <c r="D1544" t="s">
        <v>2833</v>
      </c>
      <c r="E1544" t="str">
        <f t="shared" si="67"/>
        <v>7806385951</v>
      </c>
      <c r="F1544" t="s">
        <v>26</v>
      </c>
      <c r="G1544" t="s">
        <v>2924</v>
      </c>
      <c r="H1544" t="s">
        <v>2925</v>
      </c>
      <c r="I1544" t="s">
        <v>17</v>
      </c>
      <c r="J1544" t="s">
        <v>18</v>
      </c>
    </row>
    <row r="1545" spans="1:10" hidden="1" x14ac:dyDescent="0.25">
      <c r="A1545" t="s">
        <v>11</v>
      </c>
      <c r="B1545" t="str">
        <f>"UT-108364"</f>
        <v>UT-108364</v>
      </c>
      <c r="C1545" t="s">
        <v>100</v>
      </c>
      <c r="D1545" t="s">
        <v>2833</v>
      </c>
      <c r="E1545" t="str">
        <f t="shared" si="67"/>
        <v>7806385951</v>
      </c>
      <c r="F1545" t="s">
        <v>26</v>
      </c>
      <c r="G1545" t="s">
        <v>2926</v>
      </c>
      <c r="H1545" t="s">
        <v>2927</v>
      </c>
      <c r="I1545" t="s">
        <v>17</v>
      </c>
      <c r="J1545" t="s">
        <v>18</v>
      </c>
    </row>
    <row r="1546" spans="1:10" hidden="1" x14ac:dyDescent="0.25">
      <c r="A1546" t="s">
        <v>11</v>
      </c>
      <c r="B1546" t="str">
        <f>"UT-108367"</f>
        <v>UT-108367</v>
      </c>
      <c r="C1546" t="s">
        <v>100</v>
      </c>
      <c r="D1546" t="s">
        <v>2833</v>
      </c>
      <c r="E1546" t="str">
        <f t="shared" si="67"/>
        <v>7806385951</v>
      </c>
      <c r="F1546" t="s">
        <v>26</v>
      </c>
      <c r="G1546" t="s">
        <v>2928</v>
      </c>
      <c r="H1546" t="s">
        <v>2929</v>
      </c>
      <c r="I1546" t="s">
        <v>17</v>
      </c>
      <c r="J1546" t="s">
        <v>18</v>
      </c>
    </row>
    <row r="1547" spans="1:10" hidden="1" x14ac:dyDescent="0.25">
      <c r="A1547" t="s">
        <v>11</v>
      </c>
      <c r="B1547" t="str">
        <f>"UT-108365"</f>
        <v>UT-108365</v>
      </c>
      <c r="C1547" t="s">
        <v>100</v>
      </c>
      <c r="D1547" t="s">
        <v>2833</v>
      </c>
      <c r="E1547" t="str">
        <f t="shared" si="67"/>
        <v>7806385951</v>
      </c>
      <c r="F1547" t="s">
        <v>26</v>
      </c>
      <c r="G1547" t="s">
        <v>2930</v>
      </c>
      <c r="H1547" t="s">
        <v>2931</v>
      </c>
      <c r="I1547" t="s">
        <v>17</v>
      </c>
      <c r="J1547" t="s">
        <v>18</v>
      </c>
    </row>
    <row r="1548" spans="1:10" hidden="1" x14ac:dyDescent="0.25">
      <c r="A1548" t="s">
        <v>11</v>
      </c>
      <c r="B1548" t="str">
        <f>"UT-108366"</f>
        <v>UT-108366</v>
      </c>
      <c r="C1548" t="s">
        <v>100</v>
      </c>
      <c r="D1548" t="s">
        <v>2833</v>
      </c>
      <c r="E1548" t="str">
        <f t="shared" si="67"/>
        <v>7806385951</v>
      </c>
      <c r="F1548" t="s">
        <v>26</v>
      </c>
      <c r="G1548" t="s">
        <v>2932</v>
      </c>
      <c r="H1548" t="s">
        <v>2933</v>
      </c>
      <c r="I1548" t="s">
        <v>17</v>
      </c>
      <c r="J1548" t="s">
        <v>18</v>
      </c>
    </row>
    <row r="1549" spans="1:10" hidden="1" x14ac:dyDescent="0.25">
      <c r="A1549" t="s">
        <v>11</v>
      </c>
      <c r="B1549" t="str">
        <f>"2023/30/03/0136616/38"</f>
        <v>2023/30/03/0136616/38</v>
      </c>
      <c r="C1549" t="s">
        <v>65</v>
      </c>
      <c r="D1549" t="s">
        <v>2833</v>
      </c>
      <c r="E1549" t="str">
        <f>"7718151150"</f>
        <v>7718151150</v>
      </c>
      <c r="F1549" t="s">
        <v>54</v>
      </c>
      <c r="G1549" t="s">
        <v>1687</v>
      </c>
      <c r="H1549" t="s">
        <v>2934</v>
      </c>
      <c r="I1549" t="s">
        <v>17</v>
      </c>
      <c r="J1549" t="s">
        <v>18</v>
      </c>
    </row>
    <row r="1550" spans="1:10" hidden="1" x14ac:dyDescent="0.25">
      <c r="A1550" t="s">
        <v>11</v>
      </c>
      <c r="B1550" t="str">
        <f>"5040/8174453571"</f>
        <v>5040/8174453571</v>
      </c>
      <c r="C1550" t="s">
        <v>100</v>
      </c>
      <c r="D1550" t="s">
        <v>2833</v>
      </c>
      <c r="E1550" t="str">
        <f>"5032260402"</f>
        <v>5032260402</v>
      </c>
      <c r="F1550" t="s">
        <v>341</v>
      </c>
      <c r="G1550" t="s">
        <v>2935</v>
      </c>
      <c r="H1550" t="s">
        <v>2936</v>
      </c>
      <c r="I1550" t="s">
        <v>17</v>
      </c>
      <c r="J1550" t="s">
        <v>18</v>
      </c>
    </row>
    <row r="1551" spans="1:10" hidden="1" x14ac:dyDescent="0.25">
      <c r="A1551" t="s">
        <v>11</v>
      </c>
      <c r="B1551" t="str">
        <f>"5040/8174477871"</f>
        <v>5040/8174477871</v>
      </c>
      <c r="C1551" t="s">
        <v>100</v>
      </c>
      <c r="D1551" t="s">
        <v>2833</v>
      </c>
      <c r="E1551" t="str">
        <f>"5032260402"</f>
        <v>5032260402</v>
      </c>
      <c r="F1551" t="s">
        <v>341</v>
      </c>
      <c r="G1551" t="s">
        <v>2937</v>
      </c>
      <c r="H1551" t="s">
        <v>2938</v>
      </c>
      <c r="I1551" t="s">
        <v>17</v>
      </c>
      <c r="J1551" t="s">
        <v>18</v>
      </c>
    </row>
    <row r="1552" spans="1:10" hidden="1" x14ac:dyDescent="0.25">
      <c r="A1552" t="s">
        <v>11</v>
      </c>
      <c r="B1552" t="str">
        <f>"1089"</f>
        <v>1089</v>
      </c>
      <c r="C1552" t="s">
        <v>508</v>
      </c>
      <c r="D1552" t="s">
        <v>2833</v>
      </c>
      <c r="E1552" t="str">
        <f>"9729019493"</f>
        <v>9729019493</v>
      </c>
      <c r="F1552" t="s">
        <v>560</v>
      </c>
      <c r="G1552" t="s">
        <v>1362</v>
      </c>
      <c r="H1552" t="s">
        <v>2939</v>
      </c>
      <c r="I1552" t="s">
        <v>17</v>
      </c>
      <c r="J1552" t="s">
        <v>18</v>
      </c>
    </row>
    <row r="1553" spans="1:10" hidden="1" x14ac:dyDescent="0.25">
      <c r="A1553" t="s">
        <v>11</v>
      </c>
      <c r="B1553" t="str">
        <f>"1088"</f>
        <v>1088</v>
      </c>
      <c r="C1553" t="s">
        <v>559</v>
      </c>
      <c r="D1553" t="s">
        <v>2833</v>
      </c>
      <c r="E1553" t="str">
        <f>"9729019493"</f>
        <v>9729019493</v>
      </c>
      <c r="F1553" t="s">
        <v>560</v>
      </c>
      <c r="G1553" t="s">
        <v>2940</v>
      </c>
      <c r="H1553" t="s">
        <v>2941</v>
      </c>
      <c r="I1553" t="s">
        <v>17</v>
      </c>
      <c r="J1553" t="s">
        <v>18</v>
      </c>
    </row>
    <row r="1554" spans="1:10" hidden="1" x14ac:dyDescent="0.25">
      <c r="A1554" t="s">
        <v>11</v>
      </c>
      <c r="B1554" t="str">
        <f>"1108"</f>
        <v>1108</v>
      </c>
      <c r="C1554" t="s">
        <v>1916</v>
      </c>
      <c r="D1554" t="s">
        <v>2833</v>
      </c>
      <c r="E1554" t="str">
        <f>"9729019493"</f>
        <v>9729019493</v>
      </c>
      <c r="F1554" t="s">
        <v>560</v>
      </c>
      <c r="G1554" t="s">
        <v>2942</v>
      </c>
      <c r="H1554" t="s">
        <v>2943</v>
      </c>
      <c r="I1554" t="s">
        <v>17</v>
      </c>
      <c r="J1554" t="s">
        <v>18</v>
      </c>
    </row>
    <row r="1555" spans="1:10" hidden="1" x14ac:dyDescent="0.25">
      <c r="A1555" t="s">
        <v>11</v>
      </c>
      <c r="B1555" t="str">
        <f>"МОС0504/13"</f>
        <v>МОС0504/13</v>
      </c>
      <c r="C1555" t="s">
        <v>100</v>
      </c>
      <c r="D1555" t="s">
        <v>2833</v>
      </c>
      <c r="E1555" t="str">
        <f>"7735126034"</f>
        <v>7735126034</v>
      </c>
      <c r="F1555" t="s">
        <v>131</v>
      </c>
      <c r="G1555" t="s">
        <v>2944</v>
      </c>
      <c r="H1555" t="s">
        <v>2945</v>
      </c>
      <c r="I1555" t="s">
        <v>17</v>
      </c>
      <c r="J1555" t="s">
        <v>18</v>
      </c>
    </row>
    <row r="1556" spans="1:10" hidden="1" x14ac:dyDescent="0.25">
      <c r="A1556" t="s">
        <v>11</v>
      </c>
      <c r="B1556" t="str">
        <f>"УТ-505-000016"</f>
        <v>УТ-505-000016</v>
      </c>
      <c r="C1556" t="s">
        <v>106</v>
      </c>
      <c r="D1556" t="s">
        <v>2833</v>
      </c>
      <c r="E1556" t="str">
        <f>"7839454551"</f>
        <v>7839454551</v>
      </c>
      <c r="F1556" t="s">
        <v>57</v>
      </c>
      <c r="G1556" t="s">
        <v>2946</v>
      </c>
      <c r="H1556" t="s">
        <v>2947</v>
      </c>
      <c r="I1556" t="s">
        <v>17</v>
      </c>
      <c r="J1556" t="s">
        <v>18</v>
      </c>
    </row>
    <row r="1557" spans="1:10" hidden="1" x14ac:dyDescent="0.25">
      <c r="A1557" t="s">
        <v>11</v>
      </c>
      <c r="B1557" t="str">
        <f>"17120504-11"</f>
        <v>17120504-11</v>
      </c>
      <c r="C1557" t="s">
        <v>100</v>
      </c>
      <c r="D1557" t="s">
        <v>2833</v>
      </c>
      <c r="E1557" t="str">
        <f>"7709242041"</f>
        <v>7709242041</v>
      </c>
      <c r="F1557" t="s">
        <v>1502</v>
      </c>
      <c r="G1557" t="s">
        <v>2948</v>
      </c>
      <c r="H1557" t="s">
        <v>2949</v>
      </c>
      <c r="I1557" t="s">
        <v>17</v>
      </c>
      <c r="J1557" t="s">
        <v>18</v>
      </c>
    </row>
    <row r="1558" spans="1:10" hidden="1" x14ac:dyDescent="0.25">
      <c r="A1558" t="s">
        <v>11</v>
      </c>
      <c r="B1558" t="str">
        <f>"199284/777E"</f>
        <v>199284/777E</v>
      </c>
      <c r="C1558" t="s">
        <v>106</v>
      </c>
      <c r="D1558" t="s">
        <v>2833</v>
      </c>
      <c r="E1558" t="str">
        <f t="shared" ref="E1558:E1569" si="68">"5003052454"</f>
        <v>5003052454</v>
      </c>
      <c r="F1558" t="s">
        <v>14</v>
      </c>
      <c r="G1558" t="s">
        <v>2950</v>
      </c>
      <c r="H1558" t="s">
        <v>2951</v>
      </c>
      <c r="I1558" t="s">
        <v>17</v>
      </c>
      <c r="J1558" t="s">
        <v>18</v>
      </c>
    </row>
    <row r="1559" spans="1:10" hidden="1" x14ac:dyDescent="0.25">
      <c r="A1559" t="s">
        <v>11</v>
      </c>
      <c r="B1559" t="str">
        <f>"199283/777E"</f>
        <v>199283/777E</v>
      </c>
      <c r="C1559" t="s">
        <v>106</v>
      </c>
      <c r="D1559" t="s">
        <v>2833</v>
      </c>
      <c r="E1559" t="str">
        <f t="shared" si="68"/>
        <v>5003052454</v>
      </c>
      <c r="F1559" t="s">
        <v>14</v>
      </c>
      <c r="G1559" t="s">
        <v>1999</v>
      </c>
      <c r="H1559" t="s">
        <v>2952</v>
      </c>
      <c r="I1559" t="s">
        <v>17</v>
      </c>
      <c r="J1559" t="s">
        <v>18</v>
      </c>
    </row>
    <row r="1560" spans="1:10" hidden="1" x14ac:dyDescent="0.25">
      <c r="A1560" t="s">
        <v>11</v>
      </c>
      <c r="B1560" t="str">
        <f>"199286/777E"</f>
        <v>199286/777E</v>
      </c>
      <c r="C1560" t="s">
        <v>106</v>
      </c>
      <c r="D1560" t="s">
        <v>2833</v>
      </c>
      <c r="E1560" t="str">
        <f t="shared" si="68"/>
        <v>5003052454</v>
      </c>
      <c r="F1560" t="s">
        <v>14</v>
      </c>
      <c r="G1560" t="s">
        <v>2953</v>
      </c>
      <c r="H1560" t="s">
        <v>2954</v>
      </c>
      <c r="I1560" t="s">
        <v>17</v>
      </c>
      <c r="J1560" t="s">
        <v>18</v>
      </c>
    </row>
    <row r="1561" spans="1:10" hidden="1" x14ac:dyDescent="0.25">
      <c r="A1561" t="s">
        <v>11</v>
      </c>
      <c r="B1561" t="str">
        <f>"199288/777E"</f>
        <v>199288/777E</v>
      </c>
      <c r="C1561" t="s">
        <v>106</v>
      </c>
      <c r="D1561" t="s">
        <v>2833</v>
      </c>
      <c r="E1561" t="str">
        <f t="shared" si="68"/>
        <v>5003052454</v>
      </c>
      <c r="F1561" t="s">
        <v>14</v>
      </c>
      <c r="G1561" t="s">
        <v>2955</v>
      </c>
      <c r="H1561" t="s">
        <v>2956</v>
      </c>
      <c r="I1561" t="s">
        <v>17</v>
      </c>
      <c r="J1561" t="s">
        <v>18</v>
      </c>
    </row>
    <row r="1562" spans="1:10" hidden="1" x14ac:dyDescent="0.25">
      <c r="A1562" t="s">
        <v>11</v>
      </c>
      <c r="B1562" t="str">
        <f>"199287/777E"</f>
        <v>199287/777E</v>
      </c>
      <c r="C1562" t="s">
        <v>106</v>
      </c>
      <c r="D1562" t="s">
        <v>2833</v>
      </c>
      <c r="E1562" t="str">
        <f t="shared" si="68"/>
        <v>5003052454</v>
      </c>
      <c r="F1562" t="s">
        <v>14</v>
      </c>
      <c r="G1562" t="s">
        <v>2957</v>
      </c>
      <c r="H1562" t="s">
        <v>2958</v>
      </c>
      <c r="I1562" t="s">
        <v>17</v>
      </c>
      <c r="J1562" t="s">
        <v>18</v>
      </c>
    </row>
    <row r="1563" spans="1:10" hidden="1" x14ac:dyDescent="0.25">
      <c r="A1563" t="s">
        <v>11</v>
      </c>
      <c r="B1563" t="str">
        <f>"199285/777E"</f>
        <v>199285/777E</v>
      </c>
      <c r="C1563" t="s">
        <v>106</v>
      </c>
      <c r="D1563" t="s">
        <v>2833</v>
      </c>
      <c r="E1563" t="str">
        <f t="shared" si="68"/>
        <v>5003052454</v>
      </c>
      <c r="F1563" t="s">
        <v>14</v>
      </c>
      <c r="G1563" t="s">
        <v>2959</v>
      </c>
      <c r="H1563" t="s">
        <v>2960</v>
      </c>
      <c r="I1563" t="s">
        <v>17</v>
      </c>
      <c r="J1563" t="s">
        <v>18</v>
      </c>
    </row>
    <row r="1564" spans="1:10" hidden="1" x14ac:dyDescent="0.25">
      <c r="A1564" t="s">
        <v>11</v>
      </c>
      <c r="B1564" t="str">
        <f>"199290/777E"</f>
        <v>199290/777E</v>
      </c>
      <c r="C1564" t="s">
        <v>106</v>
      </c>
      <c r="D1564" t="s">
        <v>2833</v>
      </c>
      <c r="E1564" t="str">
        <f t="shared" si="68"/>
        <v>5003052454</v>
      </c>
      <c r="F1564" t="s">
        <v>14</v>
      </c>
      <c r="G1564" t="s">
        <v>2961</v>
      </c>
      <c r="H1564" t="s">
        <v>2962</v>
      </c>
      <c r="I1564" t="s">
        <v>17</v>
      </c>
      <c r="J1564" t="s">
        <v>18</v>
      </c>
    </row>
    <row r="1565" spans="1:10" hidden="1" x14ac:dyDescent="0.25">
      <c r="A1565" t="s">
        <v>11</v>
      </c>
      <c r="B1565" t="str">
        <f>"199289/777E"</f>
        <v>199289/777E</v>
      </c>
      <c r="C1565" t="s">
        <v>106</v>
      </c>
      <c r="D1565" t="s">
        <v>2833</v>
      </c>
      <c r="E1565" t="str">
        <f t="shared" si="68"/>
        <v>5003052454</v>
      </c>
      <c r="F1565" t="s">
        <v>14</v>
      </c>
      <c r="G1565" t="s">
        <v>2963</v>
      </c>
      <c r="H1565" t="s">
        <v>2964</v>
      </c>
      <c r="I1565" t="s">
        <v>17</v>
      </c>
      <c r="J1565" t="s">
        <v>18</v>
      </c>
    </row>
    <row r="1566" spans="1:10" hidden="1" x14ac:dyDescent="0.25">
      <c r="A1566" t="s">
        <v>11</v>
      </c>
      <c r="B1566" t="str">
        <f>"33090/760E"</f>
        <v>33090/760E</v>
      </c>
      <c r="C1566" t="s">
        <v>106</v>
      </c>
      <c r="D1566" t="s">
        <v>2833</v>
      </c>
      <c r="E1566" t="str">
        <f t="shared" si="68"/>
        <v>5003052454</v>
      </c>
      <c r="F1566" t="s">
        <v>14</v>
      </c>
      <c r="G1566" t="s">
        <v>1515</v>
      </c>
      <c r="H1566" t="s">
        <v>2965</v>
      </c>
      <c r="I1566" t="s">
        <v>17</v>
      </c>
      <c r="J1566" t="s">
        <v>18</v>
      </c>
    </row>
    <row r="1567" spans="1:10" hidden="1" x14ac:dyDescent="0.25">
      <c r="A1567" t="s">
        <v>11</v>
      </c>
      <c r="B1567" t="str">
        <f>"33089/760E"</f>
        <v>33089/760E</v>
      </c>
      <c r="C1567" t="s">
        <v>106</v>
      </c>
      <c r="D1567" t="s">
        <v>2833</v>
      </c>
      <c r="E1567" t="str">
        <f t="shared" si="68"/>
        <v>5003052454</v>
      </c>
      <c r="F1567" t="s">
        <v>14</v>
      </c>
      <c r="G1567" t="s">
        <v>2966</v>
      </c>
      <c r="H1567" t="s">
        <v>2967</v>
      </c>
      <c r="I1567" t="s">
        <v>17</v>
      </c>
      <c r="J1567" t="s">
        <v>18</v>
      </c>
    </row>
    <row r="1568" spans="1:10" hidden="1" x14ac:dyDescent="0.25">
      <c r="A1568" t="s">
        <v>11</v>
      </c>
      <c r="B1568" t="str">
        <f>"15656/506E"</f>
        <v>15656/506E</v>
      </c>
      <c r="C1568" t="s">
        <v>106</v>
      </c>
      <c r="D1568" t="s">
        <v>2833</v>
      </c>
      <c r="E1568" t="str">
        <f t="shared" si="68"/>
        <v>5003052454</v>
      </c>
      <c r="F1568" t="s">
        <v>14</v>
      </c>
      <c r="G1568" t="s">
        <v>2968</v>
      </c>
      <c r="H1568" t="s">
        <v>2969</v>
      </c>
      <c r="I1568" t="s">
        <v>17</v>
      </c>
      <c r="J1568" t="s">
        <v>18</v>
      </c>
    </row>
    <row r="1569" spans="1:10" hidden="1" x14ac:dyDescent="0.25">
      <c r="A1569" t="s">
        <v>11</v>
      </c>
      <c r="B1569" t="str">
        <f>"15659/506E"</f>
        <v>15659/506E</v>
      </c>
      <c r="C1569" t="s">
        <v>106</v>
      </c>
      <c r="D1569" t="s">
        <v>2833</v>
      </c>
      <c r="E1569" t="str">
        <f t="shared" si="68"/>
        <v>5003052454</v>
      </c>
      <c r="F1569" t="s">
        <v>14</v>
      </c>
      <c r="G1569" t="s">
        <v>2970</v>
      </c>
      <c r="H1569" t="s">
        <v>2971</v>
      </c>
      <c r="I1569" t="s">
        <v>17</v>
      </c>
      <c r="J1569" t="s">
        <v>18</v>
      </c>
    </row>
    <row r="1570" spans="1:10" hidden="1" x14ac:dyDescent="0.25">
      <c r="A1570" t="s">
        <v>11</v>
      </c>
      <c r="B1570" t="str">
        <f>"28352199"</f>
        <v>28352199</v>
      </c>
      <c r="C1570" t="s">
        <v>100</v>
      </c>
      <c r="D1570" t="s">
        <v>2833</v>
      </c>
      <c r="E1570" t="str">
        <f>"7721793895"</f>
        <v>7721793895</v>
      </c>
      <c r="F1570" t="s">
        <v>109</v>
      </c>
      <c r="G1570" t="s">
        <v>2972</v>
      </c>
      <c r="H1570" t="s">
        <v>2973</v>
      </c>
      <c r="I1570" t="s">
        <v>17</v>
      </c>
      <c r="J1570" t="s">
        <v>18</v>
      </c>
    </row>
    <row r="1571" spans="1:10" hidden="1" x14ac:dyDescent="0.25">
      <c r="A1571" t="s">
        <v>11</v>
      </c>
      <c r="B1571" t="str">
        <f>"01/00237354-23"</f>
        <v>01/00237354-23</v>
      </c>
      <c r="C1571" t="s">
        <v>106</v>
      </c>
      <c r="D1571" t="s">
        <v>2833</v>
      </c>
      <c r="E1571" t="str">
        <f>"7705034202"</f>
        <v>7705034202</v>
      </c>
      <c r="F1571" t="s">
        <v>407</v>
      </c>
      <c r="G1571" t="s">
        <v>2974</v>
      </c>
      <c r="H1571" t="s">
        <v>2975</v>
      </c>
      <c r="I1571" t="s">
        <v>17</v>
      </c>
      <c r="J1571" t="s">
        <v>18</v>
      </c>
    </row>
    <row r="1572" spans="1:10" hidden="1" x14ac:dyDescent="0.25">
      <c r="A1572" t="s">
        <v>11</v>
      </c>
      <c r="B1572" t="str">
        <f>"28357224"</f>
        <v>28357224</v>
      </c>
      <c r="C1572" t="s">
        <v>100</v>
      </c>
      <c r="D1572" t="s">
        <v>2833</v>
      </c>
      <c r="E1572" t="str">
        <f>"7721793895"</f>
        <v>7721793895</v>
      </c>
      <c r="F1572" t="s">
        <v>109</v>
      </c>
      <c r="G1572" t="s">
        <v>2976</v>
      </c>
      <c r="H1572" t="s">
        <v>2977</v>
      </c>
      <c r="I1572" t="s">
        <v>17</v>
      </c>
      <c r="J1572" t="s">
        <v>18</v>
      </c>
    </row>
    <row r="1573" spans="1:10" hidden="1" x14ac:dyDescent="0.25">
      <c r="A1573" t="s">
        <v>11</v>
      </c>
      <c r="B1573" t="str">
        <f>"7610/8174496765"</f>
        <v>7610/8174496765</v>
      </c>
      <c r="C1573" t="s">
        <v>106</v>
      </c>
      <c r="D1573" t="s">
        <v>2833</v>
      </c>
      <c r="E1573" t="str">
        <f>"5032260402"</f>
        <v>5032260402</v>
      </c>
      <c r="F1573" t="s">
        <v>341</v>
      </c>
      <c r="G1573" t="s">
        <v>2978</v>
      </c>
      <c r="H1573" t="s">
        <v>2979</v>
      </c>
      <c r="I1573" t="s">
        <v>17</v>
      </c>
      <c r="J1573" t="s">
        <v>18</v>
      </c>
    </row>
    <row r="1574" spans="1:10" hidden="1" x14ac:dyDescent="0.25">
      <c r="A1574" t="s">
        <v>11</v>
      </c>
      <c r="B1574" t="str">
        <f>"7610/8174509055"</f>
        <v>7610/8174509055</v>
      </c>
      <c r="C1574" t="s">
        <v>106</v>
      </c>
      <c r="D1574" t="s">
        <v>2833</v>
      </c>
      <c r="E1574" t="str">
        <f>"5032260402"</f>
        <v>5032260402</v>
      </c>
      <c r="F1574" t="s">
        <v>341</v>
      </c>
      <c r="G1574" t="s">
        <v>2980</v>
      </c>
      <c r="H1574" t="s">
        <v>2981</v>
      </c>
      <c r="I1574" t="s">
        <v>17</v>
      </c>
      <c r="J1574" t="s">
        <v>18</v>
      </c>
    </row>
    <row r="1575" spans="1:10" hidden="1" x14ac:dyDescent="0.25">
      <c r="A1575" t="s">
        <v>11</v>
      </c>
      <c r="B1575" t="str">
        <f>"5040/8174496984"</f>
        <v>5040/8174496984</v>
      </c>
      <c r="C1575" t="s">
        <v>106</v>
      </c>
      <c r="D1575" t="s">
        <v>2833</v>
      </c>
      <c r="E1575" t="str">
        <f>"5032260402"</f>
        <v>5032260402</v>
      </c>
      <c r="F1575" t="s">
        <v>341</v>
      </c>
      <c r="G1575" t="s">
        <v>2982</v>
      </c>
      <c r="H1575" t="s">
        <v>2983</v>
      </c>
      <c r="I1575" t="s">
        <v>17</v>
      </c>
      <c r="J1575" t="s">
        <v>18</v>
      </c>
    </row>
    <row r="1576" spans="1:10" hidden="1" x14ac:dyDescent="0.25">
      <c r="A1576" t="s">
        <v>11</v>
      </c>
      <c r="B1576" t="str">
        <f>"28368478"</f>
        <v>28368478</v>
      </c>
      <c r="C1576" t="s">
        <v>100</v>
      </c>
      <c r="D1576" t="s">
        <v>2833</v>
      </c>
      <c r="E1576" t="str">
        <f>"7721793895"</f>
        <v>7721793895</v>
      </c>
      <c r="F1576" t="s">
        <v>109</v>
      </c>
      <c r="G1576" t="s">
        <v>2984</v>
      </c>
      <c r="H1576" t="s">
        <v>2985</v>
      </c>
      <c r="I1576" t="s">
        <v>17</v>
      </c>
      <c r="J1576" t="s">
        <v>18</v>
      </c>
    </row>
    <row r="1577" spans="1:10" hidden="1" x14ac:dyDescent="0.25">
      <c r="A1577" t="s">
        <v>11</v>
      </c>
      <c r="B1577" t="str">
        <f>"УТ-705-000014"</f>
        <v>УТ-705-000014</v>
      </c>
      <c r="C1577" t="s">
        <v>119</v>
      </c>
      <c r="D1577" t="s">
        <v>2833</v>
      </c>
      <c r="E1577" t="str">
        <f>"7839454551"</f>
        <v>7839454551</v>
      </c>
      <c r="F1577" t="s">
        <v>57</v>
      </c>
      <c r="G1577" t="s">
        <v>2986</v>
      </c>
      <c r="H1577" t="s">
        <v>2987</v>
      </c>
      <c r="I1577" t="s">
        <v>17</v>
      </c>
      <c r="J1577" t="s">
        <v>18</v>
      </c>
    </row>
    <row r="1578" spans="1:10" hidden="1" x14ac:dyDescent="0.25">
      <c r="A1578" t="s">
        <v>11</v>
      </c>
      <c r="B1578" t="str">
        <f>"SR110022155"</f>
        <v>SR110022155</v>
      </c>
      <c r="C1578" t="s">
        <v>53</v>
      </c>
      <c r="D1578" t="s">
        <v>2988</v>
      </c>
      <c r="E1578" t="str">
        <f>"4725006920"</f>
        <v>4725006920</v>
      </c>
      <c r="F1578" t="s">
        <v>101</v>
      </c>
      <c r="G1578" t="s">
        <v>2989</v>
      </c>
      <c r="H1578" t="s">
        <v>2990</v>
      </c>
      <c r="I1578" t="s">
        <v>17</v>
      </c>
      <c r="J1578" t="s">
        <v>18</v>
      </c>
    </row>
    <row r="1579" spans="1:10" hidden="1" x14ac:dyDescent="0.25">
      <c r="A1579" t="s">
        <v>11</v>
      </c>
      <c r="B1579" t="str">
        <f>"СОСТ0501/15"</f>
        <v>СОСТ0501/15</v>
      </c>
      <c r="C1579" t="s">
        <v>53</v>
      </c>
      <c r="D1579" t="s">
        <v>2988</v>
      </c>
      <c r="E1579" t="str">
        <f>"7735126034"</f>
        <v>7735126034</v>
      </c>
      <c r="F1579" t="s">
        <v>131</v>
      </c>
      <c r="G1579" t="s">
        <v>2991</v>
      </c>
      <c r="H1579" t="s">
        <v>2992</v>
      </c>
      <c r="I1579" t="s">
        <v>17</v>
      </c>
      <c r="J1579" t="s">
        <v>18</v>
      </c>
    </row>
    <row r="1580" spans="1:10" hidden="1" x14ac:dyDescent="0.25">
      <c r="A1580" t="s">
        <v>11</v>
      </c>
      <c r="B1580" t="str">
        <f>"191414/777E"</f>
        <v>191414/777E</v>
      </c>
      <c r="C1580" t="s">
        <v>12</v>
      </c>
      <c r="D1580" t="s">
        <v>2988</v>
      </c>
      <c r="E1580" t="str">
        <f>"5003052454"</f>
        <v>5003052454</v>
      </c>
      <c r="F1580" t="s">
        <v>14</v>
      </c>
      <c r="G1580" t="s">
        <v>2993</v>
      </c>
      <c r="H1580" t="s">
        <v>2994</v>
      </c>
      <c r="I1580" t="s">
        <v>17</v>
      </c>
      <c r="J1580" t="s">
        <v>18</v>
      </c>
    </row>
    <row r="1581" spans="1:10" hidden="1" x14ac:dyDescent="0.25">
      <c r="A1581" t="s">
        <v>11</v>
      </c>
      <c r="B1581" t="str">
        <f>"191958/777E"</f>
        <v>191958/777E</v>
      </c>
      <c r="C1581" t="s">
        <v>12</v>
      </c>
      <c r="D1581" t="s">
        <v>2988</v>
      </c>
      <c r="E1581" t="str">
        <f>"5003052454"</f>
        <v>5003052454</v>
      </c>
      <c r="F1581" t="s">
        <v>14</v>
      </c>
      <c r="G1581" t="s">
        <v>2995</v>
      </c>
      <c r="H1581" t="s">
        <v>2996</v>
      </c>
      <c r="I1581" t="s">
        <v>17</v>
      </c>
      <c r="J1581" t="s">
        <v>18</v>
      </c>
    </row>
    <row r="1582" spans="1:10" x14ac:dyDescent="0.25">
      <c r="A1582" t="s">
        <v>11</v>
      </c>
      <c r="B1582" t="str">
        <f>"UT-105385"</f>
        <v>UT-105385</v>
      </c>
      <c r="C1582" t="s">
        <v>12</v>
      </c>
      <c r="D1582" t="s">
        <v>2988</v>
      </c>
      <c r="E1582" t="str">
        <f t="shared" ref="E1582:E1590" si="69">"7806385951"</f>
        <v>7806385951</v>
      </c>
      <c r="F1582" t="s">
        <v>26</v>
      </c>
      <c r="G1582" t="s">
        <v>35</v>
      </c>
      <c r="H1582" t="s">
        <v>2997</v>
      </c>
      <c r="I1582" t="s">
        <v>17</v>
      </c>
      <c r="J1582" t="s">
        <v>166</v>
      </c>
    </row>
    <row r="1583" spans="1:10" hidden="1" x14ac:dyDescent="0.25">
      <c r="A1583" t="s">
        <v>11</v>
      </c>
      <c r="B1583" t="str">
        <f>"UT-105366"</f>
        <v>UT-105366</v>
      </c>
      <c r="C1583" t="s">
        <v>12</v>
      </c>
      <c r="D1583" t="s">
        <v>2988</v>
      </c>
      <c r="E1583" t="str">
        <f t="shared" si="69"/>
        <v>7806385951</v>
      </c>
      <c r="F1583" t="s">
        <v>26</v>
      </c>
      <c r="G1583" t="s">
        <v>2998</v>
      </c>
      <c r="H1583" t="s">
        <v>2999</v>
      </c>
      <c r="I1583" t="s">
        <v>17</v>
      </c>
      <c r="J1583" t="s">
        <v>18</v>
      </c>
    </row>
    <row r="1584" spans="1:10" hidden="1" x14ac:dyDescent="0.25">
      <c r="A1584" t="s">
        <v>11</v>
      </c>
      <c r="B1584" t="str">
        <f>"UT-105380"</f>
        <v>UT-105380</v>
      </c>
      <c r="C1584" t="s">
        <v>12</v>
      </c>
      <c r="D1584" t="s">
        <v>2988</v>
      </c>
      <c r="E1584" t="str">
        <f t="shared" si="69"/>
        <v>7806385951</v>
      </c>
      <c r="F1584" t="s">
        <v>26</v>
      </c>
      <c r="G1584" t="s">
        <v>3000</v>
      </c>
      <c r="H1584" t="s">
        <v>3001</v>
      </c>
      <c r="I1584" t="s">
        <v>17</v>
      </c>
      <c r="J1584" t="s">
        <v>18</v>
      </c>
    </row>
    <row r="1585" spans="1:10" hidden="1" x14ac:dyDescent="0.25">
      <c r="A1585" t="s">
        <v>11</v>
      </c>
      <c r="B1585" t="str">
        <f>"UT-105381"</f>
        <v>UT-105381</v>
      </c>
      <c r="C1585" t="s">
        <v>12</v>
      </c>
      <c r="D1585" t="s">
        <v>2988</v>
      </c>
      <c r="E1585" t="str">
        <f t="shared" si="69"/>
        <v>7806385951</v>
      </c>
      <c r="F1585" t="s">
        <v>26</v>
      </c>
      <c r="G1585" t="s">
        <v>3002</v>
      </c>
      <c r="H1585" t="s">
        <v>3003</v>
      </c>
      <c r="I1585" t="s">
        <v>17</v>
      </c>
      <c r="J1585" t="s">
        <v>18</v>
      </c>
    </row>
    <row r="1586" spans="1:10" hidden="1" x14ac:dyDescent="0.25">
      <c r="A1586" t="s">
        <v>11</v>
      </c>
      <c r="B1586" t="str">
        <f>"UT-105376"</f>
        <v>UT-105376</v>
      </c>
      <c r="C1586" t="s">
        <v>12</v>
      </c>
      <c r="D1586" t="s">
        <v>2988</v>
      </c>
      <c r="E1586" t="str">
        <f t="shared" si="69"/>
        <v>7806385951</v>
      </c>
      <c r="F1586" t="s">
        <v>26</v>
      </c>
      <c r="G1586" t="s">
        <v>3004</v>
      </c>
      <c r="H1586" t="s">
        <v>3005</v>
      </c>
      <c r="I1586" t="s">
        <v>17</v>
      </c>
      <c r="J1586" t="s">
        <v>18</v>
      </c>
    </row>
    <row r="1587" spans="1:10" hidden="1" x14ac:dyDescent="0.25">
      <c r="A1587" t="s">
        <v>11</v>
      </c>
      <c r="B1587" t="str">
        <f>"UT-105378"</f>
        <v>UT-105378</v>
      </c>
      <c r="C1587" t="s">
        <v>12</v>
      </c>
      <c r="D1587" t="s">
        <v>2988</v>
      </c>
      <c r="E1587" t="str">
        <f t="shared" si="69"/>
        <v>7806385951</v>
      </c>
      <c r="F1587" t="s">
        <v>26</v>
      </c>
      <c r="G1587" t="s">
        <v>3006</v>
      </c>
      <c r="H1587" t="s">
        <v>3007</v>
      </c>
      <c r="I1587" t="s">
        <v>17</v>
      </c>
      <c r="J1587" t="s">
        <v>18</v>
      </c>
    </row>
    <row r="1588" spans="1:10" hidden="1" x14ac:dyDescent="0.25">
      <c r="A1588" t="s">
        <v>11</v>
      </c>
      <c r="B1588" t="str">
        <f>"UT-105384"</f>
        <v>UT-105384</v>
      </c>
      <c r="C1588" t="s">
        <v>12</v>
      </c>
      <c r="D1588" t="s">
        <v>2988</v>
      </c>
      <c r="E1588" t="str">
        <f t="shared" si="69"/>
        <v>7806385951</v>
      </c>
      <c r="F1588" t="s">
        <v>26</v>
      </c>
      <c r="G1588" t="s">
        <v>3008</v>
      </c>
      <c r="H1588" t="s">
        <v>3009</v>
      </c>
      <c r="I1588" t="s">
        <v>17</v>
      </c>
      <c r="J1588" t="s">
        <v>18</v>
      </c>
    </row>
    <row r="1589" spans="1:10" hidden="1" x14ac:dyDescent="0.25">
      <c r="A1589" t="s">
        <v>11</v>
      </c>
      <c r="B1589" t="str">
        <f>"UT-105386"</f>
        <v>UT-105386</v>
      </c>
      <c r="C1589" t="s">
        <v>12</v>
      </c>
      <c r="D1589" t="s">
        <v>2988</v>
      </c>
      <c r="E1589" t="str">
        <f t="shared" si="69"/>
        <v>7806385951</v>
      </c>
      <c r="F1589" t="s">
        <v>26</v>
      </c>
      <c r="G1589" t="s">
        <v>3010</v>
      </c>
      <c r="H1589" t="s">
        <v>3011</v>
      </c>
      <c r="I1589" t="s">
        <v>17</v>
      </c>
      <c r="J1589" t="s">
        <v>18</v>
      </c>
    </row>
    <row r="1590" spans="1:10" hidden="1" x14ac:dyDescent="0.25">
      <c r="A1590" t="s">
        <v>11</v>
      </c>
      <c r="B1590" t="str">
        <f>"UT-105387"</f>
        <v>UT-105387</v>
      </c>
      <c r="C1590" t="s">
        <v>12</v>
      </c>
      <c r="D1590" t="s">
        <v>2988</v>
      </c>
      <c r="E1590" t="str">
        <f t="shared" si="69"/>
        <v>7806385951</v>
      </c>
      <c r="F1590" t="s">
        <v>26</v>
      </c>
      <c r="G1590" t="s">
        <v>3012</v>
      </c>
      <c r="H1590" t="s">
        <v>3013</v>
      </c>
      <c r="I1590" t="s">
        <v>17</v>
      </c>
      <c r="J1590" t="s">
        <v>18</v>
      </c>
    </row>
    <row r="1591" spans="1:10" hidden="1" x14ac:dyDescent="0.25">
      <c r="A1591" t="s">
        <v>11</v>
      </c>
      <c r="B1591" t="str">
        <f>"7740/8174358693"</f>
        <v>7740/8174358693</v>
      </c>
      <c r="C1591" t="s">
        <v>12</v>
      </c>
      <c r="D1591" t="s">
        <v>2988</v>
      </c>
      <c r="E1591" t="str">
        <f>"5032260402"</f>
        <v>5032260402</v>
      </c>
      <c r="F1591" t="s">
        <v>341</v>
      </c>
      <c r="G1591" t="s">
        <v>3014</v>
      </c>
      <c r="H1591" t="s">
        <v>3015</v>
      </c>
      <c r="I1591" t="s">
        <v>17</v>
      </c>
      <c r="J1591" t="s">
        <v>18</v>
      </c>
    </row>
    <row r="1592" spans="1:10" hidden="1" x14ac:dyDescent="0.25">
      <c r="A1592" t="s">
        <v>11</v>
      </c>
      <c r="B1592" t="str">
        <f>"7740/8174351590"</f>
        <v>7740/8174351590</v>
      </c>
      <c r="C1592" t="s">
        <v>12</v>
      </c>
      <c r="D1592" t="s">
        <v>2988</v>
      </c>
      <c r="E1592" t="str">
        <f>"5032260402"</f>
        <v>5032260402</v>
      </c>
      <c r="F1592" t="s">
        <v>341</v>
      </c>
      <c r="G1592" t="s">
        <v>3016</v>
      </c>
      <c r="H1592" t="s">
        <v>3017</v>
      </c>
      <c r="I1592" t="s">
        <v>17</v>
      </c>
      <c r="J1592" t="s">
        <v>18</v>
      </c>
    </row>
    <row r="1593" spans="1:10" hidden="1" x14ac:dyDescent="0.25">
      <c r="A1593" t="s">
        <v>11</v>
      </c>
      <c r="B1593" t="str">
        <f>"7720/8174359567"</f>
        <v>7720/8174359567</v>
      </c>
      <c r="C1593" t="s">
        <v>12</v>
      </c>
      <c r="D1593" t="s">
        <v>2988</v>
      </c>
      <c r="E1593" t="str">
        <f>"5032260402"</f>
        <v>5032260402</v>
      </c>
      <c r="F1593" t="s">
        <v>341</v>
      </c>
      <c r="G1593" t="s">
        <v>3018</v>
      </c>
      <c r="H1593" t="s">
        <v>3019</v>
      </c>
      <c r="I1593" t="s">
        <v>17</v>
      </c>
      <c r="J1593" t="s">
        <v>18</v>
      </c>
    </row>
    <row r="1594" spans="1:10" hidden="1" x14ac:dyDescent="0.25">
      <c r="A1594" t="s">
        <v>11</v>
      </c>
      <c r="B1594" t="str">
        <f>"2023/30/03/0133541"</f>
        <v>2023/30/03/0133541</v>
      </c>
      <c r="C1594" t="s">
        <v>49</v>
      </c>
      <c r="D1594" t="s">
        <v>2988</v>
      </c>
      <c r="E1594" t="str">
        <f t="shared" ref="E1594:E1602" si="70">"7718151150"</f>
        <v>7718151150</v>
      </c>
      <c r="F1594" t="s">
        <v>54</v>
      </c>
      <c r="G1594" t="s">
        <v>3020</v>
      </c>
      <c r="H1594" t="s">
        <v>3021</v>
      </c>
      <c r="I1594" t="s">
        <v>17</v>
      </c>
      <c r="J1594" t="s">
        <v>18</v>
      </c>
    </row>
    <row r="1595" spans="1:10" hidden="1" x14ac:dyDescent="0.25">
      <c r="A1595" t="s">
        <v>11</v>
      </c>
      <c r="B1595" t="str">
        <f>"2023/30/03/0133543"</f>
        <v>2023/30/03/0133543</v>
      </c>
      <c r="C1595" t="s">
        <v>49</v>
      </c>
      <c r="D1595" t="s">
        <v>2988</v>
      </c>
      <c r="E1595" t="str">
        <f t="shared" si="70"/>
        <v>7718151150</v>
      </c>
      <c r="F1595" t="s">
        <v>54</v>
      </c>
      <c r="G1595" t="s">
        <v>3020</v>
      </c>
      <c r="H1595" t="s">
        <v>3022</v>
      </c>
      <c r="I1595" t="s">
        <v>17</v>
      </c>
      <c r="J1595" t="s">
        <v>18</v>
      </c>
    </row>
    <row r="1596" spans="1:10" hidden="1" x14ac:dyDescent="0.25">
      <c r="A1596" t="s">
        <v>11</v>
      </c>
      <c r="B1596" t="str">
        <f>"2023/30/03/0132830"</f>
        <v>2023/30/03/0132830</v>
      </c>
      <c r="C1596" t="s">
        <v>49</v>
      </c>
      <c r="D1596" t="s">
        <v>2988</v>
      </c>
      <c r="E1596" t="str">
        <f t="shared" si="70"/>
        <v>7718151150</v>
      </c>
      <c r="F1596" t="s">
        <v>54</v>
      </c>
      <c r="G1596" t="s">
        <v>3020</v>
      </c>
      <c r="H1596" t="s">
        <v>3023</v>
      </c>
      <c r="I1596" t="s">
        <v>17</v>
      </c>
      <c r="J1596" t="s">
        <v>18</v>
      </c>
    </row>
    <row r="1597" spans="1:10" hidden="1" x14ac:dyDescent="0.25">
      <c r="A1597" t="s">
        <v>11</v>
      </c>
      <c r="B1597" t="str">
        <f>"2023/30/03/0132836"</f>
        <v>2023/30/03/0132836</v>
      </c>
      <c r="C1597" t="s">
        <v>49</v>
      </c>
      <c r="D1597" t="s">
        <v>2988</v>
      </c>
      <c r="E1597" t="str">
        <f t="shared" si="70"/>
        <v>7718151150</v>
      </c>
      <c r="F1597" t="s">
        <v>54</v>
      </c>
      <c r="G1597" t="s">
        <v>3020</v>
      </c>
      <c r="H1597" t="s">
        <v>3024</v>
      </c>
      <c r="I1597" t="s">
        <v>17</v>
      </c>
      <c r="J1597" t="s">
        <v>18</v>
      </c>
    </row>
    <row r="1598" spans="1:10" hidden="1" x14ac:dyDescent="0.25">
      <c r="A1598" t="s">
        <v>11</v>
      </c>
      <c r="B1598" t="str">
        <f>"2023/30/03/0132829"</f>
        <v>2023/30/03/0132829</v>
      </c>
      <c r="C1598" t="s">
        <v>49</v>
      </c>
      <c r="D1598" t="s">
        <v>2988</v>
      </c>
      <c r="E1598" t="str">
        <f t="shared" si="70"/>
        <v>7718151150</v>
      </c>
      <c r="F1598" t="s">
        <v>54</v>
      </c>
      <c r="G1598" t="s">
        <v>3020</v>
      </c>
      <c r="H1598" t="s">
        <v>3025</v>
      </c>
      <c r="I1598" t="s">
        <v>17</v>
      </c>
      <c r="J1598" t="s">
        <v>18</v>
      </c>
    </row>
    <row r="1599" spans="1:10" hidden="1" x14ac:dyDescent="0.25">
      <c r="A1599" t="s">
        <v>11</v>
      </c>
      <c r="B1599" t="str">
        <f>"2023/30/03/0132787"</f>
        <v>2023/30/03/0132787</v>
      </c>
      <c r="C1599" t="s">
        <v>49</v>
      </c>
      <c r="D1599" t="s">
        <v>2988</v>
      </c>
      <c r="E1599" t="str">
        <f t="shared" si="70"/>
        <v>7718151150</v>
      </c>
      <c r="F1599" t="s">
        <v>54</v>
      </c>
      <c r="G1599" t="s">
        <v>3020</v>
      </c>
      <c r="H1599" t="s">
        <v>3026</v>
      </c>
      <c r="I1599" t="s">
        <v>17</v>
      </c>
      <c r="J1599" t="s">
        <v>18</v>
      </c>
    </row>
    <row r="1600" spans="1:10" hidden="1" x14ac:dyDescent="0.25">
      <c r="A1600" t="s">
        <v>11</v>
      </c>
      <c r="B1600" t="str">
        <f>"2023/30/03/0131639"</f>
        <v>2023/30/03/0131639</v>
      </c>
      <c r="C1600" t="s">
        <v>49</v>
      </c>
      <c r="D1600" t="s">
        <v>2988</v>
      </c>
      <c r="E1600" t="str">
        <f t="shared" si="70"/>
        <v>7718151150</v>
      </c>
      <c r="F1600" t="s">
        <v>54</v>
      </c>
      <c r="G1600" t="s">
        <v>3020</v>
      </c>
      <c r="H1600" t="s">
        <v>3027</v>
      </c>
      <c r="I1600" t="s">
        <v>17</v>
      </c>
      <c r="J1600" t="s">
        <v>18</v>
      </c>
    </row>
    <row r="1601" spans="1:10" hidden="1" x14ac:dyDescent="0.25">
      <c r="A1601" t="s">
        <v>11</v>
      </c>
      <c r="B1601" t="str">
        <f>"2023/30/03/0131641"</f>
        <v>2023/30/03/0131641</v>
      </c>
      <c r="C1601" t="s">
        <v>49</v>
      </c>
      <c r="D1601" t="s">
        <v>2988</v>
      </c>
      <c r="E1601" t="str">
        <f t="shared" si="70"/>
        <v>7718151150</v>
      </c>
      <c r="F1601" t="s">
        <v>54</v>
      </c>
      <c r="G1601" t="s">
        <v>3020</v>
      </c>
      <c r="H1601" t="s">
        <v>3028</v>
      </c>
      <c r="I1601" t="s">
        <v>17</v>
      </c>
      <c r="J1601" t="s">
        <v>18</v>
      </c>
    </row>
    <row r="1602" spans="1:10" hidden="1" x14ac:dyDescent="0.25">
      <c r="A1602" t="s">
        <v>11</v>
      </c>
      <c r="B1602" t="str">
        <f>"2023/30/03/0131640"</f>
        <v>2023/30/03/0131640</v>
      </c>
      <c r="C1602" t="s">
        <v>49</v>
      </c>
      <c r="D1602" t="s">
        <v>2988</v>
      </c>
      <c r="E1602" t="str">
        <f t="shared" si="70"/>
        <v>7718151150</v>
      </c>
      <c r="F1602" t="s">
        <v>54</v>
      </c>
      <c r="G1602" t="s">
        <v>3020</v>
      </c>
      <c r="H1602" t="s">
        <v>3029</v>
      </c>
      <c r="I1602" t="s">
        <v>17</v>
      </c>
      <c r="J1602" t="s">
        <v>18</v>
      </c>
    </row>
    <row r="1603" spans="1:10" hidden="1" x14ac:dyDescent="0.25">
      <c r="A1603" t="s">
        <v>11</v>
      </c>
      <c r="B1603" t="str">
        <f>"7740/8174371606"</f>
        <v>7740/8174371606</v>
      </c>
      <c r="C1603" t="s">
        <v>12</v>
      </c>
      <c r="D1603" t="s">
        <v>2988</v>
      </c>
      <c r="E1603" t="str">
        <f>"5032260402"</f>
        <v>5032260402</v>
      </c>
      <c r="F1603" t="s">
        <v>341</v>
      </c>
      <c r="G1603" t="s">
        <v>3030</v>
      </c>
      <c r="H1603" t="s">
        <v>3031</v>
      </c>
      <c r="I1603" t="s">
        <v>17</v>
      </c>
      <c r="J1603" t="s">
        <v>18</v>
      </c>
    </row>
    <row r="1604" spans="1:10" hidden="1" x14ac:dyDescent="0.25">
      <c r="A1604" t="s">
        <v>11</v>
      </c>
      <c r="B1604" t="str">
        <f>"ОТ-3004-000024"</f>
        <v>ОТ-3004-000024</v>
      </c>
      <c r="C1604" t="s">
        <v>49</v>
      </c>
      <c r="D1604" t="s">
        <v>2988</v>
      </c>
      <c r="E1604" t="str">
        <f>"7839454551"</f>
        <v>7839454551</v>
      </c>
      <c r="F1604" t="s">
        <v>57</v>
      </c>
      <c r="G1604" t="s">
        <v>58</v>
      </c>
      <c r="H1604" t="s">
        <v>3032</v>
      </c>
      <c r="I1604" t="s">
        <v>17</v>
      </c>
      <c r="J1604" t="s">
        <v>18</v>
      </c>
    </row>
    <row r="1605" spans="1:10" hidden="1" x14ac:dyDescent="0.25">
      <c r="A1605" t="s">
        <v>11</v>
      </c>
      <c r="B1605" t="str">
        <f>"2023/30/03/0134189"</f>
        <v>2023/30/03/0134189</v>
      </c>
      <c r="C1605" t="s">
        <v>12</v>
      </c>
      <c r="D1605" t="s">
        <v>2988</v>
      </c>
      <c r="E1605" t="str">
        <f>"7718151150"</f>
        <v>7718151150</v>
      </c>
      <c r="F1605" t="s">
        <v>54</v>
      </c>
      <c r="G1605" t="s">
        <v>1439</v>
      </c>
      <c r="H1605" t="s">
        <v>3033</v>
      </c>
      <c r="I1605" t="s">
        <v>17</v>
      </c>
      <c r="J1605" t="s">
        <v>18</v>
      </c>
    </row>
    <row r="1606" spans="1:10" hidden="1" x14ac:dyDescent="0.25">
      <c r="A1606" t="s">
        <v>11</v>
      </c>
      <c r="B1606" t="str">
        <f>"193899/777E"</f>
        <v>193899/777E</v>
      </c>
      <c r="C1606" t="s">
        <v>65</v>
      </c>
      <c r="D1606" t="s">
        <v>2988</v>
      </c>
      <c r="E1606" t="str">
        <f>"5003052454"</f>
        <v>5003052454</v>
      </c>
      <c r="F1606" t="s">
        <v>14</v>
      </c>
      <c r="G1606" t="s">
        <v>3034</v>
      </c>
      <c r="H1606" t="s">
        <v>3035</v>
      </c>
      <c r="I1606" t="s">
        <v>17</v>
      </c>
      <c r="J1606" t="s">
        <v>18</v>
      </c>
    </row>
    <row r="1607" spans="1:10" hidden="1" x14ac:dyDescent="0.25">
      <c r="A1607" t="s">
        <v>11</v>
      </c>
      <c r="B1607" t="str">
        <f>"193900/777E"</f>
        <v>193900/777E</v>
      </c>
      <c r="C1607" t="s">
        <v>65</v>
      </c>
      <c r="D1607" t="s">
        <v>2988</v>
      </c>
      <c r="E1607" t="str">
        <f>"5003052454"</f>
        <v>5003052454</v>
      </c>
      <c r="F1607" t="s">
        <v>14</v>
      </c>
      <c r="G1607" t="s">
        <v>24</v>
      </c>
      <c r="H1607" t="s">
        <v>3036</v>
      </c>
      <c r="I1607" t="s">
        <v>17</v>
      </c>
      <c r="J1607" t="s">
        <v>18</v>
      </c>
    </row>
    <row r="1608" spans="1:10" hidden="1" x14ac:dyDescent="0.25">
      <c r="A1608" t="s">
        <v>11</v>
      </c>
      <c r="B1608" t="str">
        <f>"193967/777E"</f>
        <v>193967/777E</v>
      </c>
      <c r="C1608" t="s">
        <v>65</v>
      </c>
      <c r="D1608" t="s">
        <v>2988</v>
      </c>
      <c r="E1608" t="str">
        <f>"5003052454"</f>
        <v>5003052454</v>
      </c>
      <c r="F1608" t="s">
        <v>14</v>
      </c>
      <c r="G1608" t="s">
        <v>3037</v>
      </c>
      <c r="H1608" t="s">
        <v>3038</v>
      </c>
      <c r="I1608" t="s">
        <v>17</v>
      </c>
      <c r="J1608" t="s">
        <v>18</v>
      </c>
    </row>
    <row r="1609" spans="1:10" x14ac:dyDescent="0.25">
      <c r="A1609" t="s">
        <v>11</v>
      </c>
      <c r="B1609" t="str">
        <f>"UT-106714"</f>
        <v>UT-106714</v>
      </c>
      <c r="C1609" t="s">
        <v>65</v>
      </c>
      <c r="D1609" t="s">
        <v>2988</v>
      </c>
      <c r="E1609" t="str">
        <f t="shared" ref="E1609:E1616" si="71">"7806385951"</f>
        <v>7806385951</v>
      </c>
      <c r="F1609" t="s">
        <v>26</v>
      </c>
      <c r="G1609" t="s">
        <v>1465</v>
      </c>
      <c r="H1609" t="s">
        <v>3039</v>
      </c>
      <c r="I1609" t="s">
        <v>17</v>
      </c>
      <c r="J1609" t="s">
        <v>166</v>
      </c>
    </row>
    <row r="1610" spans="1:10" hidden="1" x14ac:dyDescent="0.25">
      <c r="A1610" t="s">
        <v>11</v>
      </c>
      <c r="B1610" t="str">
        <f>"UT-106972"</f>
        <v>UT-106972</v>
      </c>
      <c r="C1610" t="s">
        <v>65</v>
      </c>
      <c r="D1610" t="s">
        <v>2988</v>
      </c>
      <c r="E1610" t="str">
        <f t="shared" si="71"/>
        <v>7806385951</v>
      </c>
      <c r="F1610" t="s">
        <v>26</v>
      </c>
      <c r="G1610" t="s">
        <v>35</v>
      </c>
      <c r="H1610" t="s">
        <v>3040</v>
      </c>
      <c r="I1610" t="s">
        <v>17</v>
      </c>
      <c r="J1610" t="s">
        <v>21</v>
      </c>
    </row>
    <row r="1611" spans="1:10" hidden="1" x14ac:dyDescent="0.25">
      <c r="A1611" t="s">
        <v>11</v>
      </c>
      <c r="B1611" t="str">
        <f>"UT-106973"</f>
        <v>UT-106973</v>
      </c>
      <c r="C1611" t="s">
        <v>65</v>
      </c>
      <c r="D1611" t="s">
        <v>2988</v>
      </c>
      <c r="E1611" t="str">
        <f t="shared" si="71"/>
        <v>7806385951</v>
      </c>
      <c r="F1611" t="s">
        <v>26</v>
      </c>
      <c r="G1611" t="s">
        <v>3041</v>
      </c>
      <c r="H1611" t="s">
        <v>3042</v>
      </c>
      <c r="I1611" t="s">
        <v>17</v>
      </c>
      <c r="J1611" t="s">
        <v>18</v>
      </c>
    </row>
    <row r="1612" spans="1:10" hidden="1" x14ac:dyDescent="0.25">
      <c r="A1612" t="s">
        <v>11</v>
      </c>
      <c r="B1612" t="str">
        <f>"UT-106715"</f>
        <v>UT-106715</v>
      </c>
      <c r="C1612" t="s">
        <v>65</v>
      </c>
      <c r="D1612" t="s">
        <v>2988</v>
      </c>
      <c r="E1612" t="str">
        <f t="shared" si="71"/>
        <v>7806385951</v>
      </c>
      <c r="F1612" t="s">
        <v>26</v>
      </c>
      <c r="G1612" t="s">
        <v>3043</v>
      </c>
      <c r="H1612" t="s">
        <v>3044</v>
      </c>
      <c r="I1612" t="s">
        <v>17</v>
      </c>
      <c r="J1612" t="s">
        <v>18</v>
      </c>
    </row>
    <row r="1613" spans="1:10" hidden="1" x14ac:dyDescent="0.25">
      <c r="A1613" t="s">
        <v>11</v>
      </c>
      <c r="B1613" t="str">
        <f>"UT-106836"</f>
        <v>UT-106836</v>
      </c>
      <c r="C1613" t="s">
        <v>65</v>
      </c>
      <c r="D1613" t="s">
        <v>2988</v>
      </c>
      <c r="E1613" t="str">
        <f t="shared" si="71"/>
        <v>7806385951</v>
      </c>
      <c r="F1613" t="s">
        <v>26</v>
      </c>
      <c r="G1613" t="s">
        <v>3045</v>
      </c>
      <c r="H1613" t="s">
        <v>3046</v>
      </c>
      <c r="I1613" t="s">
        <v>17</v>
      </c>
      <c r="J1613" t="s">
        <v>18</v>
      </c>
    </row>
    <row r="1614" spans="1:10" hidden="1" x14ac:dyDescent="0.25">
      <c r="A1614" t="s">
        <v>11</v>
      </c>
      <c r="B1614" t="str">
        <f>"UT-106835"</f>
        <v>UT-106835</v>
      </c>
      <c r="C1614" t="s">
        <v>65</v>
      </c>
      <c r="D1614" t="s">
        <v>2988</v>
      </c>
      <c r="E1614" t="str">
        <f t="shared" si="71"/>
        <v>7806385951</v>
      </c>
      <c r="F1614" t="s">
        <v>26</v>
      </c>
      <c r="G1614" t="s">
        <v>3047</v>
      </c>
      <c r="H1614" t="s">
        <v>3048</v>
      </c>
      <c r="I1614" t="s">
        <v>17</v>
      </c>
      <c r="J1614" t="s">
        <v>18</v>
      </c>
    </row>
    <row r="1615" spans="1:10" hidden="1" x14ac:dyDescent="0.25">
      <c r="A1615" t="s">
        <v>11</v>
      </c>
      <c r="B1615" t="str">
        <f>"UT-106975"</f>
        <v>UT-106975</v>
      </c>
      <c r="C1615" t="s">
        <v>65</v>
      </c>
      <c r="D1615" t="s">
        <v>2988</v>
      </c>
      <c r="E1615" t="str">
        <f t="shared" si="71"/>
        <v>7806385951</v>
      </c>
      <c r="F1615" t="s">
        <v>26</v>
      </c>
      <c r="G1615" t="s">
        <v>3049</v>
      </c>
      <c r="H1615" t="s">
        <v>3050</v>
      </c>
      <c r="I1615" t="s">
        <v>17</v>
      </c>
      <c r="J1615" t="s">
        <v>18</v>
      </c>
    </row>
    <row r="1616" spans="1:10" hidden="1" x14ac:dyDescent="0.25">
      <c r="A1616" t="s">
        <v>11</v>
      </c>
      <c r="B1616" t="str">
        <f>"UT-106974"</f>
        <v>UT-106974</v>
      </c>
      <c r="C1616" t="s">
        <v>65</v>
      </c>
      <c r="D1616" t="s">
        <v>2988</v>
      </c>
      <c r="E1616" t="str">
        <f t="shared" si="71"/>
        <v>7806385951</v>
      </c>
      <c r="F1616" t="s">
        <v>26</v>
      </c>
      <c r="G1616" t="s">
        <v>3051</v>
      </c>
      <c r="H1616" t="s">
        <v>3052</v>
      </c>
      <c r="I1616" t="s">
        <v>17</v>
      </c>
      <c r="J1616" t="s">
        <v>18</v>
      </c>
    </row>
    <row r="1617" spans="1:10" hidden="1" x14ac:dyDescent="0.25">
      <c r="A1617" t="s">
        <v>11</v>
      </c>
      <c r="B1617" t="str">
        <f>"867"</f>
        <v>867</v>
      </c>
      <c r="C1617" t="s">
        <v>49</v>
      </c>
      <c r="D1617" t="s">
        <v>2988</v>
      </c>
      <c r="E1617" t="str">
        <f>"7704340969"</f>
        <v>7704340969</v>
      </c>
      <c r="F1617" t="s">
        <v>76</v>
      </c>
      <c r="G1617" t="s">
        <v>1879</v>
      </c>
      <c r="H1617" t="s">
        <v>3053</v>
      </c>
      <c r="I1617" t="s">
        <v>17</v>
      </c>
      <c r="J1617" t="s">
        <v>18</v>
      </c>
    </row>
    <row r="1618" spans="1:10" hidden="1" x14ac:dyDescent="0.25">
      <c r="A1618" t="s">
        <v>11</v>
      </c>
      <c r="B1618" t="str">
        <f>"899"</f>
        <v>899</v>
      </c>
      <c r="C1618" t="s">
        <v>49</v>
      </c>
      <c r="D1618" t="s">
        <v>2988</v>
      </c>
      <c r="E1618" t="str">
        <f>"7704340969"</f>
        <v>7704340969</v>
      </c>
      <c r="F1618" t="s">
        <v>76</v>
      </c>
      <c r="G1618" t="s">
        <v>1881</v>
      </c>
      <c r="H1618" t="s">
        <v>3054</v>
      </c>
      <c r="I1618" t="s">
        <v>17</v>
      </c>
      <c r="J1618" t="s">
        <v>18</v>
      </c>
    </row>
    <row r="1619" spans="1:10" hidden="1" x14ac:dyDescent="0.25">
      <c r="A1619" t="s">
        <v>11</v>
      </c>
      <c r="B1619" t="str">
        <f>"926"</f>
        <v>926</v>
      </c>
      <c r="C1619" t="s">
        <v>49</v>
      </c>
      <c r="D1619" t="s">
        <v>2988</v>
      </c>
      <c r="E1619" t="str">
        <f>"7704340969"</f>
        <v>7704340969</v>
      </c>
      <c r="F1619" t="s">
        <v>76</v>
      </c>
      <c r="G1619" t="s">
        <v>1883</v>
      </c>
      <c r="H1619" t="s">
        <v>3055</v>
      </c>
      <c r="I1619" t="s">
        <v>17</v>
      </c>
      <c r="J1619" t="s">
        <v>18</v>
      </c>
    </row>
    <row r="1620" spans="1:10" hidden="1" x14ac:dyDescent="0.25">
      <c r="A1620" t="s">
        <v>11</v>
      </c>
      <c r="B1620" t="str">
        <f>"970"</f>
        <v>970</v>
      </c>
      <c r="C1620" t="s">
        <v>49</v>
      </c>
      <c r="D1620" t="s">
        <v>2988</v>
      </c>
      <c r="E1620" t="str">
        <f>"7704340969"</f>
        <v>7704340969</v>
      </c>
      <c r="F1620" t="s">
        <v>76</v>
      </c>
      <c r="G1620" t="s">
        <v>1885</v>
      </c>
      <c r="H1620" t="s">
        <v>3056</v>
      </c>
      <c r="I1620" t="s">
        <v>17</v>
      </c>
      <c r="J1620" t="s">
        <v>18</v>
      </c>
    </row>
    <row r="1621" spans="1:10" hidden="1" x14ac:dyDescent="0.25">
      <c r="A1621" t="s">
        <v>11</v>
      </c>
      <c r="B1621" t="str">
        <f>"2023/30/03/0136380"</f>
        <v>2023/30/03/0136380</v>
      </c>
      <c r="C1621" t="s">
        <v>65</v>
      </c>
      <c r="D1621" t="s">
        <v>2988</v>
      </c>
      <c r="E1621" t="str">
        <f>"7718151150"</f>
        <v>7718151150</v>
      </c>
      <c r="F1621" t="s">
        <v>54</v>
      </c>
      <c r="G1621" t="s">
        <v>1430</v>
      </c>
      <c r="H1621" t="s">
        <v>3057</v>
      </c>
      <c r="I1621" t="s">
        <v>17</v>
      </c>
      <c r="J1621" t="s">
        <v>18</v>
      </c>
    </row>
    <row r="1622" spans="1:10" hidden="1" x14ac:dyDescent="0.25">
      <c r="A1622" t="s">
        <v>11</v>
      </c>
      <c r="B1622" t="str">
        <f>"28055"</f>
        <v>28055</v>
      </c>
      <c r="C1622" t="s">
        <v>65</v>
      </c>
      <c r="D1622" t="s">
        <v>2988</v>
      </c>
      <c r="E1622" t="str">
        <f>"7729488999"</f>
        <v>7729488999</v>
      </c>
      <c r="F1622" t="s">
        <v>85</v>
      </c>
      <c r="G1622" t="s">
        <v>3058</v>
      </c>
      <c r="H1622" t="s">
        <v>3059</v>
      </c>
      <c r="I1622" t="s">
        <v>17</v>
      </c>
      <c r="J1622" t="s">
        <v>18</v>
      </c>
    </row>
    <row r="1623" spans="1:10" hidden="1" x14ac:dyDescent="0.25">
      <c r="A1623" t="s">
        <v>11</v>
      </c>
      <c r="B1623" t="str">
        <f>"27767"</f>
        <v>27767</v>
      </c>
      <c r="C1623" t="s">
        <v>12</v>
      </c>
      <c r="D1623" t="s">
        <v>2988</v>
      </c>
      <c r="E1623" t="str">
        <f>"7729488999"</f>
        <v>7729488999</v>
      </c>
      <c r="F1623" t="s">
        <v>85</v>
      </c>
      <c r="G1623" t="s">
        <v>3060</v>
      </c>
      <c r="H1623" t="s">
        <v>3061</v>
      </c>
      <c r="I1623" t="s">
        <v>17</v>
      </c>
      <c r="J1623" t="s">
        <v>18</v>
      </c>
    </row>
    <row r="1624" spans="1:10" hidden="1" x14ac:dyDescent="0.25">
      <c r="A1624" t="s">
        <v>11</v>
      </c>
      <c r="B1624" t="str">
        <f>"27762"</f>
        <v>27762</v>
      </c>
      <c r="C1624" t="s">
        <v>12</v>
      </c>
      <c r="D1624" t="s">
        <v>2988</v>
      </c>
      <c r="E1624" t="str">
        <f>"7729488999"</f>
        <v>7729488999</v>
      </c>
      <c r="F1624" t="s">
        <v>85</v>
      </c>
      <c r="G1624" t="s">
        <v>3062</v>
      </c>
      <c r="H1624" t="s">
        <v>3063</v>
      </c>
      <c r="I1624" t="s">
        <v>17</v>
      </c>
      <c r="J1624" t="s">
        <v>18</v>
      </c>
    </row>
    <row r="1625" spans="1:10" hidden="1" x14ac:dyDescent="0.25">
      <c r="A1625" t="s">
        <v>11</v>
      </c>
      <c r="B1625" t="str">
        <f>"27745"</f>
        <v>27745</v>
      </c>
      <c r="C1625" t="s">
        <v>12</v>
      </c>
      <c r="D1625" t="s">
        <v>2988</v>
      </c>
      <c r="E1625" t="str">
        <f>"7729488999"</f>
        <v>7729488999</v>
      </c>
      <c r="F1625" t="s">
        <v>85</v>
      </c>
      <c r="G1625" t="s">
        <v>3064</v>
      </c>
      <c r="H1625" t="s">
        <v>3065</v>
      </c>
      <c r="I1625" t="s">
        <v>17</v>
      </c>
      <c r="J1625" t="s">
        <v>18</v>
      </c>
    </row>
    <row r="1626" spans="1:10" hidden="1" x14ac:dyDescent="0.25">
      <c r="A1626" t="s">
        <v>11</v>
      </c>
      <c r="B1626" t="str">
        <f>"27254"</f>
        <v>27254</v>
      </c>
      <c r="C1626" t="s">
        <v>12</v>
      </c>
      <c r="D1626" t="s">
        <v>2988</v>
      </c>
      <c r="E1626" t="str">
        <f>"7729488999"</f>
        <v>7729488999</v>
      </c>
      <c r="F1626" t="s">
        <v>85</v>
      </c>
      <c r="G1626" t="s">
        <v>3066</v>
      </c>
      <c r="H1626" t="s">
        <v>3067</v>
      </c>
      <c r="I1626" t="s">
        <v>17</v>
      </c>
      <c r="J1626" t="s">
        <v>18</v>
      </c>
    </row>
    <row r="1627" spans="1:10" hidden="1" x14ac:dyDescent="0.25">
      <c r="A1627" t="s">
        <v>11</v>
      </c>
      <c r="B1627" t="str">
        <f>"167"</f>
        <v>167</v>
      </c>
      <c r="C1627" t="s">
        <v>49</v>
      </c>
      <c r="D1627" t="s">
        <v>2988</v>
      </c>
      <c r="E1627" t="str">
        <f>"7702392168"</f>
        <v>7702392168</v>
      </c>
      <c r="F1627" t="s">
        <v>97</v>
      </c>
      <c r="G1627" t="s">
        <v>3068</v>
      </c>
      <c r="H1627" t="s">
        <v>3069</v>
      </c>
      <c r="I1627" t="s">
        <v>17</v>
      </c>
      <c r="J1627" t="s">
        <v>18</v>
      </c>
    </row>
    <row r="1628" spans="1:10" hidden="1" x14ac:dyDescent="0.25">
      <c r="A1628" t="s">
        <v>11</v>
      </c>
      <c r="B1628" t="str">
        <f>"28351"</f>
        <v>28351</v>
      </c>
      <c r="C1628" t="s">
        <v>100</v>
      </c>
      <c r="D1628" t="s">
        <v>2988</v>
      </c>
      <c r="E1628" t="str">
        <f>"7729488999"</f>
        <v>7729488999</v>
      </c>
      <c r="F1628" t="s">
        <v>85</v>
      </c>
      <c r="G1628" t="s">
        <v>3070</v>
      </c>
      <c r="H1628" t="s">
        <v>3071</v>
      </c>
      <c r="I1628" t="s">
        <v>17</v>
      </c>
      <c r="J1628" t="s">
        <v>18</v>
      </c>
    </row>
    <row r="1629" spans="1:10" hidden="1" x14ac:dyDescent="0.25">
      <c r="A1629" t="s">
        <v>11</v>
      </c>
      <c r="B1629" t="str">
        <f>"196482/777E"</f>
        <v>196482/777E</v>
      </c>
      <c r="C1629" t="s">
        <v>100</v>
      </c>
      <c r="D1629" t="s">
        <v>2988</v>
      </c>
      <c r="E1629" t="str">
        <f>"5003052454"</f>
        <v>5003052454</v>
      </c>
      <c r="F1629" t="s">
        <v>14</v>
      </c>
      <c r="G1629" t="s">
        <v>3072</v>
      </c>
      <c r="H1629" t="s">
        <v>3073</v>
      </c>
      <c r="I1629" t="s">
        <v>17</v>
      </c>
      <c r="J1629" t="s">
        <v>18</v>
      </c>
    </row>
    <row r="1630" spans="1:10" hidden="1" x14ac:dyDescent="0.25">
      <c r="A1630" t="s">
        <v>11</v>
      </c>
      <c r="B1630" t="str">
        <f>"197203/777E"</f>
        <v>197203/777E</v>
      </c>
      <c r="C1630" t="s">
        <v>100</v>
      </c>
      <c r="D1630" t="s">
        <v>2988</v>
      </c>
      <c r="E1630" t="str">
        <f>"5003052454"</f>
        <v>5003052454</v>
      </c>
      <c r="F1630" t="s">
        <v>14</v>
      </c>
      <c r="G1630" t="s">
        <v>3074</v>
      </c>
      <c r="H1630" t="s">
        <v>3075</v>
      </c>
      <c r="I1630" t="s">
        <v>17</v>
      </c>
      <c r="J1630" t="s">
        <v>18</v>
      </c>
    </row>
    <row r="1631" spans="1:10" hidden="1" x14ac:dyDescent="0.25">
      <c r="A1631" t="s">
        <v>11</v>
      </c>
      <c r="B1631" t="str">
        <f>"UT-108114"</f>
        <v>UT-108114</v>
      </c>
      <c r="C1631" t="s">
        <v>100</v>
      </c>
      <c r="D1631" t="s">
        <v>2988</v>
      </c>
      <c r="E1631" t="str">
        <f>"7806385951"</f>
        <v>7806385951</v>
      </c>
      <c r="F1631" t="s">
        <v>26</v>
      </c>
      <c r="G1631" t="s">
        <v>3076</v>
      </c>
      <c r="H1631" t="s">
        <v>3077</v>
      </c>
      <c r="I1631" t="s">
        <v>17</v>
      </c>
      <c r="J1631" t="s">
        <v>18</v>
      </c>
    </row>
    <row r="1632" spans="1:10" hidden="1" x14ac:dyDescent="0.25">
      <c r="A1632" t="s">
        <v>11</v>
      </c>
      <c r="B1632" t="str">
        <f>"UT-108208"</f>
        <v>UT-108208</v>
      </c>
      <c r="C1632" t="s">
        <v>100</v>
      </c>
      <c r="D1632" t="s">
        <v>2988</v>
      </c>
      <c r="E1632" t="str">
        <f>"7806385951"</f>
        <v>7806385951</v>
      </c>
      <c r="F1632" t="s">
        <v>26</v>
      </c>
      <c r="G1632" t="s">
        <v>3004</v>
      </c>
      <c r="H1632" t="s">
        <v>3078</v>
      </c>
      <c r="I1632" t="s">
        <v>17</v>
      </c>
      <c r="J1632" t="s">
        <v>18</v>
      </c>
    </row>
    <row r="1633" spans="1:10" hidden="1" x14ac:dyDescent="0.25">
      <c r="A1633" t="s">
        <v>11</v>
      </c>
      <c r="B1633" t="str">
        <f>"28329696"</f>
        <v>28329696</v>
      </c>
      <c r="C1633" t="s">
        <v>65</v>
      </c>
      <c r="D1633" t="s">
        <v>2988</v>
      </c>
      <c r="E1633" t="str">
        <f>"7721793895"</f>
        <v>7721793895</v>
      </c>
      <c r="F1633" t="s">
        <v>109</v>
      </c>
      <c r="G1633" t="s">
        <v>3079</v>
      </c>
      <c r="H1633" t="s">
        <v>3080</v>
      </c>
      <c r="I1633" t="s">
        <v>17</v>
      </c>
      <c r="J1633" t="s">
        <v>18</v>
      </c>
    </row>
    <row r="1634" spans="1:10" hidden="1" x14ac:dyDescent="0.25">
      <c r="A1634" t="s">
        <v>11</v>
      </c>
      <c r="B1634" t="str">
        <f>"28331751"</f>
        <v>28331751</v>
      </c>
      <c r="C1634" t="s">
        <v>65</v>
      </c>
      <c r="D1634" t="s">
        <v>2988</v>
      </c>
      <c r="E1634" t="str">
        <f>"7721793895"</f>
        <v>7721793895</v>
      </c>
      <c r="F1634" t="s">
        <v>109</v>
      </c>
      <c r="G1634" t="s">
        <v>3081</v>
      </c>
      <c r="H1634" t="s">
        <v>3082</v>
      </c>
      <c r="I1634" t="s">
        <v>17</v>
      </c>
      <c r="J1634" t="s">
        <v>18</v>
      </c>
    </row>
    <row r="1635" spans="1:10" hidden="1" x14ac:dyDescent="0.25">
      <c r="A1635" t="s">
        <v>11</v>
      </c>
      <c r="B1635" t="str">
        <f>"1082"</f>
        <v>1082</v>
      </c>
      <c r="C1635" t="s">
        <v>508</v>
      </c>
      <c r="D1635" t="s">
        <v>2988</v>
      </c>
      <c r="E1635" t="str">
        <f>"9729019493"</f>
        <v>9729019493</v>
      </c>
      <c r="F1635" t="s">
        <v>560</v>
      </c>
      <c r="G1635" t="s">
        <v>3083</v>
      </c>
      <c r="H1635" t="s">
        <v>3084</v>
      </c>
      <c r="I1635" t="s">
        <v>17</v>
      </c>
      <c r="J1635" t="s">
        <v>18</v>
      </c>
    </row>
    <row r="1636" spans="1:10" hidden="1" x14ac:dyDescent="0.25">
      <c r="A1636" t="s">
        <v>11</v>
      </c>
      <c r="B1636" t="str">
        <f>"2452"</f>
        <v>2452</v>
      </c>
      <c r="C1636" t="s">
        <v>49</v>
      </c>
      <c r="D1636" t="s">
        <v>2988</v>
      </c>
      <c r="E1636" t="str">
        <f>"7726447730"</f>
        <v>7726447730</v>
      </c>
      <c r="F1636" t="s">
        <v>3085</v>
      </c>
      <c r="G1636" t="s">
        <v>1693</v>
      </c>
      <c r="H1636" t="s">
        <v>3086</v>
      </c>
      <c r="I1636" t="s">
        <v>17</v>
      </c>
      <c r="J1636" t="s">
        <v>18</v>
      </c>
    </row>
    <row r="1637" spans="1:10" hidden="1" x14ac:dyDescent="0.25">
      <c r="A1637" t="s">
        <v>11</v>
      </c>
      <c r="B1637" t="str">
        <f>"СОСТ0504/11"</f>
        <v>СОСТ0504/11</v>
      </c>
      <c r="C1637" t="s">
        <v>100</v>
      </c>
      <c r="D1637" t="s">
        <v>2988</v>
      </c>
      <c r="E1637" t="str">
        <f>"7735126034"</f>
        <v>7735126034</v>
      </c>
      <c r="F1637" t="s">
        <v>131</v>
      </c>
      <c r="G1637" t="s">
        <v>3087</v>
      </c>
      <c r="H1637" t="s">
        <v>3088</v>
      </c>
      <c r="I1637" t="s">
        <v>17</v>
      </c>
      <c r="J1637" t="s">
        <v>18</v>
      </c>
    </row>
    <row r="1638" spans="1:10" hidden="1" x14ac:dyDescent="0.25">
      <c r="A1638" t="s">
        <v>11</v>
      </c>
      <c r="B1638" t="str">
        <f>"2023/30/03/0137687"</f>
        <v>2023/30/03/0137687</v>
      </c>
      <c r="C1638" t="s">
        <v>100</v>
      </c>
      <c r="D1638" t="s">
        <v>2988</v>
      </c>
      <c r="E1638" t="str">
        <f>"7718151150"</f>
        <v>7718151150</v>
      </c>
      <c r="F1638" t="s">
        <v>54</v>
      </c>
      <c r="G1638" t="s">
        <v>1430</v>
      </c>
      <c r="H1638" t="s">
        <v>3089</v>
      </c>
      <c r="I1638" t="s">
        <v>17</v>
      </c>
      <c r="J1638" t="s">
        <v>18</v>
      </c>
    </row>
    <row r="1639" spans="1:10" hidden="1" x14ac:dyDescent="0.25">
      <c r="A1639" t="s">
        <v>11</v>
      </c>
      <c r="B1639" t="str">
        <f>"2023/30/03/0137497"</f>
        <v>2023/30/03/0137497</v>
      </c>
      <c r="C1639" t="s">
        <v>100</v>
      </c>
      <c r="D1639" t="s">
        <v>2988</v>
      </c>
      <c r="E1639" t="str">
        <f>"7718151150"</f>
        <v>7718151150</v>
      </c>
      <c r="F1639" t="s">
        <v>54</v>
      </c>
      <c r="G1639" t="s">
        <v>61</v>
      </c>
      <c r="H1639" t="s">
        <v>3090</v>
      </c>
      <c r="I1639" t="s">
        <v>17</v>
      </c>
      <c r="J1639" t="s">
        <v>18</v>
      </c>
    </row>
    <row r="1640" spans="1:10" hidden="1" x14ac:dyDescent="0.25">
      <c r="A1640" t="s">
        <v>11</v>
      </c>
      <c r="B1640" t="str">
        <f>"198930/777E"</f>
        <v>198930/777E</v>
      </c>
      <c r="C1640" t="s">
        <v>106</v>
      </c>
      <c r="D1640" t="s">
        <v>2988</v>
      </c>
      <c r="E1640" t="str">
        <f>"5003052454"</f>
        <v>5003052454</v>
      </c>
      <c r="F1640" t="s">
        <v>14</v>
      </c>
      <c r="G1640" t="s">
        <v>3091</v>
      </c>
      <c r="H1640" t="s">
        <v>3092</v>
      </c>
      <c r="I1640" t="s">
        <v>17</v>
      </c>
      <c r="J1640" t="s">
        <v>18</v>
      </c>
    </row>
    <row r="1641" spans="1:10" hidden="1" x14ac:dyDescent="0.25">
      <c r="A1641" t="s">
        <v>11</v>
      </c>
      <c r="B1641" t="str">
        <f>"198931/777E"</f>
        <v>198931/777E</v>
      </c>
      <c r="C1641" t="s">
        <v>106</v>
      </c>
      <c r="D1641" t="s">
        <v>2988</v>
      </c>
      <c r="E1641" t="str">
        <f>"5003052454"</f>
        <v>5003052454</v>
      </c>
      <c r="F1641" t="s">
        <v>14</v>
      </c>
      <c r="G1641" t="s">
        <v>3093</v>
      </c>
      <c r="H1641" t="s">
        <v>3094</v>
      </c>
      <c r="I1641" t="s">
        <v>17</v>
      </c>
      <c r="J1641" t="s">
        <v>18</v>
      </c>
    </row>
    <row r="1642" spans="1:10" hidden="1" x14ac:dyDescent="0.25">
      <c r="A1642" t="s">
        <v>11</v>
      </c>
      <c r="B1642" t="str">
        <f>"UT-109600"</f>
        <v>UT-109600</v>
      </c>
      <c r="C1642" t="s">
        <v>106</v>
      </c>
      <c r="D1642" t="s">
        <v>2988</v>
      </c>
      <c r="E1642" t="str">
        <f>"7806385951"</f>
        <v>7806385951</v>
      </c>
      <c r="F1642" t="s">
        <v>26</v>
      </c>
      <c r="G1642" t="s">
        <v>3095</v>
      </c>
      <c r="H1642" t="s">
        <v>3096</v>
      </c>
      <c r="I1642" t="s">
        <v>17</v>
      </c>
      <c r="J1642" t="s">
        <v>18</v>
      </c>
    </row>
    <row r="1643" spans="1:10" hidden="1" x14ac:dyDescent="0.25">
      <c r="A1643" t="s">
        <v>11</v>
      </c>
      <c r="B1643" t="str">
        <f>"03/00235410-23"</f>
        <v>03/00235410-23</v>
      </c>
      <c r="C1643" t="s">
        <v>106</v>
      </c>
      <c r="D1643" t="s">
        <v>2988</v>
      </c>
      <c r="E1643" t="str">
        <f>"7705034202"</f>
        <v>7705034202</v>
      </c>
      <c r="F1643" t="s">
        <v>407</v>
      </c>
      <c r="G1643" t="s">
        <v>3097</v>
      </c>
      <c r="H1643" t="s">
        <v>3098</v>
      </c>
      <c r="I1643" t="s">
        <v>17</v>
      </c>
      <c r="J1643" t="s">
        <v>18</v>
      </c>
    </row>
    <row r="1644" spans="1:10" hidden="1" x14ac:dyDescent="0.25">
      <c r="A1644" t="s">
        <v>11</v>
      </c>
      <c r="B1644" t="str">
        <f>"7720/8174496989"</f>
        <v>7720/8174496989</v>
      </c>
      <c r="C1644" t="s">
        <v>106</v>
      </c>
      <c r="D1644" t="s">
        <v>2988</v>
      </c>
      <c r="E1644" t="str">
        <f>"5032260402"</f>
        <v>5032260402</v>
      </c>
      <c r="F1644" t="s">
        <v>341</v>
      </c>
      <c r="G1644" t="s">
        <v>3099</v>
      </c>
      <c r="H1644" t="s">
        <v>3100</v>
      </c>
      <c r="I1644" t="s">
        <v>17</v>
      </c>
      <c r="J1644" t="s">
        <v>18</v>
      </c>
    </row>
    <row r="1645" spans="1:10" hidden="1" x14ac:dyDescent="0.25">
      <c r="A1645" t="s">
        <v>11</v>
      </c>
      <c r="B1645" t="str">
        <f>"14970505-03"</f>
        <v>14970505-03</v>
      </c>
      <c r="C1645" t="s">
        <v>106</v>
      </c>
      <c r="D1645" t="s">
        <v>2988</v>
      </c>
      <c r="E1645" t="str">
        <f>"7709242041"</f>
        <v>7709242041</v>
      </c>
      <c r="F1645" t="s">
        <v>1502</v>
      </c>
      <c r="G1645" t="s">
        <v>3101</v>
      </c>
      <c r="H1645" t="s">
        <v>3102</v>
      </c>
      <c r="I1645" t="s">
        <v>17</v>
      </c>
      <c r="J1645" t="s">
        <v>18</v>
      </c>
    </row>
    <row r="1646" spans="1:10" hidden="1" x14ac:dyDescent="0.25">
      <c r="A1646" t="s">
        <v>11</v>
      </c>
      <c r="B1646" t="str">
        <f>"14970505-07"</f>
        <v>14970505-07</v>
      </c>
      <c r="C1646" t="s">
        <v>106</v>
      </c>
      <c r="D1646" t="s">
        <v>2988</v>
      </c>
      <c r="E1646" t="str">
        <f>"7709242041"</f>
        <v>7709242041</v>
      </c>
      <c r="F1646" t="s">
        <v>1502</v>
      </c>
      <c r="G1646" t="s">
        <v>3103</v>
      </c>
      <c r="H1646" t="s">
        <v>3104</v>
      </c>
      <c r="I1646" t="s">
        <v>17</v>
      </c>
      <c r="J1646" t="s">
        <v>18</v>
      </c>
    </row>
    <row r="1647" spans="1:10" hidden="1" x14ac:dyDescent="0.25">
      <c r="A1647" t="s">
        <v>11</v>
      </c>
      <c r="B1647" t="str">
        <f>"1134"</f>
        <v>1134</v>
      </c>
      <c r="C1647" t="s">
        <v>100</v>
      </c>
      <c r="D1647" t="s">
        <v>2988</v>
      </c>
      <c r="E1647" t="str">
        <f>"9729019493"</f>
        <v>9729019493</v>
      </c>
      <c r="F1647" t="s">
        <v>560</v>
      </c>
      <c r="G1647" t="s">
        <v>3105</v>
      </c>
      <c r="H1647" t="s">
        <v>3106</v>
      </c>
      <c r="I1647" t="s">
        <v>17</v>
      </c>
      <c r="J1647" t="s">
        <v>18</v>
      </c>
    </row>
    <row r="1648" spans="1:10" hidden="1" x14ac:dyDescent="0.25">
      <c r="A1648" t="s">
        <v>11</v>
      </c>
      <c r="B1648" t="str">
        <f>"SR110023652"</f>
        <v>SR110023652</v>
      </c>
      <c r="C1648" t="s">
        <v>106</v>
      </c>
      <c r="D1648" t="s">
        <v>2988</v>
      </c>
      <c r="E1648" t="str">
        <f>"4725006920"</f>
        <v>4725006920</v>
      </c>
      <c r="F1648" t="s">
        <v>101</v>
      </c>
      <c r="G1648" t="s">
        <v>3107</v>
      </c>
      <c r="H1648" t="s">
        <v>3108</v>
      </c>
      <c r="I1648" t="s">
        <v>17</v>
      </c>
      <c r="J1648" t="s">
        <v>18</v>
      </c>
    </row>
    <row r="1649" spans="1:10" hidden="1" x14ac:dyDescent="0.25">
      <c r="A1649" t="s">
        <v>11</v>
      </c>
      <c r="B1649" t="str">
        <f>"УТ-605-000048"</f>
        <v>УТ-605-000048</v>
      </c>
      <c r="C1649" t="s">
        <v>420</v>
      </c>
      <c r="D1649" t="s">
        <v>2988</v>
      </c>
      <c r="E1649" t="str">
        <f>"7839454551"</f>
        <v>7839454551</v>
      </c>
      <c r="F1649" t="s">
        <v>57</v>
      </c>
      <c r="G1649" t="s">
        <v>3109</v>
      </c>
      <c r="H1649" t="s">
        <v>3110</v>
      </c>
      <c r="I1649" t="s">
        <v>17</v>
      </c>
      <c r="J1649" t="s">
        <v>18</v>
      </c>
    </row>
    <row r="1650" spans="1:10" hidden="1" x14ac:dyDescent="0.25">
      <c r="A1650" t="s">
        <v>11</v>
      </c>
      <c r="B1650" t="str">
        <f>"УТ-605-000012"</f>
        <v>УТ-605-000012</v>
      </c>
      <c r="C1650" t="s">
        <v>420</v>
      </c>
      <c r="D1650" t="s">
        <v>2988</v>
      </c>
      <c r="E1650" t="str">
        <f>"7839454551"</f>
        <v>7839454551</v>
      </c>
      <c r="F1650" t="s">
        <v>57</v>
      </c>
      <c r="G1650" t="s">
        <v>3111</v>
      </c>
      <c r="H1650" t="s">
        <v>3112</v>
      </c>
      <c r="I1650" t="s">
        <v>17</v>
      </c>
      <c r="J1650" t="s">
        <v>18</v>
      </c>
    </row>
    <row r="1651" spans="1:10" hidden="1" x14ac:dyDescent="0.25">
      <c r="A1651" t="s">
        <v>11</v>
      </c>
      <c r="B1651" t="str">
        <f>"03/00238656-23"</f>
        <v>03/00238656-23</v>
      </c>
      <c r="C1651" t="s">
        <v>420</v>
      </c>
      <c r="D1651" t="s">
        <v>2988</v>
      </c>
      <c r="E1651" t="str">
        <f>"7705034202"</f>
        <v>7705034202</v>
      </c>
      <c r="F1651" t="s">
        <v>407</v>
      </c>
      <c r="G1651" t="s">
        <v>3113</v>
      </c>
      <c r="H1651" t="s">
        <v>3114</v>
      </c>
      <c r="I1651" t="s">
        <v>17</v>
      </c>
      <c r="J1651" t="s">
        <v>18</v>
      </c>
    </row>
    <row r="1652" spans="1:10" hidden="1" x14ac:dyDescent="0.25">
      <c r="A1652" t="s">
        <v>11</v>
      </c>
      <c r="B1652" t="str">
        <f>"SR110024061"</f>
        <v>SR110024061</v>
      </c>
      <c r="C1652" t="s">
        <v>119</v>
      </c>
      <c r="D1652" t="s">
        <v>2988</v>
      </c>
      <c r="E1652" t="str">
        <f>"4725006920"</f>
        <v>4725006920</v>
      </c>
      <c r="F1652" t="s">
        <v>101</v>
      </c>
      <c r="G1652" t="s">
        <v>3115</v>
      </c>
      <c r="H1652" t="s">
        <v>3116</v>
      </c>
      <c r="I1652" t="s">
        <v>17</v>
      </c>
      <c r="J1652" t="s">
        <v>18</v>
      </c>
    </row>
    <row r="1653" spans="1:10" hidden="1" x14ac:dyDescent="0.25">
      <c r="A1653" t="s">
        <v>11</v>
      </c>
      <c r="B1653" t="str">
        <f>"39778"</f>
        <v>39778</v>
      </c>
      <c r="C1653" t="s">
        <v>508</v>
      </c>
      <c r="D1653" t="s">
        <v>3117</v>
      </c>
      <c r="E1653" t="str">
        <f>"5406217290"</f>
        <v>5406217290</v>
      </c>
      <c r="F1653" t="s">
        <v>3118</v>
      </c>
      <c r="G1653" t="s">
        <v>3119</v>
      </c>
      <c r="H1653" t="s">
        <v>3120</v>
      </c>
      <c r="I1653" t="s">
        <v>17</v>
      </c>
      <c r="J1653" t="s">
        <v>18</v>
      </c>
    </row>
    <row r="1654" spans="1:10" hidden="1" x14ac:dyDescent="0.25">
      <c r="A1654" t="s">
        <v>11</v>
      </c>
      <c r="B1654" t="str">
        <f>"39763"</f>
        <v>39763</v>
      </c>
      <c r="C1654" t="s">
        <v>508</v>
      </c>
      <c r="D1654" t="s">
        <v>3117</v>
      </c>
      <c r="E1654" t="str">
        <f>"5406217290"</f>
        <v>5406217290</v>
      </c>
      <c r="F1654" t="s">
        <v>3118</v>
      </c>
      <c r="G1654" t="s">
        <v>3121</v>
      </c>
      <c r="H1654" t="s">
        <v>3122</v>
      </c>
      <c r="I1654" t="s">
        <v>17</v>
      </c>
      <c r="J1654" t="s">
        <v>18</v>
      </c>
    </row>
    <row r="1655" spans="1:10" hidden="1" x14ac:dyDescent="0.25">
      <c r="A1655" t="s">
        <v>11</v>
      </c>
      <c r="B1655" t="str">
        <f>"39685"</f>
        <v>39685</v>
      </c>
      <c r="C1655" t="s">
        <v>559</v>
      </c>
      <c r="D1655" t="s">
        <v>3117</v>
      </c>
      <c r="E1655" t="str">
        <f>"5406217290"</f>
        <v>5406217290</v>
      </c>
      <c r="F1655" t="s">
        <v>3118</v>
      </c>
      <c r="G1655" t="s">
        <v>3123</v>
      </c>
      <c r="H1655" t="s">
        <v>3124</v>
      </c>
      <c r="I1655" t="s">
        <v>17</v>
      </c>
      <c r="J1655" t="s">
        <v>18</v>
      </c>
    </row>
    <row r="1656" spans="1:10" hidden="1" x14ac:dyDescent="0.25">
      <c r="A1656" t="s">
        <v>11</v>
      </c>
      <c r="B1656" t="str">
        <f>"39668"</f>
        <v>39668</v>
      </c>
      <c r="C1656" t="s">
        <v>559</v>
      </c>
      <c r="D1656" t="s">
        <v>3117</v>
      </c>
      <c r="E1656" t="str">
        <f>"5406217290"</f>
        <v>5406217290</v>
      </c>
      <c r="F1656" t="s">
        <v>3118</v>
      </c>
      <c r="G1656" t="s">
        <v>3125</v>
      </c>
      <c r="H1656" t="s">
        <v>3126</v>
      </c>
      <c r="I1656" t="s">
        <v>17</v>
      </c>
      <c r="J1656" t="s">
        <v>18</v>
      </c>
    </row>
    <row r="1657" spans="1:10" hidden="1" x14ac:dyDescent="0.25">
      <c r="A1657" t="s">
        <v>290</v>
      </c>
      <c r="B1657" t="str">
        <f>"920"</f>
        <v>920</v>
      </c>
      <c r="C1657" t="s">
        <v>49</v>
      </c>
      <c r="D1657" t="s">
        <v>3117</v>
      </c>
      <c r="E1657" t="str">
        <f>"5410149229"</f>
        <v>5410149229</v>
      </c>
      <c r="F1657" t="s">
        <v>3127</v>
      </c>
      <c r="G1657" t="s">
        <v>847</v>
      </c>
      <c r="H1657" t="s">
        <v>3128</v>
      </c>
      <c r="I1657" t="s">
        <v>17</v>
      </c>
      <c r="J1657" t="s">
        <v>18</v>
      </c>
    </row>
    <row r="1658" spans="1:10" hidden="1" x14ac:dyDescent="0.25">
      <c r="A1658" t="s">
        <v>290</v>
      </c>
      <c r="B1658" t="str">
        <f>"45"</f>
        <v>45</v>
      </c>
      <c r="C1658" t="s">
        <v>49</v>
      </c>
      <c r="D1658" t="s">
        <v>3117</v>
      </c>
      <c r="E1658" t="str">
        <f>"5410149229"</f>
        <v>5410149229</v>
      </c>
      <c r="F1658" t="s">
        <v>3127</v>
      </c>
      <c r="G1658" t="s">
        <v>847</v>
      </c>
      <c r="H1658" t="s">
        <v>3129</v>
      </c>
      <c r="I1658" t="s">
        <v>17</v>
      </c>
      <c r="J1658" t="s">
        <v>18</v>
      </c>
    </row>
    <row r="1659" spans="1:10" hidden="1" x14ac:dyDescent="0.25">
      <c r="A1659" t="s">
        <v>11</v>
      </c>
      <c r="B1659" t="str">
        <f>"53348/540E"</f>
        <v>53348/540E</v>
      </c>
      <c r="C1659" t="s">
        <v>65</v>
      </c>
      <c r="D1659" t="s">
        <v>3117</v>
      </c>
      <c r="E1659" t="str">
        <f>"5003052454"</f>
        <v>5003052454</v>
      </c>
      <c r="F1659" t="s">
        <v>14</v>
      </c>
      <c r="G1659" t="s">
        <v>3130</v>
      </c>
      <c r="H1659" t="s">
        <v>3131</v>
      </c>
      <c r="I1659" t="s">
        <v>17</v>
      </c>
      <c r="J1659" t="s">
        <v>18</v>
      </c>
    </row>
    <row r="1660" spans="1:10" hidden="1" x14ac:dyDescent="0.25">
      <c r="A1660" t="s">
        <v>11</v>
      </c>
      <c r="B1660" t="str">
        <f>"53349/540E"</f>
        <v>53349/540E</v>
      </c>
      <c r="C1660" t="s">
        <v>65</v>
      </c>
      <c r="D1660" t="s">
        <v>3117</v>
      </c>
      <c r="E1660" t="str">
        <f>"5003052454"</f>
        <v>5003052454</v>
      </c>
      <c r="F1660" t="s">
        <v>14</v>
      </c>
      <c r="G1660" t="s">
        <v>3132</v>
      </c>
      <c r="H1660" t="s">
        <v>3133</v>
      </c>
      <c r="I1660" t="s">
        <v>17</v>
      </c>
      <c r="J1660" t="s">
        <v>18</v>
      </c>
    </row>
    <row r="1661" spans="1:10" hidden="1" x14ac:dyDescent="0.25">
      <c r="A1661" t="s">
        <v>11</v>
      </c>
      <c r="B1661" t="str">
        <f>"53357/540E"</f>
        <v>53357/540E</v>
      </c>
      <c r="C1661" t="s">
        <v>65</v>
      </c>
      <c r="D1661" t="s">
        <v>3117</v>
      </c>
      <c r="E1661" t="str">
        <f>"5003052454"</f>
        <v>5003052454</v>
      </c>
      <c r="F1661" t="s">
        <v>14</v>
      </c>
      <c r="G1661" t="s">
        <v>3134</v>
      </c>
      <c r="H1661" t="s">
        <v>3135</v>
      </c>
      <c r="I1661" t="s">
        <v>17</v>
      </c>
      <c r="J1661" t="s">
        <v>18</v>
      </c>
    </row>
    <row r="1662" spans="1:10" hidden="1" x14ac:dyDescent="0.25">
      <c r="A1662" t="s">
        <v>11</v>
      </c>
      <c r="B1662" t="str">
        <f>"53356/540E"</f>
        <v>53356/540E</v>
      </c>
      <c r="C1662" t="s">
        <v>65</v>
      </c>
      <c r="D1662" t="s">
        <v>3117</v>
      </c>
      <c r="E1662" t="str">
        <f>"5003052454"</f>
        <v>5003052454</v>
      </c>
      <c r="F1662" t="s">
        <v>14</v>
      </c>
      <c r="G1662" t="s">
        <v>3136</v>
      </c>
      <c r="H1662" t="s">
        <v>3137</v>
      </c>
      <c r="I1662" t="s">
        <v>17</v>
      </c>
      <c r="J1662" t="s">
        <v>18</v>
      </c>
    </row>
    <row r="1663" spans="1:10" hidden="1" x14ac:dyDescent="0.25">
      <c r="A1663" t="s">
        <v>11</v>
      </c>
      <c r="B1663" t="str">
        <f>"28284533"</f>
        <v>28284533</v>
      </c>
      <c r="C1663" t="s">
        <v>12</v>
      </c>
      <c r="D1663" t="s">
        <v>3117</v>
      </c>
      <c r="E1663" t="str">
        <f>"7721793895"</f>
        <v>7721793895</v>
      </c>
      <c r="F1663" t="s">
        <v>109</v>
      </c>
      <c r="G1663" t="s">
        <v>3138</v>
      </c>
      <c r="H1663" t="s">
        <v>3139</v>
      </c>
      <c r="I1663" t="s">
        <v>17</v>
      </c>
      <c r="J1663" t="s">
        <v>18</v>
      </c>
    </row>
    <row r="1664" spans="1:10" hidden="1" x14ac:dyDescent="0.25">
      <c r="A1664" t="s">
        <v>11</v>
      </c>
      <c r="B1664" t="str">
        <f>"41013"</f>
        <v>41013</v>
      </c>
      <c r="C1664" t="s">
        <v>12</v>
      </c>
      <c r="D1664" t="s">
        <v>3117</v>
      </c>
      <c r="E1664" t="str">
        <f>"5406217290"</f>
        <v>5406217290</v>
      </c>
      <c r="F1664" t="s">
        <v>3118</v>
      </c>
      <c r="G1664" t="s">
        <v>3140</v>
      </c>
      <c r="H1664" t="s">
        <v>3141</v>
      </c>
      <c r="I1664" t="s">
        <v>17</v>
      </c>
      <c r="J1664" t="s">
        <v>18</v>
      </c>
    </row>
    <row r="1665" spans="1:10" hidden="1" x14ac:dyDescent="0.25">
      <c r="A1665" t="s">
        <v>11</v>
      </c>
      <c r="B1665" t="str">
        <f>"28294884"</f>
        <v>28294884</v>
      </c>
      <c r="C1665" t="s">
        <v>12</v>
      </c>
      <c r="D1665" t="s">
        <v>3117</v>
      </c>
      <c r="E1665" t="str">
        <f>"7721793895"</f>
        <v>7721793895</v>
      </c>
      <c r="F1665" t="s">
        <v>109</v>
      </c>
      <c r="G1665" t="s">
        <v>3142</v>
      </c>
      <c r="H1665" t="s">
        <v>3143</v>
      </c>
      <c r="I1665" t="s">
        <v>17</v>
      </c>
      <c r="J1665" t="s">
        <v>18</v>
      </c>
    </row>
    <row r="1666" spans="1:10" hidden="1" x14ac:dyDescent="0.25">
      <c r="A1666" t="s">
        <v>11</v>
      </c>
      <c r="B1666" t="str">
        <f>"5410/8174443895"</f>
        <v>5410/8174443895</v>
      </c>
      <c r="C1666" t="s">
        <v>65</v>
      </c>
      <c r="D1666" t="s">
        <v>3117</v>
      </c>
      <c r="E1666" t="str">
        <f>"5032260402"</f>
        <v>5032260402</v>
      </c>
      <c r="F1666" t="s">
        <v>341</v>
      </c>
      <c r="G1666" t="s">
        <v>3144</v>
      </c>
      <c r="H1666" t="s">
        <v>3145</v>
      </c>
      <c r="I1666" t="s">
        <v>17</v>
      </c>
      <c r="J1666" t="s">
        <v>18</v>
      </c>
    </row>
    <row r="1667" spans="1:10" hidden="1" x14ac:dyDescent="0.25">
      <c r="A1667" t="s">
        <v>11</v>
      </c>
      <c r="B1667" t="str">
        <f>"5410/8174443894"</f>
        <v>5410/8174443894</v>
      </c>
      <c r="C1667" t="s">
        <v>65</v>
      </c>
      <c r="D1667" t="s">
        <v>3117</v>
      </c>
      <c r="E1667" t="str">
        <f>"5032260402"</f>
        <v>5032260402</v>
      </c>
      <c r="F1667" t="s">
        <v>341</v>
      </c>
      <c r="G1667" t="s">
        <v>3146</v>
      </c>
      <c r="H1667" t="s">
        <v>3147</v>
      </c>
      <c r="I1667" t="s">
        <v>17</v>
      </c>
      <c r="J1667" t="s">
        <v>18</v>
      </c>
    </row>
    <row r="1668" spans="1:10" hidden="1" x14ac:dyDescent="0.25">
      <c r="A1668" t="s">
        <v>11</v>
      </c>
      <c r="B1668" t="str">
        <f>"881"</f>
        <v>881</v>
      </c>
      <c r="C1668" t="s">
        <v>49</v>
      </c>
      <c r="D1668" t="s">
        <v>3117</v>
      </c>
      <c r="E1668" t="str">
        <f>"7704340969"</f>
        <v>7704340969</v>
      </c>
      <c r="F1668" t="s">
        <v>76</v>
      </c>
      <c r="G1668" t="s">
        <v>1392</v>
      </c>
      <c r="H1668" t="s">
        <v>3148</v>
      </c>
      <c r="I1668" t="s">
        <v>17</v>
      </c>
      <c r="J1668" t="s">
        <v>18</v>
      </c>
    </row>
    <row r="1669" spans="1:10" hidden="1" x14ac:dyDescent="0.25">
      <c r="A1669" t="s">
        <v>11</v>
      </c>
      <c r="B1669" t="str">
        <f>"910"</f>
        <v>910</v>
      </c>
      <c r="C1669" t="s">
        <v>49</v>
      </c>
      <c r="D1669" t="s">
        <v>3117</v>
      </c>
      <c r="E1669" t="str">
        <f>"7704340969"</f>
        <v>7704340969</v>
      </c>
      <c r="F1669" t="s">
        <v>76</v>
      </c>
      <c r="G1669" t="s">
        <v>3149</v>
      </c>
      <c r="H1669" t="s">
        <v>3150</v>
      </c>
      <c r="I1669" t="s">
        <v>17</v>
      </c>
      <c r="J1669" t="s">
        <v>18</v>
      </c>
    </row>
    <row r="1670" spans="1:10" hidden="1" x14ac:dyDescent="0.25">
      <c r="A1670" t="s">
        <v>11</v>
      </c>
      <c r="B1670" t="str">
        <f>"938"</f>
        <v>938</v>
      </c>
      <c r="C1670" t="s">
        <v>49</v>
      </c>
      <c r="D1670" t="s">
        <v>3117</v>
      </c>
      <c r="E1670" t="str">
        <f>"7704340969"</f>
        <v>7704340969</v>
      </c>
      <c r="F1670" t="s">
        <v>76</v>
      </c>
      <c r="G1670" t="s">
        <v>3151</v>
      </c>
      <c r="H1670" t="s">
        <v>3152</v>
      </c>
      <c r="I1670" t="s">
        <v>17</v>
      </c>
      <c r="J1670" t="s">
        <v>18</v>
      </c>
    </row>
    <row r="1671" spans="1:10" hidden="1" x14ac:dyDescent="0.25">
      <c r="A1671" t="s">
        <v>11</v>
      </c>
      <c r="B1671" t="str">
        <f>"981"</f>
        <v>981</v>
      </c>
      <c r="C1671" t="s">
        <v>49</v>
      </c>
      <c r="D1671" t="s">
        <v>3117</v>
      </c>
      <c r="E1671" t="str">
        <f>"7704340969"</f>
        <v>7704340969</v>
      </c>
      <c r="F1671" t="s">
        <v>76</v>
      </c>
      <c r="G1671" t="s">
        <v>3153</v>
      </c>
      <c r="H1671" t="s">
        <v>3154</v>
      </c>
      <c r="I1671" t="s">
        <v>17</v>
      </c>
      <c r="J1671" t="s">
        <v>18</v>
      </c>
    </row>
    <row r="1672" spans="1:10" hidden="1" x14ac:dyDescent="0.25">
      <c r="A1672" t="s">
        <v>11</v>
      </c>
      <c r="B1672" t="str">
        <f>"54090/540E"</f>
        <v>54090/540E</v>
      </c>
      <c r="C1672" t="s">
        <v>100</v>
      </c>
      <c r="D1672" t="s">
        <v>3117</v>
      </c>
      <c r="E1672" t="str">
        <f t="shared" ref="E1672:E1678" si="72">"5003052454"</f>
        <v>5003052454</v>
      </c>
      <c r="F1672" t="s">
        <v>14</v>
      </c>
      <c r="G1672" t="s">
        <v>857</v>
      </c>
      <c r="H1672" t="s">
        <v>3155</v>
      </c>
      <c r="I1672" t="s">
        <v>17</v>
      </c>
      <c r="J1672" t="s">
        <v>18</v>
      </c>
    </row>
    <row r="1673" spans="1:10" hidden="1" x14ac:dyDescent="0.25">
      <c r="A1673" t="s">
        <v>11</v>
      </c>
      <c r="B1673" t="str">
        <f>"54088/540E"</f>
        <v>54088/540E</v>
      </c>
      <c r="C1673" t="s">
        <v>100</v>
      </c>
      <c r="D1673" t="s">
        <v>3117</v>
      </c>
      <c r="E1673" t="str">
        <f t="shared" si="72"/>
        <v>5003052454</v>
      </c>
      <c r="F1673" t="s">
        <v>14</v>
      </c>
      <c r="G1673" t="s">
        <v>3156</v>
      </c>
      <c r="H1673" t="s">
        <v>3157</v>
      </c>
      <c r="I1673" t="s">
        <v>17</v>
      </c>
      <c r="J1673" t="s">
        <v>18</v>
      </c>
    </row>
    <row r="1674" spans="1:10" hidden="1" x14ac:dyDescent="0.25">
      <c r="A1674" t="s">
        <v>11</v>
      </c>
      <c r="B1674" t="str">
        <f>"54087/540E"</f>
        <v>54087/540E</v>
      </c>
      <c r="C1674" t="s">
        <v>100</v>
      </c>
      <c r="D1674" t="s">
        <v>3117</v>
      </c>
      <c r="E1674" t="str">
        <f t="shared" si="72"/>
        <v>5003052454</v>
      </c>
      <c r="F1674" t="s">
        <v>14</v>
      </c>
      <c r="G1674" t="s">
        <v>3158</v>
      </c>
      <c r="H1674" t="s">
        <v>3159</v>
      </c>
      <c r="I1674" t="s">
        <v>17</v>
      </c>
      <c r="J1674" t="s">
        <v>18</v>
      </c>
    </row>
    <row r="1675" spans="1:10" hidden="1" x14ac:dyDescent="0.25">
      <c r="A1675" t="s">
        <v>11</v>
      </c>
      <c r="B1675" t="str">
        <f>"54092/540E"</f>
        <v>54092/540E</v>
      </c>
      <c r="C1675" t="s">
        <v>100</v>
      </c>
      <c r="D1675" t="s">
        <v>3117</v>
      </c>
      <c r="E1675" t="str">
        <f t="shared" si="72"/>
        <v>5003052454</v>
      </c>
      <c r="F1675" t="s">
        <v>14</v>
      </c>
      <c r="G1675" t="s">
        <v>3160</v>
      </c>
      <c r="H1675" t="s">
        <v>3161</v>
      </c>
      <c r="I1675" t="s">
        <v>17</v>
      </c>
      <c r="J1675" t="s">
        <v>18</v>
      </c>
    </row>
    <row r="1676" spans="1:10" hidden="1" x14ac:dyDescent="0.25">
      <c r="A1676" t="s">
        <v>11</v>
      </c>
      <c r="B1676" t="str">
        <f>"54091/540E"</f>
        <v>54091/540E</v>
      </c>
      <c r="C1676" t="s">
        <v>100</v>
      </c>
      <c r="D1676" t="s">
        <v>3117</v>
      </c>
      <c r="E1676" t="str">
        <f t="shared" si="72"/>
        <v>5003052454</v>
      </c>
      <c r="F1676" t="s">
        <v>14</v>
      </c>
      <c r="G1676" t="s">
        <v>3162</v>
      </c>
      <c r="H1676" t="s">
        <v>3163</v>
      </c>
      <c r="I1676" t="s">
        <v>17</v>
      </c>
      <c r="J1676" t="s">
        <v>18</v>
      </c>
    </row>
    <row r="1677" spans="1:10" hidden="1" x14ac:dyDescent="0.25">
      <c r="A1677" t="s">
        <v>11</v>
      </c>
      <c r="B1677" t="str">
        <f>"54089/540E"</f>
        <v>54089/540E</v>
      </c>
      <c r="C1677" t="s">
        <v>100</v>
      </c>
      <c r="D1677" t="s">
        <v>3117</v>
      </c>
      <c r="E1677" t="str">
        <f t="shared" si="72"/>
        <v>5003052454</v>
      </c>
      <c r="F1677" t="s">
        <v>14</v>
      </c>
      <c r="G1677" t="s">
        <v>3164</v>
      </c>
      <c r="H1677" t="s">
        <v>3165</v>
      </c>
      <c r="I1677" t="s">
        <v>17</v>
      </c>
      <c r="J1677" t="s">
        <v>18</v>
      </c>
    </row>
    <row r="1678" spans="1:10" hidden="1" x14ac:dyDescent="0.25">
      <c r="A1678" t="s">
        <v>11</v>
      </c>
      <c r="B1678" t="str">
        <f>"54093/540E"</f>
        <v>54093/540E</v>
      </c>
      <c r="C1678" t="s">
        <v>100</v>
      </c>
      <c r="D1678" t="s">
        <v>3117</v>
      </c>
      <c r="E1678" t="str">
        <f t="shared" si="72"/>
        <v>5003052454</v>
      </c>
      <c r="F1678" t="s">
        <v>14</v>
      </c>
      <c r="G1678" t="s">
        <v>3166</v>
      </c>
      <c r="H1678" t="s">
        <v>3167</v>
      </c>
      <c r="I1678" t="s">
        <v>17</v>
      </c>
      <c r="J1678" t="s">
        <v>18</v>
      </c>
    </row>
    <row r="1679" spans="1:10" hidden="1" x14ac:dyDescent="0.25">
      <c r="A1679" t="s">
        <v>11</v>
      </c>
      <c r="B1679" t="str">
        <f>"168"</f>
        <v>168</v>
      </c>
      <c r="C1679" t="s">
        <v>49</v>
      </c>
      <c r="D1679" t="s">
        <v>3117</v>
      </c>
      <c r="E1679" t="str">
        <f>"7702392168"</f>
        <v>7702392168</v>
      </c>
      <c r="F1679" t="s">
        <v>97</v>
      </c>
      <c r="G1679" t="s">
        <v>3168</v>
      </c>
      <c r="H1679" t="s">
        <v>3169</v>
      </c>
      <c r="I1679" t="s">
        <v>17</v>
      </c>
      <c r="J1679" t="s">
        <v>18</v>
      </c>
    </row>
    <row r="1680" spans="1:10" hidden="1" x14ac:dyDescent="0.25">
      <c r="A1680" t="s">
        <v>11</v>
      </c>
      <c r="B1680" t="str">
        <f>"28315658"</f>
        <v>28315658</v>
      </c>
      <c r="C1680" t="s">
        <v>65</v>
      </c>
      <c r="D1680" t="s">
        <v>3117</v>
      </c>
      <c r="E1680" t="str">
        <f>"7721793895"</f>
        <v>7721793895</v>
      </c>
      <c r="F1680" t="s">
        <v>109</v>
      </c>
      <c r="G1680" t="s">
        <v>3170</v>
      </c>
      <c r="H1680" t="s">
        <v>3171</v>
      </c>
      <c r="I1680" t="s">
        <v>17</v>
      </c>
      <c r="J1680" t="s">
        <v>18</v>
      </c>
    </row>
    <row r="1681" spans="1:10" hidden="1" x14ac:dyDescent="0.25">
      <c r="A1681" t="s">
        <v>11</v>
      </c>
      <c r="B1681" t="str">
        <f>"28325026"</f>
        <v>28325026</v>
      </c>
      <c r="C1681" t="s">
        <v>65</v>
      </c>
      <c r="D1681" t="s">
        <v>3117</v>
      </c>
      <c r="E1681" t="str">
        <f>"7721793895"</f>
        <v>7721793895</v>
      </c>
      <c r="F1681" t="s">
        <v>109</v>
      </c>
      <c r="G1681" t="s">
        <v>3172</v>
      </c>
      <c r="H1681" t="s">
        <v>3173</v>
      </c>
      <c r="I1681" t="s">
        <v>17</v>
      </c>
      <c r="J1681" t="s">
        <v>18</v>
      </c>
    </row>
    <row r="1682" spans="1:10" x14ac:dyDescent="0.25">
      <c r="A1682" t="s">
        <v>290</v>
      </c>
      <c r="B1682" t="str">
        <f>"1800000815"</f>
        <v>1800000815</v>
      </c>
      <c r="C1682" t="s">
        <v>100</v>
      </c>
      <c r="D1682" t="s">
        <v>3117</v>
      </c>
      <c r="E1682" t="str">
        <f>"5032260402"</f>
        <v>5032260402</v>
      </c>
      <c r="F1682" t="s">
        <v>341</v>
      </c>
      <c r="G1682" t="s">
        <v>847</v>
      </c>
      <c r="H1682" t="s">
        <v>3174</v>
      </c>
      <c r="I1682" t="s">
        <v>17</v>
      </c>
      <c r="J1682" t="s">
        <v>166</v>
      </c>
    </row>
    <row r="1683" spans="1:10" hidden="1" x14ac:dyDescent="0.25">
      <c r="A1683" t="s">
        <v>11</v>
      </c>
      <c r="B1683" t="str">
        <f>"UT-107994"</f>
        <v>UT-107994</v>
      </c>
      <c r="C1683" t="s">
        <v>100</v>
      </c>
      <c r="D1683" t="s">
        <v>3117</v>
      </c>
      <c r="E1683" t="str">
        <f t="shared" ref="E1683:E1692" si="73">"7806385951"</f>
        <v>7806385951</v>
      </c>
      <c r="F1683" t="s">
        <v>26</v>
      </c>
      <c r="G1683" t="s">
        <v>3175</v>
      </c>
      <c r="H1683" t="s">
        <v>3176</v>
      </c>
      <c r="I1683" t="s">
        <v>17</v>
      </c>
      <c r="J1683" t="s">
        <v>18</v>
      </c>
    </row>
    <row r="1684" spans="1:10" hidden="1" x14ac:dyDescent="0.25">
      <c r="A1684" t="s">
        <v>11</v>
      </c>
      <c r="B1684" t="str">
        <f>"UT-107995"</f>
        <v>UT-107995</v>
      </c>
      <c r="C1684" t="s">
        <v>100</v>
      </c>
      <c r="D1684" t="s">
        <v>3117</v>
      </c>
      <c r="E1684" t="str">
        <f t="shared" si="73"/>
        <v>7806385951</v>
      </c>
      <c r="F1684" t="s">
        <v>26</v>
      </c>
      <c r="G1684" t="s">
        <v>3177</v>
      </c>
      <c r="H1684" t="s">
        <v>3178</v>
      </c>
      <c r="I1684" t="s">
        <v>17</v>
      </c>
      <c r="J1684" t="s">
        <v>18</v>
      </c>
    </row>
    <row r="1685" spans="1:10" hidden="1" x14ac:dyDescent="0.25">
      <c r="A1685" t="s">
        <v>11</v>
      </c>
      <c r="B1685" t="str">
        <f>"UT-107996"</f>
        <v>UT-107996</v>
      </c>
      <c r="C1685" t="s">
        <v>100</v>
      </c>
      <c r="D1685" t="s">
        <v>3117</v>
      </c>
      <c r="E1685" t="str">
        <f t="shared" si="73"/>
        <v>7806385951</v>
      </c>
      <c r="F1685" t="s">
        <v>26</v>
      </c>
      <c r="G1685" t="s">
        <v>3179</v>
      </c>
      <c r="H1685" t="s">
        <v>3180</v>
      </c>
      <c r="I1685" t="s">
        <v>17</v>
      </c>
      <c r="J1685" t="s">
        <v>18</v>
      </c>
    </row>
    <row r="1686" spans="1:10" hidden="1" x14ac:dyDescent="0.25">
      <c r="A1686" t="s">
        <v>11</v>
      </c>
      <c r="B1686" t="str">
        <f>"UT-107998"</f>
        <v>UT-107998</v>
      </c>
      <c r="C1686" t="s">
        <v>100</v>
      </c>
      <c r="D1686" t="s">
        <v>3117</v>
      </c>
      <c r="E1686" t="str">
        <f t="shared" si="73"/>
        <v>7806385951</v>
      </c>
      <c r="F1686" t="s">
        <v>26</v>
      </c>
      <c r="G1686" t="s">
        <v>3181</v>
      </c>
      <c r="H1686" t="s">
        <v>3182</v>
      </c>
      <c r="I1686" t="s">
        <v>17</v>
      </c>
      <c r="J1686" t="s">
        <v>18</v>
      </c>
    </row>
    <row r="1687" spans="1:10" hidden="1" x14ac:dyDescent="0.25">
      <c r="A1687" t="s">
        <v>11</v>
      </c>
      <c r="B1687" t="str">
        <f>"UT-108004"</f>
        <v>UT-108004</v>
      </c>
      <c r="C1687" t="s">
        <v>100</v>
      </c>
      <c r="D1687" t="s">
        <v>3117</v>
      </c>
      <c r="E1687" t="str">
        <f t="shared" si="73"/>
        <v>7806385951</v>
      </c>
      <c r="F1687" t="s">
        <v>26</v>
      </c>
      <c r="G1687" t="s">
        <v>3183</v>
      </c>
      <c r="H1687" t="s">
        <v>3184</v>
      </c>
      <c r="I1687" t="s">
        <v>17</v>
      </c>
      <c r="J1687" t="s">
        <v>18</v>
      </c>
    </row>
    <row r="1688" spans="1:10" hidden="1" x14ac:dyDescent="0.25">
      <c r="A1688" t="s">
        <v>11</v>
      </c>
      <c r="B1688" t="str">
        <f>"UT-108048"</f>
        <v>UT-108048</v>
      </c>
      <c r="C1688" t="s">
        <v>100</v>
      </c>
      <c r="D1688" t="s">
        <v>3117</v>
      </c>
      <c r="E1688" t="str">
        <f t="shared" si="73"/>
        <v>7806385951</v>
      </c>
      <c r="F1688" t="s">
        <v>26</v>
      </c>
      <c r="G1688" t="s">
        <v>3185</v>
      </c>
      <c r="H1688" t="s">
        <v>3186</v>
      </c>
      <c r="I1688" t="s">
        <v>17</v>
      </c>
      <c r="J1688" t="s">
        <v>18</v>
      </c>
    </row>
    <row r="1689" spans="1:10" hidden="1" x14ac:dyDescent="0.25">
      <c r="A1689" t="s">
        <v>11</v>
      </c>
      <c r="B1689" t="str">
        <f>"UT-108046"</f>
        <v>UT-108046</v>
      </c>
      <c r="C1689" t="s">
        <v>100</v>
      </c>
      <c r="D1689" t="s">
        <v>3117</v>
      </c>
      <c r="E1689" t="str">
        <f t="shared" si="73"/>
        <v>7806385951</v>
      </c>
      <c r="F1689" t="s">
        <v>26</v>
      </c>
      <c r="G1689" t="s">
        <v>3187</v>
      </c>
      <c r="H1689" t="s">
        <v>3188</v>
      </c>
      <c r="I1689" t="s">
        <v>17</v>
      </c>
      <c r="J1689" t="s">
        <v>18</v>
      </c>
    </row>
    <row r="1690" spans="1:10" hidden="1" x14ac:dyDescent="0.25">
      <c r="A1690" t="s">
        <v>11</v>
      </c>
      <c r="B1690" t="str">
        <f>"UT-108047"</f>
        <v>UT-108047</v>
      </c>
      <c r="C1690" t="s">
        <v>100</v>
      </c>
      <c r="D1690" t="s">
        <v>3117</v>
      </c>
      <c r="E1690" t="str">
        <f t="shared" si="73"/>
        <v>7806385951</v>
      </c>
      <c r="F1690" t="s">
        <v>26</v>
      </c>
      <c r="G1690" t="s">
        <v>3189</v>
      </c>
      <c r="H1690" t="s">
        <v>3190</v>
      </c>
      <c r="I1690" t="s">
        <v>17</v>
      </c>
      <c r="J1690" t="s">
        <v>18</v>
      </c>
    </row>
    <row r="1691" spans="1:10" hidden="1" x14ac:dyDescent="0.25">
      <c r="A1691" t="s">
        <v>11</v>
      </c>
      <c r="B1691" t="str">
        <f>"UT-108055"</f>
        <v>UT-108055</v>
      </c>
      <c r="C1691" t="s">
        <v>100</v>
      </c>
      <c r="D1691" t="s">
        <v>3117</v>
      </c>
      <c r="E1691" t="str">
        <f t="shared" si="73"/>
        <v>7806385951</v>
      </c>
      <c r="F1691" t="s">
        <v>26</v>
      </c>
      <c r="G1691" t="s">
        <v>3191</v>
      </c>
      <c r="H1691" t="s">
        <v>3192</v>
      </c>
      <c r="I1691" t="s">
        <v>17</v>
      </c>
      <c r="J1691" t="s">
        <v>18</v>
      </c>
    </row>
    <row r="1692" spans="1:10" hidden="1" x14ac:dyDescent="0.25">
      <c r="A1692" t="s">
        <v>11</v>
      </c>
      <c r="B1692" t="str">
        <f>"UT-108057"</f>
        <v>UT-108057</v>
      </c>
      <c r="C1692" t="s">
        <v>100</v>
      </c>
      <c r="D1692" t="s">
        <v>3117</v>
      </c>
      <c r="E1692" t="str">
        <f t="shared" si="73"/>
        <v>7806385951</v>
      </c>
      <c r="F1692" t="s">
        <v>26</v>
      </c>
      <c r="G1692" t="s">
        <v>3193</v>
      </c>
      <c r="H1692" t="s">
        <v>3194</v>
      </c>
      <c r="I1692" t="s">
        <v>17</v>
      </c>
      <c r="J1692" t="s">
        <v>18</v>
      </c>
    </row>
    <row r="1693" spans="1:10" hidden="1" x14ac:dyDescent="0.25">
      <c r="A1693" t="s">
        <v>11</v>
      </c>
      <c r="B1693" t="str">
        <f>"54787/540E"</f>
        <v>54787/540E</v>
      </c>
      <c r="C1693" t="s">
        <v>106</v>
      </c>
      <c r="D1693" t="s">
        <v>3117</v>
      </c>
      <c r="E1693" t="str">
        <f>"5003052454"</f>
        <v>5003052454</v>
      </c>
      <c r="F1693" t="s">
        <v>14</v>
      </c>
      <c r="G1693" t="s">
        <v>3195</v>
      </c>
      <c r="H1693" t="s">
        <v>3196</v>
      </c>
      <c r="I1693" t="s">
        <v>17</v>
      </c>
      <c r="J1693" t="s">
        <v>18</v>
      </c>
    </row>
    <row r="1694" spans="1:10" hidden="1" x14ac:dyDescent="0.25">
      <c r="A1694" t="s">
        <v>11</v>
      </c>
      <c r="B1694" t="str">
        <f>"54788/540E"</f>
        <v>54788/540E</v>
      </c>
      <c r="C1694" t="s">
        <v>106</v>
      </c>
      <c r="D1694" t="s">
        <v>3117</v>
      </c>
      <c r="E1694" t="str">
        <f>"5003052454"</f>
        <v>5003052454</v>
      </c>
      <c r="F1694" t="s">
        <v>14</v>
      </c>
      <c r="G1694" t="s">
        <v>3197</v>
      </c>
      <c r="H1694" t="s">
        <v>3198</v>
      </c>
      <c r="I1694" t="s">
        <v>17</v>
      </c>
      <c r="J1694" t="s">
        <v>18</v>
      </c>
    </row>
    <row r="1695" spans="1:10" hidden="1" x14ac:dyDescent="0.25">
      <c r="A1695" t="s">
        <v>11</v>
      </c>
      <c r="B1695" t="str">
        <f>"41968"</f>
        <v>41968</v>
      </c>
      <c r="C1695" t="s">
        <v>100</v>
      </c>
      <c r="D1695" t="s">
        <v>3117</v>
      </c>
      <c r="E1695" t="str">
        <f>"5406217290"</f>
        <v>5406217290</v>
      </c>
      <c r="F1695" t="s">
        <v>3118</v>
      </c>
      <c r="G1695" t="s">
        <v>3199</v>
      </c>
      <c r="H1695" t="s">
        <v>3200</v>
      </c>
      <c r="I1695" t="s">
        <v>17</v>
      </c>
      <c r="J1695" t="s">
        <v>18</v>
      </c>
    </row>
    <row r="1696" spans="1:10" hidden="1" x14ac:dyDescent="0.25">
      <c r="A1696" t="s">
        <v>11</v>
      </c>
      <c r="B1696" t="str">
        <f>"41918"</f>
        <v>41918</v>
      </c>
      <c r="C1696" t="s">
        <v>100</v>
      </c>
      <c r="D1696" t="s">
        <v>3117</v>
      </c>
      <c r="E1696" t="str">
        <f>"5406217290"</f>
        <v>5406217290</v>
      </c>
      <c r="F1696" t="s">
        <v>3118</v>
      </c>
      <c r="G1696" t="s">
        <v>3201</v>
      </c>
      <c r="H1696" t="s">
        <v>3202</v>
      </c>
      <c r="I1696" t="s">
        <v>17</v>
      </c>
      <c r="J1696" t="s">
        <v>388</v>
      </c>
    </row>
    <row r="1697" spans="1:10" hidden="1" x14ac:dyDescent="0.25">
      <c r="A1697" t="s">
        <v>11</v>
      </c>
      <c r="B1697" t="str">
        <f>"28355172"</f>
        <v>28355172</v>
      </c>
      <c r="C1697" t="s">
        <v>100</v>
      </c>
      <c r="D1697" t="s">
        <v>3117</v>
      </c>
      <c r="E1697" t="str">
        <f>"7721793895"</f>
        <v>7721793895</v>
      </c>
      <c r="F1697" t="s">
        <v>109</v>
      </c>
      <c r="G1697" t="s">
        <v>3203</v>
      </c>
      <c r="H1697" t="s">
        <v>3204</v>
      </c>
      <c r="I1697" t="s">
        <v>17</v>
      </c>
      <c r="J1697" t="s">
        <v>18</v>
      </c>
    </row>
    <row r="1698" spans="1:10" hidden="1" x14ac:dyDescent="0.25">
      <c r="A1698" t="s">
        <v>11</v>
      </c>
      <c r="B1698" t="str">
        <f>"28360587"</f>
        <v>28360587</v>
      </c>
      <c r="C1698" t="s">
        <v>100</v>
      </c>
      <c r="D1698" t="s">
        <v>3117</v>
      </c>
      <c r="E1698" t="str">
        <f>"7721793895"</f>
        <v>7721793895</v>
      </c>
      <c r="F1698" t="s">
        <v>109</v>
      </c>
      <c r="G1698" t="s">
        <v>3205</v>
      </c>
      <c r="H1698" t="s">
        <v>3206</v>
      </c>
      <c r="I1698" t="s">
        <v>17</v>
      </c>
      <c r="J1698" t="s">
        <v>18</v>
      </c>
    </row>
    <row r="1699" spans="1:10" hidden="1" x14ac:dyDescent="0.25">
      <c r="A1699" t="s">
        <v>11</v>
      </c>
      <c r="B1699" t="str">
        <f>"04-390321"</f>
        <v>04-390321</v>
      </c>
      <c r="C1699" t="s">
        <v>49</v>
      </c>
      <c r="D1699" t="s">
        <v>3117</v>
      </c>
      <c r="E1699" t="str">
        <f>"7710668349"</f>
        <v>7710668349</v>
      </c>
      <c r="F1699" t="s">
        <v>1749</v>
      </c>
      <c r="G1699" t="s">
        <v>3207</v>
      </c>
      <c r="H1699" t="s">
        <v>3208</v>
      </c>
      <c r="I1699" t="s">
        <v>17</v>
      </c>
      <c r="J1699" t="s">
        <v>18</v>
      </c>
    </row>
    <row r="1700" spans="1:10" hidden="1" x14ac:dyDescent="0.25">
      <c r="A1700" t="s">
        <v>11</v>
      </c>
      <c r="B1700" t="str">
        <f>"1135"</f>
        <v>1135</v>
      </c>
      <c r="C1700" t="s">
        <v>12</v>
      </c>
      <c r="D1700" t="s">
        <v>3117</v>
      </c>
      <c r="E1700" t="str">
        <f>"9729019493"</f>
        <v>9729019493</v>
      </c>
      <c r="F1700" t="s">
        <v>560</v>
      </c>
      <c r="G1700" t="s">
        <v>2491</v>
      </c>
      <c r="H1700" t="s">
        <v>3209</v>
      </c>
      <c r="I1700" t="s">
        <v>17</v>
      </c>
      <c r="J1700" t="s">
        <v>18</v>
      </c>
    </row>
    <row r="1701" spans="1:10" hidden="1" x14ac:dyDescent="0.25">
      <c r="A1701" t="s">
        <v>11</v>
      </c>
      <c r="B1701" t="str">
        <f>"477812"</f>
        <v>477812</v>
      </c>
      <c r="C1701" t="s">
        <v>420</v>
      </c>
      <c r="D1701" t="s">
        <v>3117</v>
      </c>
      <c r="E1701" t="str">
        <f>"7703729819"</f>
        <v>7703729819</v>
      </c>
      <c r="F1701" t="s">
        <v>3210</v>
      </c>
      <c r="G1701" t="s">
        <v>1509</v>
      </c>
      <c r="H1701" t="s">
        <v>3211</v>
      </c>
      <c r="I1701" t="s">
        <v>17</v>
      </c>
      <c r="J1701" t="s">
        <v>18</v>
      </c>
    </row>
    <row r="1702" spans="1:10" hidden="1" x14ac:dyDescent="0.25">
      <c r="A1702" t="s">
        <v>11</v>
      </c>
      <c r="B1702" t="str">
        <f>"475716"</f>
        <v>475716</v>
      </c>
      <c r="C1702" t="s">
        <v>420</v>
      </c>
      <c r="D1702" t="s">
        <v>3117</v>
      </c>
      <c r="E1702" t="str">
        <f>"7703729819"</f>
        <v>7703729819</v>
      </c>
      <c r="F1702" t="s">
        <v>3210</v>
      </c>
      <c r="G1702" t="s">
        <v>3212</v>
      </c>
      <c r="H1702" t="s">
        <v>3213</v>
      </c>
      <c r="I1702" t="s">
        <v>17</v>
      </c>
      <c r="J1702" t="s">
        <v>18</v>
      </c>
    </row>
    <row r="1703" spans="1:10" hidden="1" x14ac:dyDescent="0.25">
      <c r="A1703" t="s">
        <v>11</v>
      </c>
      <c r="B1703" t="str">
        <f>"МОС0501/07"</f>
        <v>МОС0501/07</v>
      </c>
      <c r="C1703" t="s">
        <v>53</v>
      </c>
      <c r="D1703" t="s">
        <v>3214</v>
      </c>
      <c r="E1703" t="str">
        <f>"7735126034"</f>
        <v>7735126034</v>
      </c>
      <c r="F1703" t="s">
        <v>131</v>
      </c>
      <c r="G1703" t="s">
        <v>3215</v>
      </c>
      <c r="H1703" t="s">
        <v>3216</v>
      </c>
      <c r="I1703" t="s">
        <v>17</v>
      </c>
      <c r="J1703" t="s">
        <v>18</v>
      </c>
    </row>
    <row r="1704" spans="1:10" hidden="1" x14ac:dyDescent="0.25">
      <c r="A1704" t="s">
        <v>11</v>
      </c>
      <c r="B1704" t="str">
        <f>"191487/777E"</f>
        <v>191487/777E</v>
      </c>
      <c r="C1704" t="s">
        <v>12</v>
      </c>
      <c r="D1704" t="s">
        <v>3214</v>
      </c>
      <c r="E1704" t="str">
        <f>"5003052454"</f>
        <v>5003052454</v>
      </c>
      <c r="F1704" t="s">
        <v>14</v>
      </c>
      <c r="G1704" t="s">
        <v>3217</v>
      </c>
      <c r="H1704" t="s">
        <v>3218</v>
      </c>
      <c r="I1704" t="s">
        <v>17</v>
      </c>
      <c r="J1704" t="s">
        <v>18</v>
      </c>
    </row>
    <row r="1705" spans="1:10" hidden="1" x14ac:dyDescent="0.25">
      <c r="A1705" t="s">
        <v>11</v>
      </c>
      <c r="B1705" t="str">
        <f>"191488/777E"</f>
        <v>191488/777E</v>
      </c>
      <c r="C1705" t="s">
        <v>12</v>
      </c>
      <c r="D1705" t="s">
        <v>3214</v>
      </c>
      <c r="E1705" t="str">
        <f>"5003052454"</f>
        <v>5003052454</v>
      </c>
      <c r="F1705" t="s">
        <v>14</v>
      </c>
      <c r="G1705" t="s">
        <v>3219</v>
      </c>
      <c r="H1705" t="s">
        <v>3220</v>
      </c>
      <c r="I1705" t="s">
        <v>17</v>
      </c>
      <c r="J1705" t="s">
        <v>18</v>
      </c>
    </row>
    <row r="1706" spans="1:10" hidden="1" x14ac:dyDescent="0.25">
      <c r="A1706" t="s">
        <v>11</v>
      </c>
      <c r="B1706" t="str">
        <f>"7740/8174371200"</f>
        <v>7740/8174371200</v>
      </c>
      <c r="C1706" t="s">
        <v>12</v>
      </c>
      <c r="D1706" t="s">
        <v>3214</v>
      </c>
      <c r="E1706" t="str">
        <f>"5032260402"</f>
        <v>5032260402</v>
      </c>
      <c r="F1706" t="s">
        <v>341</v>
      </c>
      <c r="G1706" t="s">
        <v>3221</v>
      </c>
      <c r="H1706" t="s">
        <v>3222</v>
      </c>
      <c r="I1706" t="s">
        <v>17</v>
      </c>
      <c r="J1706" t="s">
        <v>18</v>
      </c>
    </row>
    <row r="1707" spans="1:10" hidden="1" x14ac:dyDescent="0.25">
      <c r="A1707" t="s">
        <v>11</v>
      </c>
      <c r="B1707" t="str">
        <f>"2023/30/03/0133509"</f>
        <v>2023/30/03/0133509</v>
      </c>
      <c r="C1707" t="s">
        <v>49</v>
      </c>
      <c r="D1707" t="s">
        <v>3214</v>
      </c>
      <c r="E1707" t="str">
        <f t="shared" ref="E1707:E1715" si="74">"7718151150"</f>
        <v>7718151150</v>
      </c>
      <c r="F1707" t="s">
        <v>54</v>
      </c>
      <c r="G1707" t="s">
        <v>3020</v>
      </c>
      <c r="H1707" t="s">
        <v>3223</v>
      </c>
      <c r="I1707" t="s">
        <v>17</v>
      </c>
      <c r="J1707" t="s">
        <v>18</v>
      </c>
    </row>
    <row r="1708" spans="1:10" hidden="1" x14ac:dyDescent="0.25">
      <c r="A1708" t="s">
        <v>11</v>
      </c>
      <c r="B1708" t="str">
        <f>"2023/30/03/0133508"</f>
        <v>2023/30/03/0133508</v>
      </c>
      <c r="C1708" t="s">
        <v>49</v>
      </c>
      <c r="D1708" t="s">
        <v>3214</v>
      </c>
      <c r="E1708" t="str">
        <f t="shared" si="74"/>
        <v>7718151150</v>
      </c>
      <c r="F1708" t="s">
        <v>54</v>
      </c>
      <c r="G1708" t="s">
        <v>3020</v>
      </c>
      <c r="H1708" t="s">
        <v>3224</v>
      </c>
      <c r="I1708" t="s">
        <v>17</v>
      </c>
      <c r="J1708" t="s">
        <v>18</v>
      </c>
    </row>
    <row r="1709" spans="1:10" hidden="1" x14ac:dyDescent="0.25">
      <c r="A1709" t="s">
        <v>11</v>
      </c>
      <c r="B1709" t="str">
        <f>"2023/30/03/0133510"</f>
        <v>2023/30/03/0133510</v>
      </c>
      <c r="C1709" t="s">
        <v>49</v>
      </c>
      <c r="D1709" t="s">
        <v>3214</v>
      </c>
      <c r="E1709" t="str">
        <f t="shared" si="74"/>
        <v>7718151150</v>
      </c>
      <c r="F1709" t="s">
        <v>54</v>
      </c>
      <c r="G1709" t="s">
        <v>3020</v>
      </c>
      <c r="H1709" t="s">
        <v>3225</v>
      </c>
      <c r="I1709" t="s">
        <v>17</v>
      </c>
      <c r="J1709" t="s">
        <v>18</v>
      </c>
    </row>
    <row r="1710" spans="1:10" hidden="1" x14ac:dyDescent="0.25">
      <c r="A1710" t="s">
        <v>11</v>
      </c>
      <c r="B1710" t="str">
        <f>"2023/30/03/0133507"</f>
        <v>2023/30/03/0133507</v>
      </c>
      <c r="C1710" t="s">
        <v>49</v>
      </c>
      <c r="D1710" t="s">
        <v>3214</v>
      </c>
      <c r="E1710" t="str">
        <f t="shared" si="74"/>
        <v>7718151150</v>
      </c>
      <c r="F1710" t="s">
        <v>54</v>
      </c>
      <c r="G1710" t="s">
        <v>3226</v>
      </c>
      <c r="H1710" t="s">
        <v>3227</v>
      </c>
      <c r="I1710" t="s">
        <v>17</v>
      </c>
      <c r="J1710" t="s">
        <v>18</v>
      </c>
    </row>
    <row r="1711" spans="1:10" hidden="1" x14ac:dyDescent="0.25">
      <c r="A1711" t="s">
        <v>11</v>
      </c>
      <c r="B1711" t="str">
        <f>"2023/30/03/0132797"</f>
        <v>2023/30/03/0132797</v>
      </c>
      <c r="C1711" t="s">
        <v>49</v>
      </c>
      <c r="D1711" t="s">
        <v>3214</v>
      </c>
      <c r="E1711" t="str">
        <f t="shared" si="74"/>
        <v>7718151150</v>
      </c>
      <c r="F1711" t="s">
        <v>54</v>
      </c>
      <c r="G1711" t="s">
        <v>3020</v>
      </c>
      <c r="H1711" t="s">
        <v>3228</v>
      </c>
      <c r="I1711" t="s">
        <v>17</v>
      </c>
      <c r="J1711" t="s">
        <v>18</v>
      </c>
    </row>
    <row r="1712" spans="1:10" x14ac:dyDescent="0.25">
      <c r="A1712" t="s">
        <v>11</v>
      </c>
      <c r="B1712" t="str">
        <f>"2023/30/03/0131649"</f>
        <v>2023/30/03/0131649</v>
      </c>
      <c r="C1712" t="s">
        <v>49</v>
      </c>
      <c r="D1712" t="s">
        <v>3214</v>
      </c>
      <c r="E1712" t="str">
        <f t="shared" si="74"/>
        <v>7718151150</v>
      </c>
      <c r="F1712" t="s">
        <v>54</v>
      </c>
      <c r="G1712" t="s">
        <v>164</v>
      </c>
      <c r="H1712" t="s">
        <v>3229</v>
      </c>
      <c r="I1712" t="s">
        <v>17</v>
      </c>
      <c r="J1712" t="s">
        <v>166</v>
      </c>
    </row>
    <row r="1713" spans="1:10" hidden="1" x14ac:dyDescent="0.25">
      <c r="A1713" t="s">
        <v>11</v>
      </c>
      <c r="B1713" t="str">
        <f>"2023/30/03/0131647"</f>
        <v>2023/30/03/0131647</v>
      </c>
      <c r="C1713" t="s">
        <v>49</v>
      </c>
      <c r="D1713" t="s">
        <v>3214</v>
      </c>
      <c r="E1713" t="str">
        <f t="shared" si="74"/>
        <v>7718151150</v>
      </c>
      <c r="F1713" t="s">
        <v>54</v>
      </c>
      <c r="G1713" t="s">
        <v>3020</v>
      </c>
      <c r="H1713" t="s">
        <v>3230</v>
      </c>
      <c r="I1713" t="s">
        <v>17</v>
      </c>
      <c r="J1713" t="s">
        <v>18</v>
      </c>
    </row>
    <row r="1714" spans="1:10" hidden="1" x14ac:dyDescent="0.25">
      <c r="A1714" t="s">
        <v>11</v>
      </c>
      <c r="B1714" t="str">
        <f>"2023/30/03/0131648"</f>
        <v>2023/30/03/0131648</v>
      </c>
      <c r="C1714" t="s">
        <v>49</v>
      </c>
      <c r="D1714" t="s">
        <v>3214</v>
      </c>
      <c r="E1714" t="str">
        <f t="shared" si="74"/>
        <v>7718151150</v>
      </c>
      <c r="F1714" t="s">
        <v>54</v>
      </c>
      <c r="G1714" t="s">
        <v>3020</v>
      </c>
      <c r="H1714" t="s">
        <v>3231</v>
      </c>
      <c r="I1714" t="s">
        <v>17</v>
      </c>
      <c r="J1714" t="s">
        <v>18</v>
      </c>
    </row>
    <row r="1715" spans="1:10" hidden="1" x14ac:dyDescent="0.25">
      <c r="A1715" t="s">
        <v>11</v>
      </c>
      <c r="B1715" t="str">
        <f>"2023/30/03/0126887/41"</f>
        <v>2023/30/03/0126887/41</v>
      </c>
      <c r="C1715" t="s">
        <v>559</v>
      </c>
      <c r="D1715" t="s">
        <v>3214</v>
      </c>
      <c r="E1715" t="str">
        <f t="shared" si="74"/>
        <v>7718151150</v>
      </c>
      <c r="F1715" t="s">
        <v>54</v>
      </c>
      <c r="G1715" t="s">
        <v>63</v>
      </c>
      <c r="H1715" t="s">
        <v>3232</v>
      </c>
      <c r="I1715" t="s">
        <v>17</v>
      </c>
      <c r="J1715" t="s">
        <v>18</v>
      </c>
    </row>
    <row r="1716" spans="1:10" hidden="1" x14ac:dyDescent="0.25">
      <c r="A1716" t="s">
        <v>11</v>
      </c>
      <c r="B1716" t="str">
        <f>"ОТ-3004-000028"</f>
        <v>ОТ-3004-000028</v>
      </c>
      <c r="C1716" t="s">
        <v>49</v>
      </c>
      <c r="D1716" t="s">
        <v>3214</v>
      </c>
      <c r="E1716" t="str">
        <f>"7839454551"</f>
        <v>7839454551</v>
      </c>
      <c r="F1716" t="s">
        <v>57</v>
      </c>
      <c r="G1716" t="s">
        <v>3233</v>
      </c>
      <c r="H1716" t="s">
        <v>3234</v>
      </c>
      <c r="I1716" t="s">
        <v>17</v>
      </c>
      <c r="J1716" t="s">
        <v>18</v>
      </c>
    </row>
    <row r="1717" spans="1:10" hidden="1" x14ac:dyDescent="0.25">
      <c r="A1717" t="s">
        <v>11</v>
      </c>
      <c r="B1717" t="str">
        <f>"1753"</f>
        <v>1753</v>
      </c>
      <c r="C1717" t="s">
        <v>3235</v>
      </c>
      <c r="D1717" t="s">
        <v>3214</v>
      </c>
      <c r="E1717" t="str">
        <f>"7825076677"</f>
        <v>7825076677</v>
      </c>
      <c r="F1717" t="s">
        <v>891</v>
      </c>
      <c r="G1717" t="s">
        <v>3236</v>
      </c>
      <c r="H1717" t="s">
        <v>3237</v>
      </c>
      <c r="I1717" t="s">
        <v>17</v>
      </c>
      <c r="J1717" t="s">
        <v>18</v>
      </c>
    </row>
    <row r="1718" spans="1:10" hidden="1" x14ac:dyDescent="0.25">
      <c r="A1718" t="s">
        <v>11</v>
      </c>
      <c r="B1718" t="str">
        <f>"UT-106774"</f>
        <v>UT-106774</v>
      </c>
      <c r="C1718" t="s">
        <v>65</v>
      </c>
      <c r="D1718" t="s">
        <v>3214</v>
      </c>
      <c r="E1718" t="str">
        <f>"7806385951"</f>
        <v>7806385951</v>
      </c>
      <c r="F1718" t="s">
        <v>26</v>
      </c>
      <c r="G1718" t="s">
        <v>3238</v>
      </c>
      <c r="H1718" t="s">
        <v>3239</v>
      </c>
      <c r="I1718" t="s">
        <v>17</v>
      </c>
      <c r="J1718" t="s">
        <v>18</v>
      </c>
    </row>
    <row r="1719" spans="1:10" hidden="1" x14ac:dyDescent="0.25">
      <c r="A1719" t="s">
        <v>11</v>
      </c>
      <c r="B1719" t="str">
        <f>"UT-106773"</f>
        <v>UT-106773</v>
      </c>
      <c r="C1719" t="s">
        <v>65</v>
      </c>
      <c r="D1719" t="s">
        <v>3214</v>
      </c>
      <c r="E1719" t="str">
        <f>"7806385951"</f>
        <v>7806385951</v>
      </c>
      <c r="F1719" t="s">
        <v>26</v>
      </c>
      <c r="G1719" t="s">
        <v>1465</v>
      </c>
      <c r="H1719" t="s">
        <v>3240</v>
      </c>
      <c r="I1719" t="s">
        <v>17</v>
      </c>
      <c r="J1719" t="s">
        <v>18</v>
      </c>
    </row>
    <row r="1720" spans="1:10" hidden="1" x14ac:dyDescent="0.25">
      <c r="A1720" t="s">
        <v>11</v>
      </c>
      <c r="B1720" t="str">
        <f>"02/00167400-23"</f>
        <v>02/00167400-23</v>
      </c>
      <c r="C1720" t="s">
        <v>65</v>
      </c>
      <c r="D1720" t="s">
        <v>3214</v>
      </c>
      <c r="E1720" t="str">
        <f>"7705034202"</f>
        <v>7705034202</v>
      </c>
      <c r="F1720" t="s">
        <v>407</v>
      </c>
      <c r="G1720" t="s">
        <v>3241</v>
      </c>
      <c r="H1720" t="s">
        <v>3242</v>
      </c>
      <c r="I1720" t="s">
        <v>17</v>
      </c>
      <c r="J1720" t="s">
        <v>18</v>
      </c>
    </row>
    <row r="1721" spans="1:10" hidden="1" x14ac:dyDescent="0.25">
      <c r="A1721" t="s">
        <v>11</v>
      </c>
      <c r="B1721" t="str">
        <f>"871"</f>
        <v>871</v>
      </c>
      <c r="C1721" t="s">
        <v>49</v>
      </c>
      <c r="D1721" t="s">
        <v>3214</v>
      </c>
      <c r="E1721" t="str">
        <f>"7704340969"</f>
        <v>7704340969</v>
      </c>
      <c r="F1721" t="s">
        <v>76</v>
      </c>
      <c r="G1721" t="s">
        <v>242</v>
      </c>
      <c r="H1721" t="s">
        <v>3243</v>
      </c>
      <c r="I1721" t="s">
        <v>17</v>
      </c>
      <c r="J1721" t="s">
        <v>18</v>
      </c>
    </row>
    <row r="1722" spans="1:10" hidden="1" x14ac:dyDescent="0.25">
      <c r="A1722" t="s">
        <v>11</v>
      </c>
      <c r="B1722" t="str">
        <f>"902"</f>
        <v>902</v>
      </c>
      <c r="C1722" t="s">
        <v>49</v>
      </c>
      <c r="D1722" t="s">
        <v>3214</v>
      </c>
      <c r="E1722" t="str">
        <f>"7704340969"</f>
        <v>7704340969</v>
      </c>
      <c r="F1722" t="s">
        <v>76</v>
      </c>
      <c r="G1722" t="s">
        <v>244</v>
      </c>
      <c r="H1722" t="s">
        <v>3244</v>
      </c>
      <c r="I1722" t="s">
        <v>17</v>
      </c>
      <c r="J1722" t="s">
        <v>18</v>
      </c>
    </row>
    <row r="1723" spans="1:10" hidden="1" x14ac:dyDescent="0.25">
      <c r="A1723" t="s">
        <v>11</v>
      </c>
      <c r="B1723" t="str">
        <f>"930"</f>
        <v>930</v>
      </c>
      <c r="C1723" t="s">
        <v>49</v>
      </c>
      <c r="D1723" t="s">
        <v>3214</v>
      </c>
      <c r="E1723" t="str">
        <f>"7704340969"</f>
        <v>7704340969</v>
      </c>
      <c r="F1723" t="s">
        <v>76</v>
      </c>
      <c r="G1723" t="s">
        <v>246</v>
      </c>
      <c r="H1723" t="s">
        <v>3245</v>
      </c>
      <c r="I1723" t="s">
        <v>17</v>
      </c>
      <c r="J1723" t="s">
        <v>18</v>
      </c>
    </row>
    <row r="1724" spans="1:10" hidden="1" x14ac:dyDescent="0.25">
      <c r="A1724" t="s">
        <v>11</v>
      </c>
      <c r="B1724" t="str">
        <f>"974"</f>
        <v>974</v>
      </c>
      <c r="C1724" t="s">
        <v>49</v>
      </c>
      <c r="D1724" t="s">
        <v>3214</v>
      </c>
      <c r="E1724" t="str">
        <f>"7704340969"</f>
        <v>7704340969</v>
      </c>
      <c r="F1724" t="s">
        <v>76</v>
      </c>
      <c r="G1724" t="s">
        <v>248</v>
      </c>
      <c r="H1724" t="s">
        <v>3246</v>
      </c>
      <c r="I1724" t="s">
        <v>17</v>
      </c>
      <c r="J1724" t="s">
        <v>18</v>
      </c>
    </row>
    <row r="1725" spans="1:10" hidden="1" x14ac:dyDescent="0.25">
      <c r="A1725" t="s">
        <v>11</v>
      </c>
      <c r="B1725" t="str">
        <f>"02/00167715-23"</f>
        <v>02/00167715-23</v>
      </c>
      <c r="C1725" t="s">
        <v>65</v>
      </c>
      <c r="D1725" t="s">
        <v>3214</v>
      </c>
      <c r="E1725" t="str">
        <f>"7705034202"</f>
        <v>7705034202</v>
      </c>
      <c r="F1725" t="s">
        <v>407</v>
      </c>
      <c r="G1725" t="s">
        <v>3247</v>
      </c>
      <c r="H1725" t="s">
        <v>3248</v>
      </c>
      <c r="I1725" t="s">
        <v>17</v>
      </c>
      <c r="J1725" t="s">
        <v>18</v>
      </c>
    </row>
    <row r="1726" spans="1:10" hidden="1" x14ac:dyDescent="0.25">
      <c r="A1726" t="s">
        <v>11</v>
      </c>
      <c r="B1726" t="str">
        <f>"27948"</f>
        <v>27948</v>
      </c>
      <c r="C1726" t="s">
        <v>65</v>
      </c>
      <c r="D1726" t="s">
        <v>3214</v>
      </c>
      <c r="E1726" t="str">
        <f>"7729488999"</f>
        <v>7729488999</v>
      </c>
      <c r="F1726" t="s">
        <v>85</v>
      </c>
      <c r="G1726" t="s">
        <v>3249</v>
      </c>
      <c r="H1726" t="s">
        <v>3250</v>
      </c>
      <c r="I1726" t="s">
        <v>17</v>
      </c>
      <c r="J1726" t="s">
        <v>18</v>
      </c>
    </row>
    <row r="1727" spans="1:10" hidden="1" x14ac:dyDescent="0.25">
      <c r="A1727" t="s">
        <v>11</v>
      </c>
      <c r="B1727" t="str">
        <f>"27764"</f>
        <v>27764</v>
      </c>
      <c r="C1727" t="s">
        <v>12</v>
      </c>
      <c r="D1727" t="s">
        <v>3214</v>
      </c>
      <c r="E1727" t="str">
        <f>"7729488999"</f>
        <v>7729488999</v>
      </c>
      <c r="F1727" t="s">
        <v>85</v>
      </c>
      <c r="G1727" t="s">
        <v>3251</v>
      </c>
      <c r="H1727" t="s">
        <v>3252</v>
      </c>
      <c r="I1727" t="s">
        <v>17</v>
      </c>
      <c r="J1727" t="s">
        <v>18</v>
      </c>
    </row>
    <row r="1728" spans="1:10" hidden="1" x14ac:dyDescent="0.25">
      <c r="A1728" t="s">
        <v>11</v>
      </c>
      <c r="B1728" t="str">
        <f>"27744"</f>
        <v>27744</v>
      </c>
      <c r="C1728" t="s">
        <v>12</v>
      </c>
      <c r="D1728" t="s">
        <v>3214</v>
      </c>
      <c r="E1728" t="str">
        <f>"7729488999"</f>
        <v>7729488999</v>
      </c>
      <c r="F1728" t="s">
        <v>85</v>
      </c>
      <c r="G1728" t="s">
        <v>3253</v>
      </c>
      <c r="H1728" t="s">
        <v>3254</v>
      </c>
      <c r="I1728" t="s">
        <v>17</v>
      </c>
      <c r="J1728" t="s">
        <v>18</v>
      </c>
    </row>
    <row r="1729" spans="1:10" hidden="1" x14ac:dyDescent="0.25">
      <c r="A1729" t="s">
        <v>11</v>
      </c>
      <c r="B1729" t="str">
        <f>"27737"</f>
        <v>27737</v>
      </c>
      <c r="C1729" t="s">
        <v>12</v>
      </c>
      <c r="D1729" t="s">
        <v>3214</v>
      </c>
      <c r="E1729" t="str">
        <f>"7729488999"</f>
        <v>7729488999</v>
      </c>
      <c r="F1729" t="s">
        <v>85</v>
      </c>
      <c r="G1729" t="s">
        <v>3255</v>
      </c>
      <c r="H1729" t="s">
        <v>3256</v>
      </c>
      <c r="I1729" t="s">
        <v>17</v>
      </c>
      <c r="J1729" t="s">
        <v>18</v>
      </c>
    </row>
    <row r="1730" spans="1:10" hidden="1" x14ac:dyDescent="0.25">
      <c r="A1730" t="s">
        <v>11</v>
      </c>
      <c r="B1730" t="str">
        <f>"28179"</f>
        <v>28179</v>
      </c>
      <c r="C1730" t="s">
        <v>65</v>
      </c>
      <c r="D1730" t="s">
        <v>3214</v>
      </c>
      <c r="E1730" t="str">
        <f>"7729488999"</f>
        <v>7729488999</v>
      </c>
      <c r="F1730" t="s">
        <v>85</v>
      </c>
      <c r="G1730" t="s">
        <v>3257</v>
      </c>
      <c r="H1730" t="s">
        <v>3258</v>
      </c>
      <c r="I1730" t="s">
        <v>17</v>
      </c>
      <c r="J1730" t="s">
        <v>18</v>
      </c>
    </row>
    <row r="1731" spans="1:10" hidden="1" x14ac:dyDescent="0.25">
      <c r="A1731" t="s">
        <v>11</v>
      </c>
      <c r="B1731" t="str">
        <f>"114"</f>
        <v>114</v>
      </c>
      <c r="C1731" t="s">
        <v>49</v>
      </c>
      <c r="D1731" t="s">
        <v>3214</v>
      </c>
      <c r="E1731" t="str">
        <f>"7743128596"</f>
        <v>7743128596</v>
      </c>
      <c r="F1731" t="s">
        <v>351</v>
      </c>
      <c r="G1731" t="s">
        <v>352</v>
      </c>
      <c r="H1731" t="s">
        <v>3259</v>
      </c>
      <c r="I1731" t="s">
        <v>17</v>
      </c>
      <c r="J1731" t="s">
        <v>18</v>
      </c>
    </row>
    <row r="1732" spans="1:10" hidden="1" x14ac:dyDescent="0.25">
      <c r="A1732" t="s">
        <v>11</v>
      </c>
      <c r="B1732" t="str">
        <f>"УТ-405-000042"</f>
        <v>УТ-405-000042</v>
      </c>
      <c r="C1732" t="s">
        <v>100</v>
      </c>
      <c r="D1732" t="s">
        <v>3214</v>
      </c>
      <c r="E1732" t="str">
        <f>"7839454551"</f>
        <v>7839454551</v>
      </c>
      <c r="F1732" t="s">
        <v>57</v>
      </c>
      <c r="G1732" t="s">
        <v>3260</v>
      </c>
      <c r="H1732" t="s">
        <v>3261</v>
      </c>
      <c r="I1732" t="s">
        <v>17</v>
      </c>
      <c r="J1732" t="s">
        <v>18</v>
      </c>
    </row>
    <row r="1733" spans="1:10" hidden="1" x14ac:dyDescent="0.25">
      <c r="A1733" t="s">
        <v>11</v>
      </c>
      <c r="B1733" t="str">
        <f>"МОС0503/15"</f>
        <v>МОС0503/15</v>
      </c>
      <c r="C1733" t="s">
        <v>65</v>
      </c>
      <c r="D1733" t="s">
        <v>3214</v>
      </c>
      <c r="E1733" t="str">
        <f>"7735126034"</f>
        <v>7735126034</v>
      </c>
      <c r="F1733" t="s">
        <v>131</v>
      </c>
      <c r="G1733" t="s">
        <v>3262</v>
      </c>
      <c r="H1733" t="s">
        <v>3263</v>
      </c>
      <c r="I1733" t="s">
        <v>17</v>
      </c>
      <c r="J1733" t="s">
        <v>18</v>
      </c>
    </row>
    <row r="1734" spans="1:10" hidden="1" x14ac:dyDescent="0.25">
      <c r="A1734" t="s">
        <v>11</v>
      </c>
      <c r="B1734" t="str">
        <f>"169"</f>
        <v>169</v>
      </c>
      <c r="C1734" t="s">
        <v>49</v>
      </c>
      <c r="D1734" t="s">
        <v>3214</v>
      </c>
      <c r="E1734" t="str">
        <f>"7702392168"</f>
        <v>7702392168</v>
      </c>
      <c r="F1734" t="s">
        <v>97</v>
      </c>
      <c r="G1734" t="s">
        <v>3264</v>
      </c>
      <c r="H1734" t="s">
        <v>3265</v>
      </c>
      <c r="I1734" t="s">
        <v>17</v>
      </c>
      <c r="J1734" t="s">
        <v>18</v>
      </c>
    </row>
    <row r="1735" spans="1:10" hidden="1" x14ac:dyDescent="0.25">
      <c r="A1735" t="s">
        <v>11</v>
      </c>
      <c r="B1735" t="str">
        <f>"UT-108489"</f>
        <v>UT-108489</v>
      </c>
      <c r="C1735" t="s">
        <v>100</v>
      </c>
      <c r="D1735" t="s">
        <v>3214</v>
      </c>
      <c r="E1735" t="str">
        <f>"7806385951"</f>
        <v>7806385951</v>
      </c>
      <c r="F1735" t="s">
        <v>26</v>
      </c>
      <c r="G1735" t="s">
        <v>220</v>
      </c>
      <c r="H1735" t="s">
        <v>3266</v>
      </c>
      <c r="I1735" t="s">
        <v>17</v>
      </c>
      <c r="J1735" t="s">
        <v>18</v>
      </c>
    </row>
    <row r="1736" spans="1:10" hidden="1" x14ac:dyDescent="0.25">
      <c r="A1736" t="s">
        <v>11</v>
      </c>
      <c r="B1736" t="str">
        <f>"UT-108491"</f>
        <v>UT-108491</v>
      </c>
      <c r="C1736" t="s">
        <v>100</v>
      </c>
      <c r="D1736" t="s">
        <v>3214</v>
      </c>
      <c r="E1736" t="str">
        <f>"7806385951"</f>
        <v>7806385951</v>
      </c>
      <c r="F1736" t="s">
        <v>26</v>
      </c>
      <c r="G1736" t="s">
        <v>3267</v>
      </c>
      <c r="H1736" t="s">
        <v>3268</v>
      </c>
      <c r="I1736" t="s">
        <v>17</v>
      </c>
      <c r="J1736" t="s">
        <v>18</v>
      </c>
    </row>
    <row r="1737" spans="1:10" x14ac:dyDescent="0.25">
      <c r="A1737" t="s">
        <v>11</v>
      </c>
      <c r="B1737" t="str">
        <f>"UT-51365"</f>
        <v>UT-51365</v>
      </c>
      <c r="C1737" t="s">
        <v>3269</v>
      </c>
      <c r="D1737" t="s">
        <v>3214</v>
      </c>
      <c r="E1737" t="str">
        <f>"7806385951"</f>
        <v>7806385951</v>
      </c>
      <c r="F1737" t="s">
        <v>26</v>
      </c>
      <c r="G1737" t="s">
        <v>3270</v>
      </c>
      <c r="H1737" t="s">
        <v>3271</v>
      </c>
      <c r="I1737" t="s">
        <v>17</v>
      </c>
      <c r="J1737" t="s">
        <v>166</v>
      </c>
    </row>
    <row r="1738" spans="1:10" hidden="1" x14ac:dyDescent="0.25">
      <c r="A1738" t="s">
        <v>11</v>
      </c>
      <c r="B1738" t="str">
        <f>"2023/30/03/0136771/38"</f>
        <v>2023/30/03/0136771/38</v>
      </c>
      <c r="C1738" t="s">
        <v>65</v>
      </c>
      <c r="D1738" t="s">
        <v>3214</v>
      </c>
      <c r="E1738" t="str">
        <f>"7718151150"</f>
        <v>7718151150</v>
      </c>
      <c r="F1738" t="s">
        <v>54</v>
      </c>
      <c r="G1738" t="s">
        <v>3272</v>
      </c>
      <c r="H1738" t="s">
        <v>3273</v>
      </c>
      <c r="I1738" t="s">
        <v>17</v>
      </c>
      <c r="J1738" t="s">
        <v>18</v>
      </c>
    </row>
    <row r="1739" spans="1:10" hidden="1" x14ac:dyDescent="0.25">
      <c r="A1739" t="s">
        <v>11</v>
      </c>
      <c r="B1739" t="str">
        <f>"2023/30/03/0136772/38"</f>
        <v>2023/30/03/0136772/38</v>
      </c>
      <c r="C1739" t="s">
        <v>65</v>
      </c>
      <c r="D1739" t="s">
        <v>3214</v>
      </c>
      <c r="E1739" t="str">
        <f>"7718151150"</f>
        <v>7718151150</v>
      </c>
      <c r="F1739" t="s">
        <v>54</v>
      </c>
      <c r="G1739" t="s">
        <v>55</v>
      </c>
      <c r="H1739" t="s">
        <v>3274</v>
      </c>
      <c r="I1739" t="s">
        <v>17</v>
      </c>
      <c r="J1739" t="s">
        <v>18</v>
      </c>
    </row>
    <row r="1740" spans="1:10" hidden="1" x14ac:dyDescent="0.25">
      <c r="A1740" t="s">
        <v>11</v>
      </c>
      <c r="B1740" t="str">
        <f>"2023/30/03/0136770/38"</f>
        <v>2023/30/03/0136770/38</v>
      </c>
      <c r="C1740" t="s">
        <v>65</v>
      </c>
      <c r="D1740" t="s">
        <v>3214</v>
      </c>
      <c r="E1740" t="str">
        <f>"7718151150"</f>
        <v>7718151150</v>
      </c>
      <c r="F1740" t="s">
        <v>54</v>
      </c>
      <c r="G1740" t="s">
        <v>3275</v>
      </c>
      <c r="H1740" t="s">
        <v>3276</v>
      </c>
      <c r="I1740" t="s">
        <v>17</v>
      </c>
      <c r="J1740" t="s">
        <v>18</v>
      </c>
    </row>
    <row r="1741" spans="1:10" hidden="1" x14ac:dyDescent="0.25">
      <c r="A1741" t="s">
        <v>11</v>
      </c>
      <c r="B1741" t="str">
        <f>"2023/30/03/0136709/38"</f>
        <v>2023/30/03/0136709/38</v>
      </c>
      <c r="C1741" t="s">
        <v>65</v>
      </c>
      <c r="D1741" t="s">
        <v>3214</v>
      </c>
      <c r="E1741" t="str">
        <f>"7718151150"</f>
        <v>7718151150</v>
      </c>
      <c r="F1741" t="s">
        <v>54</v>
      </c>
      <c r="G1741" t="s">
        <v>1439</v>
      </c>
      <c r="H1741" t="s">
        <v>3277</v>
      </c>
      <c r="I1741" t="s">
        <v>17</v>
      </c>
      <c r="J1741" t="s">
        <v>18</v>
      </c>
    </row>
    <row r="1742" spans="1:10" hidden="1" x14ac:dyDescent="0.25">
      <c r="A1742" t="s">
        <v>11</v>
      </c>
      <c r="B1742" t="str">
        <f>"1080"</f>
        <v>1080</v>
      </c>
      <c r="C1742" t="s">
        <v>49</v>
      </c>
      <c r="D1742" t="s">
        <v>3214</v>
      </c>
      <c r="E1742" t="str">
        <f>"9729019493"</f>
        <v>9729019493</v>
      </c>
      <c r="F1742" t="s">
        <v>560</v>
      </c>
      <c r="G1742" t="s">
        <v>1335</v>
      </c>
      <c r="H1742" t="s">
        <v>3278</v>
      </c>
      <c r="I1742" t="s">
        <v>17</v>
      </c>
      <c r="J1742" t="s">
        <v>18</v>
      </c>
    </row>
    <row r="1743" spans="1:10" hidden="1" x14ac:dyDescent="0.25">
      <c r="A1743" t="s">
        <v>11</v>
      </c>
      <c r="B1743" t="str">
        <f>"28593"</f>
        <v>28593</v>
      </c>
      <c r="C1743" t="s">
        <v>106</v>
      </c>
      <c r="D1743" t="s">
        <v>3214</v>
      </c>
      <c r="E1743" t="str">
        <f>"7729488999"</f>
        <v>7729488999</v>
      </c>
      <c r="F1743" t="s">
        <v>85</v>
      </c>
      <c r="G1743" t="s">
        <v>3279</v>
      </c>
      <c r="H1743" t="s">
        <v>3280</v>
      </c>
      <c r="I1743" t="s">
        <v>17</v>
      </c>
      <c r="J1743" t="s">
        <v>18</v>
      </c>
    </row>
    <row r="1744" spans="1:10" hidden="1" x14ac:dyDescent="0.25">
      <c r="A1744" t="s">
        <v>11</v>
      </c>
      <c r="B1744" t="str">
        <f>"199350/777E"</f>
        <v>199350/777E</v>
      </c>
      <c r="C1744" t="s">
        <v>106</v>
      </c>
      <c r="D1744" t="s">
        <v>3214</v>
      </c>
      <c r="E1744" t="str">
        <f>"5003052454"</f>
        <v>5003052454</v>
      </c>
      <c r="F1744" t="s">
        <v>14</v>
      </c>
      <c r="G1744" t="s">
        <v>3281</v>
      </c>
      <c r="H1744" t="s">
        <v>3282</v>
      </c>
      <c r="I1744" t="s">
        <v>17</v>
      </c>
      <c r="J1744" t="s">
        <v>18</v>
      </c>
    </row>
    <row r="1745" spans="1:10" hidden="1" x14ac:dyDescent="0.25">
      <c r="A1745" t="s">
        <v>11</v>
      </c>
      <c r="B1745" t="str">
        <f>"199351/777E"</f>
        <v>199351/777E</v>
      </c>
      <c r="C1745" t="s">
        <v>106</v>
      </c>
      <c r="D1745" t="s">
        <v>3214</v>
      </c>
      <c r="E1745" t="str">
        <f>"5003052454"</f>
        <v>5003052454</v>
      </c>
      <c r="F1745" t="s">
        <v>14</v>
      </c>
      <c r="G1745" t="s">
        <v>3283</v>
      </c>
      <c r="H1745" t="s">
        <v>3284</v>
      </c>
      <c r="I1745" t="s">
        <v>17</v>
      </c>
      <c r="J1745" t="s">
        <v>18</v>
      </c>
    </row>
    <row r="1746" spans="1:10" hidden="1" x14ac:dyDescent="0.25">
      <c r="A1746" t="s">
        <v>11</v>
      </c>
      <c r="B1746" t="str">
        <f>"199353/777E"</f>
        <v>199353/777E</v>
      </c>
      <c r="C1746" t="s">
        <v>106</v>
      </c>
      <c r="D1746" t="s">
        <v>3214</v>
      </c>
      <c r="E1746" t="str">
        <f>"5003052454"</f>
        <v>5003052454</v>
      </c>
      <c r="F1746" t="s">
        <v>14</v>
      </c>
      <c r="G1746" t="s">
        <v>3285</v>
      </c>
      <c r="H1746" t="s">
        <v>3286</v>
      </c>
      <c r="I1746" t="s">
        <v>17</v>
      </c>
      <c r="J1746" t="s">
        <v>18</v>
      </c>
    </row>
    <row r="1747" spans="1:10" hidden="1" x14ac:dyDescent="0.25">
      <c r="A1747" t="s">
        <v>11</v>
      </c>
      <c r="B1747" t="str">
        <f>"199352/777E"</f>
        <v>199352/777E</v>
      </c>
      <c r="C1747" t="s">
        <v>106</v>
      </c>
      <c r="D1747" t="s">
        <v>3214</v>
      </c>
      <c r="E1747" t="str">
        <f>"5003052454"</f>
        <v>5003052454</v>
      </c>
      <c r="F1747" t="s">
        <v>14</v>
      </c>
      <c r="G1747" t="s">
        <v>3287</v>
      </c>
      <c r="H1747" t="s">
        <v>3288</v>
      </c>
      <c r="I1747" t="s">
        <v>17</v>
      </c>
      <c r="J1747" t="s">
        <v>18</v>
      </c>
    </row>
    <row r="1748" spans="1:10" hidden="1" x14ac:dyDescent="0.25">
      <c r="A1748" t="s">
        <v>11</v>
      </c>
      <c r="B1748" t="str">
        <f>"UT-109757"</f>
        <v>UT-109757</v>
      </c>
      <c r="C1748" t="s">
        <v>106</v>
      </c>
      <c r="D1748" t="s">
        <v>3214</v>
      </c>
      <c r="E1748" t="str">
        <f t="shared" ref="E1748:E1753" si="75">"7806385951"</f>
        <v>7806385951</v>
      </c>
      <c r="F1748" t="s">
        <v>26</v>
      </c>
      <c r="G1748" t="s">
        <v>3289</v>
      </c>
      <c r="H1748" t="s">
        <v>3290</v>
      </c>
      <c r="I1748" t="s">
        <v>17</v>
      </c>
      <c r="J1748" t="s">
        <v>18</v>
      </c>
    </row>
    <row r="1749" spans="1:10" hidden="1" x14ac:dyDescent="0.25">
      <c r="A1749" t="s">
        <v>11</v>
      </c>
      <c r="B1749" t="str">
        <f>"UT-109601"</f>
        <v>UT-109601</v>
      </c>
      <c r="C1749" t="s">
        <v>106</v>
      </c>
      <c r="D1749" t="s">
        <v>3214</v>
      </c>
      <c r="E1749" t="str">
        <f t="shared" si="75"/>
        <v>7806385951</v>
      </c>
      <c r="F1749" t="s">
        <v>26</v>
      </c>
      <c r="G1749" t="s">
        <v>3291</v>
      </c>
      <c r="H1749" t="s">
        <v>3292</v>
      </c>
      <c r="I1749" t="s">
        <v>17</v>
      </c>
      <c r="J1749" t="s">
        <v>18</v>
      </c>
    </row>
    <row r="1750" spans="1:10" hidden="1" x14ac:dyDescent="0.25">
      <c r="A1750" t="s">
        <v>11</v>
      </c>
      <c r="B1750" t="str">
        <f>"UT-109670"</f>
        <v>UT-109670</v>
      </c>
      <c r="C1750" t="s">
        <v>106</v>
      </c>
      <c r="D1750" t="s">
        <v>3214</v>
      </c>
      <c r="E1750" t="str">
        <f t="shared" si="75"/>
        <v>7806385951</v>
      </c>
      <c r="F1750" t="s">
        <v>26</v>
      </c>
      <c r="G1750" t="s">
        <v>3293</v>
      </c>
      <c r="H1750" t="s">
        <v>3294</v>
      </c>
      <c r="I1750" t="s">
        <v>17</v>
      </c>
      <c r="J1750" t="s">
        <v>18</v>
      </c>
    </row>
    <row r="1751" spans="1:10" hidden="1" x14ac:dyDescent="0.25">
      <c r="A1751" t="s">
        <v>11</v>
      </c>
      <c r="B1751" t="str">
        <f>"UT-109705"</f>
        <v>UT-109705</v>
      </c>
      <c r="C1751" t="s">
        <v>106</v>
      </c>
      <c r="D1751" t="s">
        <v>3214</v>
      </c>
      <c r="E1751" t="str">
        <f t="shared" si="75"/>
        <v>7806385951</v>
      </c>
      <c r="F1751" t="s">
        <v>26</v>
      </c>
      <c r="G1751" t="s">
        <v>3295</v>
      </c>
      <c r="H1751" t="s">
        <v>3296</v>
      </c>
      <c r="I1751" t="s">
        <v>17</v>
      </c>
      <c r="J1751" t="s">
        <v>18</v>
      </c>
    </row>
    <row r="1752" spans="1:10" hidden="1" x14ac:dyDescent="0.25">
      <c r="A1752" t="s">
        <v>11</v>
      </c>
      <c r="B1752" t="str">
        <f>"UT-109706"</f>
        <v>UT-109706</v>
      </c>
      <c r="C1752" t="s">
        <v>106</v>
      </c>
      <c r="D1752" t="s">
        <v>3214</v>
      </c>
      <c r="E1752" t="str">
        <f t="shared" si="75"/>
        <v>7806385951</v>
      </c>
      <c r="F1752" t="s">
        <v>26</v>
      </c>
      <c r="G1752" t="s">
        <v>1465</v>
      </c>
      <c r="H1752" t="s">
        <v>3297</v>
      </c>
      <c r="I1752" t="s">
        <v>17</v>
      </c>
      <c r="J1752" t="s">
        <v>18</v>
      </c>
    </row>
    <row r="1753" spans="1:10" hidden="1" x14ac:dyDescent="0.25">
      <c r="A1753" t="s">
        <v>11</v>
      </c>
      <c r="B1753" t="str">
        <f>"UT-109673"</f>
        <v>UT-109673</v>
      </c>
      <c r="C1753" t="s">
        <v>106</v>
      </c>
      <c r="D1753" t="s">
        <v>3214</v>
      </c>
      <c r="E1753" t="str">
        <f t="shared" si="75"/>
        <v>7806385951</v>
      </c>
      <c r="F1753" t="s">
        <v>26</v>
      </c>
      <c r="G1753" t="s">
        <v>3298</v>
      </c>
      <c r="H1753" t="s">
        <v>3299</v>
      </c>
      <c r="I1753" t="s">
        <v>17</v>
      </c>
      <c r="J1753" t="s">
        <v>18</v>
      </c>
    </row>
    <row r="1754" spans="1:10" hidden="1" x14ac:dyDescent="0.25">
      <c r="A1754" t="s">
        <v>11</v>
      </c>
      <c r="B1754" t="str">
        <f>"28361213"</f>
        <v>28361213</v>
      </c>
      <c r="C1754" t="s">
        <v>100</v>
      </c>
      <c r="D1754" t="s">
        <v>3214</v>
      </c>
      <c r="E1754" t="str">
        <f>"7721793895"</f>
        <v>7721793895</v>
      </c>
      <c r="F1754" t="s">
        <v>109</v>
      </c>
      <c r="G1754" t="s">
        <v>3300</v>
      </c>
      <c r="H1754" t="s">
        <v>3301</v>
      </c>
      <c r="I1754" t="s">
        <v>17</v>
      </c>
      <c r="J1754" t="s">
        <v>18</v>
      </c>
    </row>
    <row r="1755" spans="1:10" hidden="1" x14ac:dyDescent="0.25">
      <c r="A1755" t="s">
        <v>11</v>
      </c>
      <c r="B1755" t="str">
        <f>"02/00170281-23"</f>
        <v>02/00170281-23</v>
      </c>
      <c r="C1755" t="s">
        <v>106</v>
      </c>
      <c r="D1755" t="s">
        <v>3214</v>
      </c>
      <c r="E1755" t="str">
        <f>"7705034202"</f>
        <v>7705034202</v>
      </c>
      <c r="F1755" t="s">
        <v>407</v>
      </c>
      <c r="G1755" t="s">
        <v>3097</v>
      </c>
      <c r="H1755" t="s">
        <v>3302</v>
      </c>
      <c r="I1755" t="s">
        <v>17</v>
      </c>
      <c r="J1755" t="s">
        <v>18</v>
      </c>
    </row>
    <row r="1756" spans="1:10" hidden="1" x14ac:dyDescent="0.25">
      <c r="A1756" t="s">
        <v>11</v>
      </c>
      <c r="B1756" t="str">
        <f>"02/00170278-23"</f>
        <v>02/00170278-23</v>
      </c>
      <c r="C1756" t="s">
        <v>106</v>
      </c>
      <c r="D1756" t="s">
        <v>3214</v>
      </c>
      <c r="E1756" t="str">
        <f>"7705034202"</f>
        <v>7705034202</v>
      </c>
      <c r="F1756" t="s">
        <v>407</v>
      </c>
      <c r="G1756" t="s">
        <v>3303</v>
      </c>
      <c r="H1756" t="s">
        <v>3304</v>
      </c>
      <c r="I1756" t="s">
        <v>17</v>
      </c>
      <c r="J1756" t="s">
        <v>18</v>
      </c>
    </row>
    <row r="1757" spans="1:10" hidden="1" x14ac:dyDescent="0.25">
      <c r="A1757" t="s">
        <v>11</v>
      </c>
      <c r="B1757" t="str">
        <f>"5050/8174496990"</f>
        <v>5050/8174496990</v>
      </c>
      <c r="C1757" t="s">
        <v>106</v>
      </c>
      <c r="D1757" t="s">
        <v>3214</v>
      </c>
      <c r="E1757" t="str">
        <f>"5032260402"</f>
        <v>5032260402</v>
      </c>
      <c r="F1757" t="s">
        <v>341</v>
      </c>
      <c r="G1757" t="s">
        <v>3305</v>
      </c>
      <c r="H1757" t="s">
        <v>3306</v>
      </c>
      <c r="I1757" t="s">
        <v>17</v>
      </c>
      <c r="J1757" t="s">
        <v>18</v>
      </c>
    </row>
    <row r="1758" spans="1:10" hidden="1" x14ac:dyDescent="0.25">
      <c r="A1758" t="s">
        <v>11</v>
      </c>
      <c r="B1758" t="str">
        <f>"UT-109749"</f>
        <v>UT-109749</v>
      </c>
      <c r="C1758" t="s">
        <v>106</v>
      </c>
      <c r="D1758" t="s">
        <v>3214</v>
      </c>
      <c r="E1758" t="str">
        <f>"7806385951"</f>
        <v>7806385951</v>
      </c>
      <c r="F1758" t="s">
        <v>26</v>
      </c>
      <c r="G1758" t="s">
        <v>3307</v>
      </c>
      <c r="H1758" t="s">
        <v>3308</v>
      </c>
      <c r="I1758" t="s">
        <v>17</v>
      </c>
      <c r="J1758" t="s">
        <v>18</v>
      </c>
    </row>
    <row r="1759" spans="1:10" hidden="1" x14ac:dyDescent="0.25">
      <c r="A1759" t="s">
        <v>11</v>
      </c>
      <c r="B1759" t="str">
        <f>"UT-109610"</f>
        <v>UT-109610</v>
      </c>
      <c r="C1759" t="s">
        <v>106</v>
      </c>
      <c r="D1759" t="s">
        <v>3214</v>
      </c>
      <c r="E1759" t="str">
        <f>"7806385951"</f>
        <v>7806385951</v>
      </c>
      <c r="F1759" t="s">
        <v>26</v>
      </c>
      <c r="G1759" t="s">
        <v>3309</v>
      </c>
      <c r="H1759" t="s">
        <v>3310</v>
      </c>
      <c r="I1759" t="s">
        <v>17</v>
      </c>
      <c r="J1759" t="s">
        <v>18</v>
      </c>
    </row>
    <row r="1760" spans="1:10" hidden="1" x14ac:dyDescent="0.25">
      <c r="A1760" t="s">
        <v>11</v>
      </c>
      <c r="B1760" t="str">
        <f>"UT-109707"</f>
        <v>UT-109707</v>
      </c>
      <c r="C1760" t="s">
        <v>106</v>
      </c>
      <c r="D1760" t="s">
        <v>3214</v>
      </c>
      <c r="E1760" t="str">
        <f>"7806385951"</f>
        <v>7806385951</v>
      </c>
      <c r="F1760" t="s">
        <v>26</v>
      </c>
      <c r="G1760" t="s">
        <v>3311</v>
      </c>
      <c r="H1760" t="s">
        <v>3312</v>
      </c>
      <c r="I1760" t="s">
        <v>17</v>
      </c>
      <c r="J1760" t="s">
        <v>18</v>
      </c>
    </row>
    <row r="1761" spans="1:10" hidden="1" x14ac:dyDescent="0.25">
      <c r="A1761" t="s">
        <v>11</v>
      </c>
      <c r="B1761" t="str">
        <f>"UT-109759"</f>
        <v>UT-109759</v>
      </c>
      <c r="C1761" t="s">
        <v>106</v>
      </c>
      <c r="D1761" t="s">
        <v>3214</v>
      </c>
      <c r="E1761" t="str">
        <f>"7806385951"</f>
        <v>7806385951</v>
      </c>
      <c r="F1761" t="s">
        <v>26</v>
      </c>
      <c r="G1761" t="s">
        <v>1707</v>
      </c>
      <c r="H1761" t="s">
        <v>3313</v>
      </c>
      <c r="I1761" t="s">
        <v>17</v>
      </c>
      <c r="J1761" t="s">
        <v>18</v>
      </c>
    </row>
    <row r="1762" spans="1:10" hidden="1" x14ac:dyDescent="0.25">
      <c r="A1762" t="s">
        <v>11</v>
      </c>
      <c r="B1762" t="str">
        <f>"28367744"</f>
        <v>28367744</v>
      </c>
      <c r="C1762" t="s">
        <v>100</v>
      </c>
      <c r="D1762" t="s">
        <v>3214</v>
      </c>
      <c r="E1762" t="str">
        <f>"7721793895"</f>
        <v>7721793895</v>
      </c>
      <c r="F1762" t="s">
        <v>109</v>
      </c>
      <c r="G1762" t="s">
        <v>3314</v>
      </c>
      <c r="H1762" t="s">
        <v>3315</v>
      </c>
      <c r="I1762" t="s">
        <v>17</v>
      </c>
      <c r="J1762" t="s">
        <v>18</v>
      </c>
    </row>
    <row r="1763" spans="1:10" hidden="1" x14ac:dyDescent="0.25">
      <c r="A1763" t="s">
        <v>11</v>
      </c>
      <c r="B1763" t="str">
        <f>"28368057"</f>
        <v>28368057</v>
      </c>
      <c r="C1763" t="s">
        <v>100</v>
      </c>
      <c r="D1763" t="s">
        <v>3214</v>
      </c>
      <c r="E1763" t="str">
        <f>"7721793895"</f>
        <v>7721793895</v>
      </c>
      <c r="F1763" t="s">
        <v>109</v>
      </c>
      <c r="G1763" t="s">
        <v>3316</v>
      </c>
      <c r="H1763" t="s">
        <v>3317</v>
      </c>
      <c r="I1763" t="s">
        <v>17</v>
      </c>
      <c r="J1763" t="s">
        <v>18</v>
      </c>
    </row>
    <row r="1764" spans="1:10" hidden="1" x14ac:dyDescent="0.25">
      <c r="A1764" t="s">
        <v>11</v>
      </c>
      <c r="B1764" t="str">
        <f>"2023/30/03/0137436/41"</f>
        <v>2023/30/03/0137436/41</v>
      </c>
      <c r="C1764" t="s">
        <v>100</v>
      </c>
      <c r="D1764" t="s">
        <v>3214</v>
      </c>
      <c r="E1764" t="str">
        <f>"7718151150"</f>
        <v>7718151150</v>
      </c>
      <c r="F1764" t="s">
        <v>54</v>
      </c>
      <c r="G1764" t="s">
        <v>1444</v>
      </c>
      <c r="H1764" t="s">
        <v>3318</v>
      </c>
      <c r="I1764" t="s">
        <v>17</v>
      </c>
      <c r="J1764" t="s">
        <v>18</v>
      </c>
    </row>
    <row r="1765" spans="1:10" hidden="1" x14ac:dyDescent="0.25">
      <c r="A1765" t="s">
        <v>11</v>
      </c>
      <c r="B1765" t="str">
        <f>"2023/30/03/0138419/38"</f>
        <v>2023/30/03/0138419/38</v>
      </c>
      <c r="C1765" t="s">
        <v>100</v>
      </c>
      <c r="D1765" t="s">
        <v>3214</v>
      </c>
      <c r="E1765" t="str">
        <f>"7718151150"</f>
        <v>7718151150</v>
      </c>
      <c r="F1765" t="s">
        <v>54</v>
      </c>
      <c r="G1765" t="s">
        <v>61</v>
      </c>
      <c r="H1765" t="s">
        <v>3319</v>
      </c>
      <c r="I1765" t="s">
        <v>17</v>
      </c>
      <c r="J1765" t="s">
        <v>18</v>
      </c>
    </row>
    <row r="1766" spans="1:10" hidden="1" x14ac:dyDescent="0.25">
      <c r="A1766" t="s">
        <v>11</v>
      </c>
      <c r="B1766" t="str">
        <f>"UT-108490"</f>
        <v>UT-108490</v>
      </c>
      <c r="C1766" t="s">
        <v>100</v>
      </c>
      <c r="D1766" t="s">
        <v>3214</v>
      </c>
      <c r="E1766" t="str">
        <f>"7806385951"</f>
        <v>7806385951</v>
      </c>
      <c r="F1766" t="s">
        <v>26</v>
      </c>
      <c r="G1766" t="s">
        <v>3320</v>
      </c>
      <c r="H1766" t="s">
        <v>3321</v>
      </c>
      <c r="I1766" t="s">
        <v>17</v>
      </c>
      <c r="J1766" t="s">
        <v>18</v>
      </c>
    </row>
    <row r="1767" spans="1:10" hidden="1" x14ac:dyDescent="0.25">
      <c r="A1767" t="s">
        <v>11</v>
      </c>
      <c r="B1767" t="str">
        <f>"10740505-09"</f>
        <v>10740505-09</v>
      </c>
      <c r="C1767" t="s">
        <v>106</v>
      </c>
      <c r="D1767" t="s">
        <v>3214</v>
      </c>
      <c r="E1767" t="str">
        <f>"7709242041"</f>
        <v>7709242041</v>
      </c>
      <c r="F1767" t="s">
        <v>1502</v>
      </c>
      <c r="G1767" t="s">
        <v>3322</v>
      </c>
      <c r="H1767" t="s">
        <v>3323</v>
      </c>
      <c r="I1767" t="s">
        <v>17</v>
      </c>
      <c r="J1767" t="s">
        <v>18</v>
      </c>
    </row>
    <row r="1768" spans="1:10" hidden="1" x14ac:dyDescent="0.25">
      <c r="A1768" t="s">
        <v>11</v>
      </c>
      <c r="B1768" t="str">
        <f>"02/00172630-23"</f>
        <v>02/00172630-23</v>
      </c>
      <c r="C1768" t="s">
        <v>420</v>
      </c>
      <c r="D1768" t="s">
        <v>3214</v>
      </c>
      <c r="E1768" t="str">
        <f>"7705034202"</f>
        <v>7705034202</v>
      </c>
      <c r="F1768" t="s">
        <v>407</v>
      </c>
      <c r="G1768" t="s">
        <v>3324</v>
      </c>
      <c r="H1768" t="s">
        <v>3325</v>
      </c>
      <c r="I1768" t="s">
        <v>17</v>
      </c>
      <c r="J1768" t="s">
        <v>18</v>
      </c>
    </row>
    <row r="1769" spans="1:10" hidden="1" x14ac:dyDescent="0.25">
      <c r="A1769" t="s">
        <v>11</v>
      </c>
      <c r="B1769" t="str">
        <f>"02/00173173-23"</f>
        <v>02/00173173-23</v>
      </c>
      <c r="C1769" t="s">
        <v>420</v>
      </c>
      <c r="D1769" t="s">
        <v>3214</v>
      </c>
      <c r="E1769" t="str">
        <f>"7705034202"</f>
        <v>7705034202</v>
      </c>
      <c r="F1769" t="s">
        <v>407</v>
      </c>
      <c r="G1769" t="s">
        <v>3326</v>
      </c>
      <c r="H1769" t="s">
        <v>3327</v>
      </c>
      <c r="I1769" t="s">
        <v>17</v>
      </c>
      <c r="J1769" t="s">
        <v>18</v>
      </c>
    </row>
    <row r="1770" spans="1:10" hidden="1" x14ac:dyDescent="0.25">
      <c r="A1770" t="s">
        <v>11</v>
      </c>
      <c r="B1770" t="str">
        <f>"UT-105012"</f>
        <v>UT-105012</v>
      </c>
      <c r="C1770" t="s">
        <v>12</v>
      </c>
      <c r="D1770" t="s">
        <v>3328</v>
      </c>
      <c r="E1770" t="str">
        <f t="shared" ref="E1770:E1785" si="76">"7806385951"</f>
        <v>7806385951</v>
      </c>
      <c r="F1770" t="s">
        <v>26</v>
      </c>
      <c r="G1770" t="s">
        <v>3329</v>
      </c>
      <c r="H1770" t="s">
        <v>3330</v>
      </c>
      <c r="I1770" t="s">
        <v>17</v>
      </c>
      <c r="J1770" t="s">
        <v>18</v>
      </c>
    </row>
    <row r="1771" spans="1:10" hidden="1" x14ac:dyDescent="0.25">
      <c r="A1771" t="s">
        <v>11</v>
      </c>
      <c r="B1771" t="str">
        <f>"UT-105017"</f>
        <v>UT-105017</v>
      </c>
      <c r="C1771" t="s">
        <v>12</v>
      </c>
      <c r="D1771" t="s">
        <v>3328</v>
      </c>
      <c r="E1771" t="str">
        <f t="shared" si="76"/>
        <v>7806385951</v>
      </c>
      <c r="F1771" t="s">
        <v>26</v>
      </c>
      <c r="G1771" t="s">
        <v>3331</v>
      </c>
      <c r="H1771" t="s">
        <v>3332</v>
      </c>
      <c r="I1771" t="s">
        <v>17</v>
      </c>
      <c r="J1771" t="s">
        <v>18</v>
      </c>
    </row>
    <row r="1772" spans="1:10" hidden="1" x14ac:dyDescent="0.25">
      <c r="A1772" t="s">
        <v>11</v>
      </c>
      <c r="B1772" t="str">
        <f>"UT-105401"</f>
        <v>UT-105401</v>
      </c>
      <c r="C1772" t="s">
        <v>12</v>
      </c>
      <c r="D1772" t="s">
        <v>3328</v>
      </c>
      <c r="E1772" t="str">
        <f t="shared" si="76"/>
        <v>7806385951</v>
      </c>
      <c r="F1772" t="s">
        <v>26</v>
      </c>
      <c r="G1772" t="s">
        <v>3333</v>
      </c>
      <c r="H1772" t="s">
        <v>3334</v>
      </c>
      <c r="I1772" t="s">
        <v>17</v>
      </c>
      <c r="J1772" t="s">
        <v>18</v>
      </c>
    </row>
    <row r="1773" spans="1:10" hidden="1" x14ac:dyDescent="0.25">
      <c r="A1773" t="s">
        <v>11</v>
      </c>
      <c r="B1773" t="str">
        <f>"UT-105402"</f>
        <v>UT-105402</v>
      </c>
      <c r="C1773" t="s">
        <v>12</v>
      </c>
      <c r="D1773" t="s">
        <v>3328</v>
      </c>
      <c r="E1773" t="str">
        <f t="shared" si="76"/>
        <v>7806385951</v>
      </c>
      <c r="F1773" t="s">
        <v>26</v>
      </c>
      <c r="G1773" t="s">
        <v>3335</v>
      </c>
      <c r="H1773" t="s">
        <v>3336</v>
      </c>
      <c r="I1773" t="s">
        <v>17</v>
      </c>
      <c r="J1773" t="s">
        <v>18</v>
      </c>
    </row>
    <row r="1774" spans="1:10" hidden="1" x14ac:dyDescent="0.25">
      <c r="A1774" t="s">
        <v>11</v>
      </c>
      <c r="B1774" t="str">
        <f>"UT-105404"</f>
        <v>UT-105404</v>
      </c>
      <c r="C1774" t="s">
        <v>12</v>
      </c>
      <c r="D1774" t="s">
        <v>3328</v>
      </c>
      <c r="E1774" t="str">
        <f t="shared" si="76"/>
        <v>7806385951</v>
      </c>
      <c r="F1774" t="s">
        <v>26</v>
      </c>
      <c r="G1774" t="s">
        <v>3337</v>
      </c>
      <c r="H1774" t="s">
        <v>3338</v>
      </c>
      <c r="I1774" t="s">
        <v>17</v>
      </c>
      <c r="J1774" t="s">
        <v>18</v>
      </c>
    </row>
    <row r="1775" spans="1:10" hidden="1" x14ac:dyDescent="0.25">
      <c r="A1775" t="s">
        <v>11</v>
      </c>
      <c r="B1775" t="str">
        <f>"UT-105005"</f>
        <v>UT-105005</v>
      </c>
      <c r="C1775" t="s">
        <v>12</v>
      </c>
      <c r="D1775" t="s">
        <v>3328</v>
      </c>
      <c r="E1775" t="str">
        <f t="shared" si="76"/>
        <v>7806385951</v>
      </c>
      <c r="F1775" t="s">
        <v>26</v>
      </c>
      <c r="G1775" t="s">
        <v>3339</v>
      </c>
      <c r="H1775" t="s">
        <v>3340</v>
      </c>
      <c r="I1775" t="s">
        <v>17</v>
      </c>
      <c r="J1775" t="s">
        <v>18</v>
      </c>
    </row>
    <row r="1776" spans="1:10" hidden="1" x14ac:dyDescent="0.25">
      <c r="A1776" t="s">
        <v>11</v>
      </c>
      <c r="B1776" t="str">
        <f>"UT-105007"</f>
        <v>UT-105007</v>
      </c>
      <c r="C1776" t="s">
        <v>12</v>
      </c>
      <c r="D1776" t="s">
        <v>3328</v>
      </c>
      <c r="E1776" t="str">
        <f t="shared" si="76"/>
        <v>7806385951</v>
      </c>
      <c r="F1776" t="s">
        <v>26</v>
      </c>
      <c r="G1776" t="s">
        <v>2865</v>
      </c>
      <c r="H1776" t="s">
        <v>3341</v>
      </c>
      <c r="I1776" t="s">
        <v>17</v>
      </c>
      <c r="J1776" t="s">
        <v>18</v>
      </c>
    </row>
    <row r="1777" spans="1:10" hidden="1" x14ac:dyDescent="0.25">
      <c r="A1777" t="s">
        <v>11</v>
      </c>
      <c r="B1777" t="str">
        <f>"UT-105013"</f>
        <v>UT-105013</v>
      </c>
      <c r="C1777" t="s">
        <v>12</v>
      </c>
      <c r="D1777" t="s">
        <v>3328</v>
      </c>
      <c r="E1777" t="str">
        <f t="shared" si="76"/>
        <v>7806385951</v>
      </c>
      <c r="F1777" t="s">
        <v>26</v>
      </c>
      <c r="G1777" t="s">
        <v>3342</v>
      </c>
      <c r="H1777" t="s">
        <v>3343</v>
      </c>
      <c r="I1777" t="s">
        <v>17</v>
      </c>
      <c r="J1777" t="s">
        <v>18</v>
      </c>
    </row>
    <row r="1778" spans="1:10" hidden="1" x14ac:dyDescent="0.25">
      <c r="A1778" t="s">
        <v>11</v>
      </c>
      <c r="B1778" t="str">
        <f>"UT-105015"</f>
        <v>UT-105015</v>
      </c>
      <c r="C1778" t="s">
        <v>12</v>
      </c>
      <c r="D1778" t="s">
        <v>3328</v>
      </c>
      <c r="E1778" t="str">
        <f t="shared" si="76"/>
        <v>7806385951</v>
      </c>
      <c r="F1778" t="s">
        <v>26</v>
      </c>
      <c r="G1778" t="s">
        <v>1420</v>
      </c>
      <c r="H1778" t="s">
        <v>3344</v>
      </c>
      <c r="I1778" t="s">
        <v>17</v>
      </c>
      <c r="J1778" t="s">
        <v>18</v>
      </c>
    </row>
    <row r="1779" spans="1:10" hidden="1" x14ac:dyDescent="0.25">
      <c r="A1779" t="s">
        <v>11</v>
      </c>
      <c r="B1779" t="str">
        <f>"UT-105396"</f>
        <v>UT-105396</v>
      </c>
      <c r="C1779" t="s">
        <v>12</v>
      </c>
      <c r="D1779" t="s">
        <v>3328</v>
      </c>
      <c r="E1779" t="str">
        <f t="shared" si="76"/>
        <v>7806385951</v>
      </c>
      <c r="F1779" t="s">
        <v>26</v>
      </c>
      <c r="G1779" t="s">
        <v>3345</v>
      </c>
      <c r="H1779" t="s">
        <v>3346</v>
      </c>
      <c r="I1779" t="s">
        <v>17</v>
      </c>
      <c r="J1779" t="s">
        <v>18</v>
      </c>
    </row>
    <row r="1780" spans="1:10" hidden="1" x14ac:dyDescent="0.25">
      <c r="A1780" t="s">
        <v>11</v>
      </c>
      <c r="B1780" t="str">
        <f>"UT-105408"</f>
        <v>UT-105408</v>
      </c>
      <c r="C1780" t="s">
        <v>12</v>
      </c>
      <c r="D1780" t="s">
        <v>3328</v>
      </c>
      <c r="E1780" t="str">
        <f t="shared" si="76"/>
        <v>7806385951</v>
      </c>
      <c r="F1780" t="s">
        <v>26</v>
      </c>
      <c r="G1780" t="s">
        <v>1465</v>
      </c>
      <c r="H1780" t="s">
        <v>3347</v>
      </c>
      <c r="I1780" t="s">
        <v>17</v>
      </c>
      <c r="J1780" t="s">
        <v>18</v>
      </c>
    </row>
    <row r="1781" spans="1:10" x14ac:dyDescent="0.25">
      <c r="A1781" t="s">
        <v>11</v>
      </c>
      <c r="B1781" t="str">
        <f>"UT-105412"</f>
        <v>UT-105412</v>
      </c>
      <c r="C1781" t="s">
        <v>12</v>
      </c>
      <c r="D1781" t="s">
        <v>3328</v>
      </c>
      <c r="E1781" t="str">
        <f t="shared" si="76"/>
        <v>7806385951</v>
      </c>
      <c r="F1781" t="s">
        <v>26</v>
      </c>
      <c r="G1781" t="s">
        <v>3348</v>
      </c>
      <c r="H1781" t="s">
        <v>3349</v>
      </c>
      <c r="I1781" t="s">
        <v>17</v>
      </c>
      <c r="J1781" t="s">
        <v>166</v>
      </c>
    </row>
    <row r="1782" spans="1:10" hidden="1" x14ac:dyDescent="0.25">
      <c r="A1782" t="s">
        <v>11</v>
      </c>
      <c r="B1782" t="str">
        <f>"UT-105644"</f>
        <v>UT-105644</v>
      </c>
      <c r="C1782" t="s">
        <v>12</v>
      </c>
      <c r="D1782" t="s">
        <v>3328</v>
      </c>
      <c r="E1782" t="str">
        <f t="shared" si="76"/>
        <v>7806385951</v>
      </c>
      <c r="F1782" t="s">
        <v>26</v>
      </c>
      <c r="G1782" t="s">
        <v>3350</v>
      </c>
      <c r="H1782" t="s">
        <v>3351</v>
      </c>
      <c r="I1782" t="s">
        <v>17</v>
      </c>
      <c r="J1782" t="s">
        <v>18</v>
      </c>
    </row>
    <row r="1783" spans="1:10" hidden="1" x14ac:dyDescent="0.25">
      <c r="A1783" t="s">
        <v>11</v>
      </c>
      <c r="B1783" t="str">
        <f>"UT-105645"</f>
        <v>UT-105645</v>
      </c>
      <c r="C1783" t="s">
        <v>12</v>
      </c>
      <c r="D1783" t="s">
        <v>3328</v>
      </c>
      <c r="E1783" t="str">
        <f t="shared" si="76"/>
        <v>7806385951</v>
      </c>
      <c r="F1783" t="s">
        <v>26</v>
      </c>
      <c r="G1783" t="s">
        <v>35</v>
      </c>
      <c r="H1783" t="s">
        <v>3352</v>
      </c>
      <c r="I1783" t="s">
        <v>17</v>
      </c>
      <c r="J1783" t="s">
        <v>18</v>
      </c>
    </row>
    <row r="1784" spans="1:10" hidden="1" x14ac:dyDescent="0.25">
      <c r="A1784" t="s">
        <v>11</v>
      </c>
      <c r="B1784" t="str">
        <f>"UT-105646"</f>
        <v>UT-105646</v>
      </c>
      <c r="C1784" t="s">
        <v>12</v>
      </c>
      <c r="D1784" t="s">
        <v>3328</v>
      </c>
      <c r="E1784" t="str">
        <f t="shared" si="76"/>
        <v>7806385951</v>
      </c>
      <c r="F1784" t="s">
        <v>26</v>
      </c>
      <c r="G1784" t="s">
        <v>3353</v>
      </c>
      <c r="H1784" t="s">
        <v>3354</v>
      </c>
      <c r="I1784" t="s">
        <v>17</v>
      </c>
      <c r="J1784" t="s">
        <v>18</v>
      </c>
    </row>
    <row r="1785" spans="1:10" hidden="1" x14ac:dyDescent="0.25">
      <c r="A1785" t="s">
        <v>11</v>
      </c>
      <c r="B1785" t="str">
        <f>"UT-105647"</f>
        <v>UT-105647</v>
      </c>
      <c r="C1785" t="s">
        <v>12</v>
      </c>
      <c r="D1785" t="s">
        <v>3328</v>
      </c>
      <c r="E1785" t="str">
        <f t="shared" si="76"/>
        <v>7806385951</v>
      </c>
      <c r="F1785" t="s">
        <v>26</v>
      </c>
      <c r="G1785" t="s">
        <v>3355</v>
      </c>
      <c r="H1785" t="s">
        <v>3356</v>
      </c>
      <c r="I1785" t="s">
        <v>17</v>
      </c>
      <c r="J1785" t="s">
        <v>18</v>
      </c>
    </row>
    <row r="1786" spans="1:10" hidden="1" x14ac:dyDescent="0.25">
      <c r="A1786" t="s">
        <v>11</v>
      </c>
      <c r="B1786" t="str">
        <f>"5010/8174376641"</f>
        <v>5010/8174376641</v>
      </c>
      <c r="C1786" t="s">
        <v>12</v>
      </c>
      <c r="D1786" t="s">
        <v>3328</v>
      </c>
      <c r="E1786" t="str">
        <f>"5032260402"</f>
        <v>5032260402</v>
      </c>
      <c r="F1786" t="s">
        <v>341</v>
      </c>
      <c r="G1786" t="s">
        <v>3357</v>
      </c>
      <c r="H1786" t="s">
        <v>3358</v>
      </c>
      <c r="I1786" t="s">
        <v>17</v>
      </c>
      <c r="J1786" t="s">
        <v>18</v>
      </c>
    </row>
    <row r="1787" spans="1:10" hidden="1" x14ac:dyDescent="0.25">
      <c r="A1787" t="s">
        <v>11</v>
      </c>
      <c r="B1787" t="str">
        <f>"5010/8174351413"</f>
        <v>5010/8174351413</v>
      </c>
      <c r="C1787" t="s">
        <v>12</v>
      </c>
      <c r="D1787" t="s">
        <v>3328</v>
      </c>
      <c r="E1787" t="str">
        <f>"5032260402"</f>
        <v>5032260402</v>
      </c>
      <c r="F1787" t="s">
        <v>341</v>
      </c>
      <c r="G1787" t="s">
        <v>3359</v>
      </c>
      <c r="H1787" t="s">
        <v>3360</v>
      </c>
      <c r="I1787" t="s">
        <v>17</v>
      </c>
      <c r="J1787" t="s">
        <v>18</v>
      </c>
    </row>
    <row r="1788" spans="1:10" hidden="1" x14ac:dyDescent="0.25">
      <c r="A1788" t="s">
        <v>11</v>
      </c>
      <c r="B1788" t="str">
        <f>"03/00229431-23"</f>
        <v>03/00229431-23</v>
      </c>
      <c r="C1788" t="s">
        <v>12</v>
      </c>
      <c r="D1788" t="s">
        <v>3328</v>
      </c>
      <c r="E1788" t="str">
        <f>"7705034202"</f>
        <v>7705034202</v>
      </c>
      <c r="F1788" t="s">
        <v>407</v>
      </c>
      <c r="G1788" t="s">
        <v>3361</v>
      </c>
      <c r="H1788" t="s">
        <v>3362</v>
      </c>
      <c r="I1788" t="s">
        <v>17</v>
      </c>
      <c r="J1788" t="s">
        <v>18</v>
      </c>
    </row>
    <row r="1789" spans="1:10" x14ac:dyDescent="0.25">
      <c r="A1789" t="s">
        <v>11</v>
      </c>
      <c r="B1789" t="str">
        <f>"2023/30/03/0133500"</f>
        <v>2023/30/03/0133500</v>
      </c>
      <c r="C1789" t="s">
        <v>49</v>
      </c>
      <c r="D1789" t="s">
        <v>3328</v>
      </c>
      <c r="E1789" t="str">
        <f>"7718151150"</f>
        <v>7718151150</v>
      </c>
      <c r="F1789" t="s">
        <v>54</v>
      </c>
      <c r="G1789" t="s">
        <v>164</v>
      </c>
      <c r="H1789" t="s">
        <v>3363</v>
      </c>
      <c r="I1789" t="s">
        <v>17</v>
      </c>
      <c r="J1789" t="s">
        <v>166</v>
      </c>
    </row>
    <row r="1790" spans="1:10" x14ac:dyDescent="0.25">
      <c r="A1790" t="s">
        <v>11</v>
      </c>
      <c r="B1790" t="str">
        <f>"2023/30/03/0131646"</f>
        <v>2023/30/03/0131646</v>
      </c>
      <c r="C1790" t="s">
        <v>49</v>
      </c>
      <c r="D1790" t="s">
        <v>3328</v>
      </c>
      <c r="E1790" t="str">
        <f>"7718151150"</f>
        <v>7718151150</v>
      </c>
      <c r="F1790" t="s">
        <v>54</v>
      </c>
      <c r="G1790" t="s">
        <v>164</v>
      </c>
      <c r="H1790" t="s">
        <v>3364</v>
      </c>
      <c r="I1790" t="s">
        <v>17</v>
      </c>
      <c r="J1790" t="s">
        <v>166</v>
      </c>
    </row>
    <row r="1791" spans="1:10" hidden="1" x14ac:dyDescent="0.25">
      <c r="A1791" t="s">
        <v>11</v>
      </c>
      <c r="B1791" t="str">
        <f>"2023/30/03/0134152"</f>
        <v>2023/30/03/0134152</v>
      </c>
      <c r="C1791" t="s">
        <v>12</v>
      </c>
      <c r="D1791" t="s">
        <v>3328</v>
      </c>
      <c r="E1791" t="str">
        <f>"7718151150"</f>
        <v>7718151150</v>
      </c>
      <c r="F1791" t="s">
        <v>54</v>
      </c>
      <c r="G1791" t="s">
        <v>55</v>
      </c>
      <c r="H1791" t="s">
        <v>3365</v>
      </c>
      <c r="I1791" t="s">
        <v>17</v>
      </c>
      <c r="J1791" t="s">
        <v>18</v>
      </c>
    </row>
    <row r="1792" spans="1:10" hidden="1" x14ac:dyDescent="0.25">
      <c r="A1792" t="s">
        <v>11</v>
      </c>
      <c r="B1792" t="str">
        <f>"ОТ-3004-000031"</f>
        <v>ОТ-3004-000031</v>
      </c>
      <c r="C1792" t="s">
        <v>49</v>
      </c>
      <c r="D1792" t="s">
        <v>3328</v>
      </c>
      <c r="E1792" t="str">
        <f>"7839454551"</f>
        <v>7839454551</v>
      </c>
      <c r="F1792" t="s">
        <v>57</v>
      </c>
      <c r="G1792" t="s">
        <v>58</v>
      </c>
      <c r="H1792" t="s">
        <v>3366</v>
      </c>
      <c r="I1792" t="s">
        <v>17</v>
      </c>
      <c r="J1792" t="s">
        <v>18</v>
      </c>
    </row>
    <row r="1793" spans="1:10" hidden="1" x14ac:dyDescent="0.25">
      <c r="A1793" t="s">
        <v>11</v>
      </c>
      <c r="B1793" t="str">
        <f>"ОТ-3004-000029"</f>
        <v>ОТ-3004-000029</v>
      </c>
      <c r="C1793" t="s">
        <v>49</v>
      </c>
      <c r="D1793" t="s">
        <v>3328</v>
      </c>
      <c r="E1793" t="str">
        <f>"7839454551"</f>
        <v>7839454551</v>
      </c>
      <c r="F1793" t="s">
        <v>57</v>
      </c>
      <c r="G1793" t="s">
        <v>58</v>
      </c>
      <c r="H1793" t="s">
        <v>3367</v>
      </c>
      <c r="I1793" t="s">
        <v>17</v>
      </c>
      <c r="J1793" t="s">
        <v>18</v>
      </c>
    </row>
    <row r="1794" spans="1:10" hidden="1" x14ac:dyDescent="0.25">
      <c r="A1794" t="s">
        <v>11</v>
      </c>
      <c r="B1794" t="str">
        <f>"UT-106725"</f>
        <v>UT-106725</v>
      </c>
      <c r="C1794" t="s">
        <v>65</v>
      </c>
      <c r="D1794" t="s">
        <v>3328</v>
      </c>
      <c r="E1794" t="str">
        <f>"7806385951"</f>
        <v>7806385951</v>
      </c>
      <c r="F1794" t="s">
        <v>26</v>
      </c>
      <c r="G1794" t="s">
        <v>3368</v>
      </c>
      <c r="H1794" t="s">
        <v>3369</v>
      </c>
      <c r="I1794" t="s">
        <v>17</v>
      </c>
      <c r="J1794" t="s">
        <v>18</v>
      </c>
    </row>
    <row r="1795" spans="1:10" hidden="1" x14ac:dyDescent="0.25">
      <c r="A1795" t="s">
        <v>11</v>
      </c>
      <c r="B1795" t="str">
        <f>"UT-106723"</f>
        <v>UT-106723</v>
      </c>
      <c r="C1795" t="s">
        <v>65</v>
      </c>
      <c r="D1795" t="s">
        <v>3328</v>
      </c>
      <c r="E1795" t="str">
        <f>"7806385951"</f>
        <v>7806385951</v>
      </c>
      <c r="F1795" t="s">
        <v>26</v>
      </c>
      <c r="G1795" t="s">
        <v>3370</v>
      </c>
      <c r="H1795" t="s">
        <v>3371</v>
      </c>
      <c r="I1795" t="s">
        <v>17</v>
      </c>
      <c r="J1795" t="s">
        <v>18</v>
      </c>
    </row>
    <row r="1796" spans="1:10" x14ac:dyDescent="0.25">
      <c r="A1796" t="s">
        <v>11</v>
      </c>
      <c r="B1796" t="str">
        <f>"UT-106724"</f>
        <v>UT-106724</v>
      </c>
      <c r="C1796" t="s">
        <v>65</v>
      </c>
      <c r="D1796" t="s">
        <v>3328</v>
      </c>
      <c r="E1796" t="str">
        <f>"7806385951"</f>
        <v>7806385951</v>
      </c>
      <c r="F1796" t="s">
        <v>26</v>
      </c>
      <c r="G1796" t="s">
        <v>3372</v>
      </c>
      <c r="H1796" t="s">
        <v>3373</v>
      </c>
      <c r="I1796" t="s">
        <v>17</v>
      </c>
      <c r="J1796" t="s">
        <v>166</v>
      </c>
    </row>
    <row r="1797" spans="1:10" hidden="1" x14ac:dyDescent="0.25">
      <c r="A1797" t="s">
        <v>11</v>
      </c>
      <c r="B1797" t="str">
        <f>"UT-107071"</f>
        <v>UT-107071</v>
      </c>
      <c r="C1797" t="s">
        <v>65</v>
      </c>
      <c r="D1797" t="s">
        <v>3328</v>
      </c>
      <c r="E1797" t="str">
        <f>"7806385951"</f>
        <v>7806385951</v>
      </c>
      <c r="F1797" t="s">
        <v>26</v>
      </c>
      <c r="G1797" t="s">
        <v>3374</v>
      </c>
      <c r="H1797" t="s">
        <v>3375</v>
      </c>
      <c r="I1797" t="s">
        <v>17</v>
      </c>
      <c r="J1797" t="s">
        <v>18</v>
      </c>
    </row>
    <row r="1798" spans="1:10" hidden="1" x14ac:dyDescent="0.25">
      <c r="A1798" t="s">
        <v>11</v>
      </c>
      <c r="B1798" t="str">
        <f>"UT-107041"</f>
        <v>UT-107041</v>
      </c>
      <c r="C1798" t="s">
        <v>65</v>
      </c>
      <c r="D1798" t="s">
        <v>3328</v>
      </c>
      <c r="E1798" t="str">
        <f>"7806385951"</f>
        <v>7806385951</v>
      </c>
      <c r="F1798" t="s">
        <v>26</v>
      </c>
      <c r="G1798" t="s">
        <v>3355</v>
      </c>
      <c r="H1798" t="s">
        <v>3376</v>
      </c>
      <c r="I1798" t="s">
        <v>17</v>
      </c>
      <c r="J1798" t="s">
        <v>18</v>
      </c>
    </row>
    <row r="1799" spans="1:10" hidden="1" x14ac:dyDescent="0.25">
      <c r="A1799" t="s">
        <v>11</v>
      </c>
      <c r="B1799" t="str">
        <f>"УТ-305-000132"</f>
        <v>УТ-305-000132</v>
      </c>
      <c r="C1799" t="s">
        <v>65</v>
      </c>
      <c r="D1799" t="s">
        <v>3328</v>
      </c>
      <c r="E1799" t="str">
        <f>"7839454551"</f>
        <v>7839454551</v>
      </c>
      <c r="F1799" t="s">
        <v>57</v>
      </c>
      <c r="G1799" t="s">
        <v>3377</v>
      </c>
      <c r="H1799" t="s">
        <v>3378</v>
      </c>
      <c r="I1799" t="s">
        <v>17</v>
      </c>
      <c r="J1799" t="s">
        <v>18</v>
      </c>
    </row>
    <row r="1800" spans="1:10" hidden="1" x14ac:dyDescent="0.25">
      <c r="A1800" t="s">
        <v>11</v>
      </c>
      <c r="B1800" t="str">
        <f>"УТ-305-000130"</f>
        <v>УТ-305-000130</v>
      </c>
      <c r="C1800" t="s">
        <v>65</v>
      </c>
      <c r="D1800" t="s">
        <v>3328</v>
      </c>
      <c r="E1800" t="str">
        <f>"7839454551"</f>
        <v>7839454551</v>
      </c>
      <c r="F1800" t="s">
        <v>57</v>
      </c>
      <c r="G1800" t="s">
        <v>3379</v>
      </c>
      <c r="H1800" t="s">
        <v>3380</v>
      </c>
      <c r="I1800" t="s">
        <v>17</v>
      </c>
      <c r="J1800" t="s">
        <v>18</v>
      </c>
    </row>
    <row r="1801" spans="1:10" hidden="1" x14ac:dyDescent="0.25">
      <c r="A1801" t="s">
        <v>11</v>
      </c>
      <c r="B1801" t="str">
        <f>"УТ-305-000127"</f>
        <v>УТ-305-000127</v>
      </c>
      <c r="C1801" t="s">
        <v>65</v>
      </c>
      <c r="D1801" t="s">
        <v>3328</v>
      </c>
      <c r="E1801" t="str">
        <f>"7839454551"</f>
        <v>7839454551</v>
      </c>
      <c r="F1801" t="s">
        <v>57</v>
      </c>
      <c r="G1801" t="s">
        <v>3381</v>
      </c>
      <c r="H1801" t="s">
        <v>3382</v>
      </c>
      <c r="I1801" t="s">
        <v>17</v>
      </c>
      <c r="J1801" t="s">
        <v>21</v>
      </c>
    </row>
    <row r="1802" spans="1:10" hidden="1" x14ac:dyDescent="0.25">
      <c r="A1802" t="s">
        <v>11</v>
      </c>
      <c r="B1802" t="str">
        <f>"872"</f>
        <v>872</v>
      </c>
      <c r="C1802" t="s">
        <v>49</v>
      </c>
      <c r="D1802" t="s">
        <v>3328</v>
      </c>
      <c r="E1802" t="str">
        <f>"7704340969"</f>
        <v>7704340969</v>
      </c>
      <c r="F1802" t="s">
        <v>76</v>
      </c>
      <c r="G1802" t="s">
        <v>77</v>
      </c>
      <c r="H1802" t="s">
        <v>3383</v>
      </c>
      <c r="I1802" t="s">
        <v>17</v>
      </c>
      <c r="J1802" t="s">
        <v>18</v>
      </c>
    </row>
    <row r="1803" spans="1:10" hidden="1" x14ac:dyDescent="0.25">
      <c r="A1803" t="s">
        <v>11</v>
      </c>
      <c r="B1803" t="str">
        <f>"903"</f>
        <v>903</v>
      </c>
      <c r="C1803" t="s">
        <v>49</v>
      </c>
      <c r="D1803" t="s">
        <v>3328</v>
      </c>
      <c r="E1803" t="str">
        <f>"7704340969"</f>
        <v>7704340969</v>
      </c>
      <c r="F1803" t="s">
        <v>76</v>
      </c>
      <c r="G1803" t="s">
        <v>79</v>
      </c>
      <c r="H1803" t="s">
        <v>3384</v>
      </c>
      <c r="I1803" t="s">
        <v>17</v>
      </c>
      <c r="J1803" t="s">
        <v>18</v>
      </c>
    </row>
    <row r="1804" spans="1:10" hidden="1" x14ac:dyDescent="0.25">
      <c r="A1804" t="s">
        <v>11</v>
      </c>
      <c r="B1804" t="str">
        <f>"931"</f>
        <v>931</v>
      </c>
      <c r="C1804" t="s">
        <v>49</v>
      </c>
      <c r="D1804" t="s">
        <v>3328</v>
      </c>
      <c r="E1804" t="str">
        <f>"7704340969"</f>
        <v>7704340969</v>
      </c>
      <c r="F1804" t="s">
        <v>76</v>
      </c>
      <c r="G1804" t="s">
        <v>81</v>
      </c>
      <c r="H1804" t="s">
        <v>3385</v>
      </c>
      <c r="I1804" t="s">
        <v>17</v>
      </c>
      <c r="J1804" t="s">
        <v>18</v>
      </c>
    </row>
    <row r="1805" spans="1:10" hidden="1" x14ac:dyDescent="0.25">
      <c r="A1805" t="s">
        <v>11</v>
      </c>
      <c r="B1805" t="str">
        <f>"975"</f>
        <v>975</v>
      </c>
      <c r="C1805" t="s">
        <v>49</v>
      </c>
      <c r="D1805" t="s">
        <v>3328</v>
      </c>
      <c r="E1805" t="str">
        <f>"7704340969"</f>
        <v>7704340969</v>
      </c>
      <c r="F1805" t="s">
        <v>76</v>
      </c>
      <c r="G1805" t="s">
        <v>83</v>
      </c>
      <c r="H1805" t="s">
        <v>3386</v>
      </c>
      <c r="I1805" t="s">
        <v>17</v>
      </c>
      <c r="J1805" t="s">
        <v>18</v>
      </c>
    </row>
    <row r="1806" spans="1:10" hidden="1" x14ac:dyDescent="0.25">
      <c r="A1806" t="s">
        <v>11</v>
      </c>
      <c r="B1806" t="str">
        <f>"1588"</f>
        <v>1588</v>
      </c>
      <c r="C1806" t="s">
        <v>49</v>
      </c>
      <c r="D1806" t="s">
        <v>3328</v>
      </c>
      <c r="E1806" t="str">
        <f>"9705135109"</f>
        <v>9705135109</v>
      </c>
      <c r="F1806" t="s">
        <v>3387</v>
      </c>
      <c r="G1806" t="s">
        <v>3388</v>
      </c>
      <c r="H1806" t="s">
        <v>3389</v>
      </c>
      <c r="I1806" t="s">
        <v>17</v>
      </c>
      <c r="J1806" t="s">
        <v>18</v>
      </c>
    </row>
    <row r="1807" spans="1:10" hidden="1" x14ac:dyDescent="0.25">
      <c r="A1807" t="s">
        <v>11</v>
      </c>
      <c r="B1807" t="str">
        <f>"27538"</f>
        <v>27538</v>
      </c>
      <c r="C1807" t="s">
        <v>12</v>
      </c>
      <c r="D1807" t="s">
        <v>3328</v>
      </c>
      <c r="E1807" t="str">
        <f t="shared" ref="E1807:E1813" si="77">"7729488999"</f>
        <v>7729488999</v>
      </c>
      <c r="F1807" t="s">
        <v>85</v>
      </c>
      <c r="G1807" t="s">
        <v>3390</v>
      </c>
      <c r="H1807" t="s">
        <v>3391</v>
      </c>
      <c r="I1807" t="s">
        <v>17</v>
      </c>
      <c r="J1807" t="s">
        <v>18</v>
      </c>
    </row>
    <row r="1808" spans="1:10" hidden="1" x14ac:dyDescent="0.25">
      <c r="A1808" t="s">
        <v>11</v>
      </c>
      <c r="B1808" t="str">
        <f>"27524"</f>
        <v>27524</v>
      </c>
      <c r="C1808" t="s">
        <v>12</v>
      </c>
      <c r="D1808" t="s">
        <v>3328</v>
      </c>
      <c r="E1808" t="str">
        <f t="shared" si="77"/>
        <v>7729488999</v>
      </c>
      <c r="F1808" t="s">
        <v>85</v>
      </c>
      <c r="G1808" t="s">
        <v>3392</v>
      </c>
      <c r="H1808" t="s">
        <v>3393</v>
      </c>
      <c r="I1808" t="s">
        <v>17</v>
      </c>
      <c r="J1808" t="s">
        <v>18</v>
      </c>
    </row>
    <row r="1809" spans="1:10" hidden="1" x14ac:dyDescent="0.25">
      <c r="A1809" t="s">
        <v>11</v>
      </c>
      <c r="B1809" t="str">
        <f>"27362"</f>
        <v>27362</v>
      </c>
      <c r="C1809" t="s">
        <v>12</v>
      </c>
      <c r="D1809" t="s">
        <v>3328</v>
      </c>
      <c r="E1809" t="str">
        <f t="shared" si="77"/>
        <v>7729488999</v>
      </c>
      <c r="F1809" t="s">
        <v>85</v>
      </c>
      <c r="G1809" t="s">
        <v>3394</v>
      </c>
      <c r="H1809" t="s">
        <v>3395</v>
      </c>
      <c r="I1809" t="s">
        <v>17</v>
      </c>
      <c r="J1809" t="s">
        <v>18</v>
      </c>
    </row>
    <row r="1810" spans="1:10" hidden="1" x14ac:dyDescent="0.25">
      <c r="A1810" t="s">
        <v>11</v>
      </c>
      <c r="B1810" t="str">
        <f>"27307"</f>
        <v>27307</v>
      </c>
      <c r="C1810" t="s">
        <v>12</v>
      </c>
      <c r="D1810" t="s">
        <v>3328</v>
      </c>
      <c r="E1810" t="str">
        <f t="shared" si="77"/>
        <v>7729488999</v>
      </c>
      <c r="F1810" t="s">
        <v>85</v>
      </c>
      <c r="G1810" t="s">
        <v>3396</v>
      </c>
      <c r="H1810" t="s">
        <v>3397</v>
      </c>
      <c r="I1810" t="s">
        <v>17</v>
      </c>
      <c r="J1810" t="s">
        <v>18</v>
      </c>
    </row>
    <row r="1811" spans="1:10" hidden="1" x14ac:dyDescent="0.25">
      <c r="A1811" t="s">
        <v>11</v>
      </c>
      <c r="B1811" t="str">
        <f>"26688"</f>
        <v>26688</v>
      </c>
      <c r="C1811" t="s">
        <v>12</v>
      </c>
      <c r="D1811" t="s">
        <v>3328</v>
      </c>
      <c r="E1811" t="str">
        <f t="shared" si="77"/>
        <v>7729488999</v>
      </c>
      <c r="F1811" t="s">
        <v>85</v>
      </c>
      <c r="G1811" t="s">
        <v>92</v>
      </c>
      <c r="H1811" t="s">
        <v>3398</v>
      </c>
      <c r="I1811" t="s">
        <v>17</v>
      </c>
      <c r="J1811" t="s">
        <v>18</v>
      </c>
    </row>
    <row r="1812" spans="1:10" hidden="1" x14ac:dyDescent="0.25">
      <c r="A1812" t="s">
        <v>11</v>
      </c>
      <c r="B1812" t="str">
        <f>"26682"</f>
        <v>26682</v>
      </c>
      <c r="C1812" t="s">
        <v>12</v>
      </c>
      <c r="D1812" t="s">
        <v>3328</v>
      </c>
      <c r="E1812" t="str">
        <f t="shared" si="77"/>
        <v>7729488999</v>
      </c>
      <c r="F1812" t="s">
        <v>85</v>
      </c>
      <c r="G1812" t="s">
        <v>90</v>
      </c>
      <c r="H1812" t="s">
        <v>3399</v>
      </c>
      <c r="I1812" t="s">
        <v>17</v>
      </c>
      <c r="J1812" t="s">
        <v>18</v>
      </c>
    </row>
    <row r="1813" spans="1:10" hidden="1" x14ac:dyDescent="0.25">
      <c r="A1813" t="s">
        <v>11</v>
      </c>
      <c r="B1813" t="str">
        <f>"26674"</f>
        <v>26674</v>
      </c>
      <c r="C1813" t="s">
        <v>12</v>
      </c>
      <c r="D1813" t="s">
        <v>3328</v>
      </c>
      <c r="E1813" t="str">
        <f t="shared" si="77"/>
        <v>7729488999</v>
      </c>
      <c r="F1813" t="s">
        <v>85</v>
      </c>
      <c r="G1813" t="s">
        <v>92</v>
      </c>
      <c r="H1813" t="s">
        <v>3400</v>
      </c>
      <c r="I1813" t="s">
        <v>17</v>
      </c>
      <c r="J1813" t="s">
        <v>18</v>
      </c>
    </row>
    <row r="1814" spans="1:10" hidden="1" x14ac:dyDescent="0.25">
      <c r="A1814" t="s">
        <v>11</v>
      </c>
      <c r="B1814" t="str">
        <f>"115"</f>
        <v>115</v>
      </c>
      <c r="C1814" t="s">
        <v>49</v>
      </c>
      <c r="D1814" t="s">
        <v>3328</v>
      </c>
      <c r="E1814" t="str">
        <f>"7743128596"</f>
        <v>7743128596</v>
      </c>
      <c r="F1814" t="s">
        <v>351</v>
      </c>
      <c r="G1814" t="s">
        <v>352</v>
      </c>
      <c r="H1814" t="s">
        <v>3401</v>
      </c>
      <c r="I1814" t="s">
        <v>17</v>
      </c>
      <c r="J1814" t="s">
        <v>18</v>
      </c>
    </row>
    <row r="1815" spans="1:10" hidden="1" x14ac:dyDescent="0.25">
      <c r="A1815" t="s">
        <v>11</v>
      </c>
      <c r="B1815" t="str">
        <f>"170"</f>
        <v>170</v>
      </c>
      <c r="C1815" t="s">
        <v>49</v>
      </c>
      <c r="D1815" t="s">
        <v>3328</v>
      </c>
      <c r="E1815" t="str">
        <f>"7702392168"</f>
        <v>7702392168</v>
      </c>
      <c r="F1815" t="s">
        <v>97</v>
      </c>
      <c r="G1815" t="s">
        <v>3402</v>
      </c>
      <c r="H1815" t="s">
        <v>3403</v>
      </c>
      <c r="I1815" t="s">
        <v>17</v>
      </c>
      <c r="J1815" t="s">
        <v>18</v>
      </c>
    </row>
    <row r="1816" spans="1:10" hidden="1" x14ac:dyDescent="0.25">
      <c r="A1816" t="s">
        <v>11</v>
      </c>
      <c r="B1816" t="str">
        <f>"28372"</f>
        <v>28372</v>
      </c>
      <c r="C1816" t="s">
        <v>100</v>
      </c>
      <c r="D1816" t="s">
        <v>3328</v>
      </c>
      <c r="E1816" t="str">
        <f>"7729488999"</f>
        <v>7729488999</v>
      </c>
      <c r="F1816" t="s">
        <v>85</v>
      </c>
      <c r="G1816" t="s">
        <v>3404</v>
      </c>
      <c r="H1816" t="s">
        <v>3405</v>
      </c>
      <c r="I1816" t="s">
        <v>17</v>
      </c>
      <c r="J1816" t="s">
        <v>18</v>
      </c>
    </row>
    <row r="1817" spans="1:10" hidden="1" x14ac:dyDescent="0.25">
      <c r="A1817" t="s">
        <v>11</v>
      </c>
      <c r="B1817" t="str">
        <f>"КУБО0504/05"</f>
        <v>КУБО0504/05</v>
      </c>
      <c r="C1817" t="s">
        <v>100</v>
      </c>
      <c r="D1817" t="s">
        <v>3328</v>
      </c>
      <c r="E1817" t="str">
        <f>"7735126034"</f>
        <v>7735126034</v>
      </c>
      <c r="F1817" t="s">
        <v>131</v>
      </c>
      <c r="G1817" t="s">
        <v>3406</v>
      </c>
      <c r="H1817" t="s">
        <v>3407</v>
      </c>
      <c r="I1817" t="s">
        <v>17</v>
      </c>
      <c r="J1817" t="s">
        <v>18</v>
      </c>
    </row>
    <row r="1818" spans="1:10" hidden="1" x14ac:dyDescent="0.25">
      <c r="A1818" t="s">
        <v>11</v>
      </c>
      <c r="B1818" t="str">
        <f>"30"</f>
        <v>30</v>
      </c>
      <c r="C1818" t="s">
        <v>100</v>
      </c>
      <c r="D1818" t="s">
        <v>3328</v>
      </c>
      <c r="E1818" t="str">
        <f>"5045067220"</f>
        <v>5045067220</v>
      </c>
      <c r="F1818" t="s">
        <v>3408</v>
      </c>
      <c r="G1818" t="s">
        <v>3409</v>
      </c>
      <c r="H1818" t="s">
        <v>3410</v>
      </c>
      <c r="I1818" t="s">
        <v>17</v>
      </c>
      <c r="J1818" t="s">
        <v>18</v>
      </c>
    </row>
    <row r="1819" spans="1:10" hidden="1" x14ac:dyDescent="0.25">
      <c r="A1819" t="s">
        <v>11</v>
      </c>
      <c r="B1819" t="str">
        <f>"31"</f>
        <v>31</v>
      </c>
      <c r="C1819" t="s">
        <v>100</v>
      </c>
      <c r="D1819" t="s">
        <v>3328</v>
      </c>
      <c r="E1819" t="str">
        <f>"5045067220"</f>
        <v>5045067220</v>
      </c>
      <c r="F1819" t="s">
        <v>3408</v>
      </c>
      <c r="G1819" t="s">
        <v>3411</v>
      </c>
      <c r="H1819" t="s">
        <v>3412</v>
      </c>
      <c r="I1819" t="s">
        <v>17</v>
      </c>
      <c r="J1819" t="s">
        <v>18</v>
      </c>
    </row>
    <row r="1820" spans="1:10" hidden="1" x14ac:dyDescent="0.25">
      <c r="A1820" t="s">
        <v>11</v>
      </c>
      <c r="B1820" t="str">
        <f>"32"</f>
        <v>32</v>
      </c>
      <c r="C1820" t="s">
        <v>100</v>
      </c>
      <c r="D1820" t="s">
        <v>3328</v>
      </c>
      <c r="E1820" t="str">
        <f>"5045067220"</f>
        <v>5045067220</v>
      </c>
      <c r="F1820" t="s">
        <v>3408</v>
      </c>
      <c r="G1820" t="s">
        <v>3413</v>
      </c>
      <c r="H1820" t="s">
        <v>3414</v>
      </c>
      <c r="I1820" t="s">
        <v>17</v>
      </c>
      <c r="J1820" t="s">
        <v>18</v>
      </c>
    </row>
    <row r="1821" spans="1:10" hidden="1" x14ac:dyDescent="0.25">
      <c r="A1821" t="s">
        <v>11</v>
      </c>
      <c r="B1821" t="str">
        <f>"1086"</f>
        <v>1086</v>
      </c>
      <c r="C1821" t="s">
        <v>559</v>
      </c>
      <c r="D1821" t="s">
        <v>3328</v>
      </c>
      <c r="E1821" t="str">
        <f>"9729019493"</f>
        <v>9729019493</v>
      </c>
      <c r="F1821" t="s">
        <v>560</v>
      </c>
      <c r="G1821" t="s">
        <v>1337</v>
      </c>
      <c r="H1821" t="s">
        <v>3415</v>
      </c>
      <c r="I1821" t="s">
        <v>17</v>
      </c>
      <c r="J1821" t="s">
        <v>18</v>
      </c>
    </row>
    <row r="1822" spans="1:10" hidden="1" x14ac:dyDescent="0.25">
      <c r="A1822" t="s">
        <v>11</v>
      </c>
      <c r="B1822" t="str">
        <f>"1084"</f>
        <v>1084</v>
      </c>
      <c r="C1822" t="s">
        <v>559</v>
      </c>
      <c r="D1822" t="s">
        <v>3328</v>
      </c>
      <c r="E1822" t="str">
        <f>"9729019493"</f>
        <v>9729019493</v>
      </c>
      <c r="F1822" t="s">
        <v>560</v>
      </c>
      <c r="G1822" t="s">
        <v>3416</v>
      </c>
      <c r="H1822" t="s">
        <v>3417</v>
      </c>
      <c r="I1822" t="s">
        <v>17</v>
      </c>
      <c r="J1822" t="s">
        <v>18</v>
      </c>
    </row>
    <row r="1823" spans="1:10" hidden="1" x14ac:dyDescent="0.25">
      <c r="A1823" t="s">
        <v>11</v>
      </c>
      <c r="B1823" t="str">
        <f>"1083"</f>
        <v>1083</v>
      </c>
      <c r="C1823" t="s">
        <v>3418</v>
      </c>
      <c r="D1823" t="s">
        <v>3328</v>
      </c>
      <c r="E1823" t="str">
        <f>"9729019493"</f>
        <v>9729019493</v>
      </c>
      <c r="F1823" t="s">
        <v>560</v>
      </c>
      <c r="G1823" t="s">
        <v>3419</v>
      </c>
      <c r="H1823" t="s">
        <v>3420</v>
      </c>
      <c r="I1823" t="s">
        <v>17</v>
      </c>
      <c r="J1823" t="s">
        <v>18</v>
      </c>
    </row>
    <row r="1824" spans="1:10" hidden="1" x14ac:dyDescent="0.25">
      <c r="A1824" t="s">
        <v>11</v>
      </c>
      <c r="B1824" t="str">
        <f>"2023/30/03/0137730"</f>
        <v>2023/30/03/0137730</v>
      </c>
      <c r="C1824" t="s">
        <v>100</v>
      </c>
      <c r="D1824" t="s">
        <v>3328</v>
      </c>
      <c r="E1824" t="str">
        <f>"7718151150"</f>
        <v>7718151150</v>
      </c>
      <c r="F1824" t="s">
        <v>54</v>
      </c>
      <c r="G1824" t="s">
        <v>63</v>
      </c>
      <c r="H1824" t="s">
        <v>3421</v>
      </c>
      <c r="I1824" t="s">
        <v>17</v>
      </c>
      <c r="J1824" t="s">
        <v>18</v>
      </c>
    </row>
    <row r="1825" spans="1:10" hidden="1" x14ac:dyDescent="0.25">
      <c r="A1825" t="s">
        <v>11</v>
      </c>
      <c r="B1825" t="str">
        <f>"2023/30/03/0137731"</f>
        <v>2023/30/03/0137731</v>
      </c>
      <c r="C1825" t="s">
        <v>100</v>
      </c>
      <c r="D1825" t="s">
        <v>3328</v>
      </c>
      <c r="E1825" t="str">
        <f>"7718151150"</f>
        <v>7718151150</v>
      </c>
      <c r="F1825" t="s">
        <v>54</v>
      </c>
      <c r="G1825" t="s">
        <v>2580</v>
      </c>
      <c r="H1825" t="s">
        <v>3422</v>
      </c>
      <c r="I1825" t="s">
        <v>17</v>
      </c>
      <c r="J1825" t="s">
        <v>18</v>
      </c>
    </row>
    <row r="1826" spans="1:10" hidden="1" x14ac:dyDescent="0.25">
      <c r="A1826" t="s">
        <v>11</v>
      </c>
      <c r="B1826" t="str">
        <f>"2023/30/03/0137732"</f>
        <v>2023/30/03/0137732</v>
      </c>
      <c r="C1826" t="s">
        <v>100</v>
      </c>
      <c r="D1826" t="s">
        <v>3328</v>
      </c>
      <c r="E1826" t="str">
        <f>"7718151150"</f>
        <v>7718151150</v>
      </c>
      <c r="F1826" t="s">
        <v>54</v>
      </c>
      <c r="G1826" t="s">
        <v>63</v>
      </c>
      <c r="H1826" t="s">
        <v>3423</v>
      </c>
      <c r="I1826" t="s">
        <v>17</v>
      </c>
      <c r="J1826" t="s">
        <v>18</v>
      </c>
    </row>
    <row r="1827" spans="1:10" hidden="1" x14ac:dyDescent="0.25">
      <c r="A1827" t="s">
        <v>11</v>
      </c>
      <c r="B1827" t="str">
        <f>"КУБО0504/17"</f>
        <v>КУБО0504/17</v>
      </c>
      <c r="C1827" t="s">
        <v>100</v>
      </c>
      <c r="D1827" t="s">
        <v>3328</v>
      </c>
      <c r="E1827" t="str">
        <f>"7735126034"</f>
        <v>7735126034</v>
      </c>
      <c r="F1827" t="s">
        <v>131</v>
      </c>
      <c r="G1827" t="s">
        <v>3424</v>
      </c>
      <c r="H1827" t="s">
        <v>3425</v>
      </c>
      <c r="I1827" t="s">
        <v>17</v>
      </c>
      <c r="J1827" t="s">
        <v>18</v>
      </c>
    </row>
    <row r="1828" spans="1:10" hidden="1" x14ac:dyDescent="0.25">
      <c r="A1828" t="s">
        <v>11</v>
      </c>
      <c r="B1828" t="str">
        <f>"КУБО0504/21"</f>
        <v>КУБО0504/21</v>
      </c>
      <c r="C1828" t="s">
        <v>100</v>
      </c>
      <c r="D1828" t="s">
        <v>3328</v>
      </c>
      <c r="E1828" t="str">
        <f>"7735126034"</f>
        <v>7735126034</v>
      </c>
      <c r="F1828" t="s">
        <v>131</v>
      </c>
      <c r="G1828" t="s">
        <v>3426</v>
      </c>
      <c r="H1828" t="s">
        <v>3427</v>
      </c>
      <c r="I1828" t="s">
        <v>17</v>
      </c>
      <c r="J1828" t="s">
        <v>18</v>
      </c>
    </row>
    <row r="1829" spans="1:10" hidden="1" x14ac:dyDescent="0.25">
      <c r="A1829" t="s">
        <v>11</v>
      </c>
      <c r="B1829" t="str">
        <f>"КУБО0504/25"</f>
        <v>КУБО0504/25</v>
      </c>
      <c r="C1829" t="s">
        <v>100</v>
      </c>
      <c r="D1829" t="s">
        <v>3328</v>
      </c>
      <c r="E1829" t="str">
        <f>"7735126034"</f>
        <v>7735126034</v>
      </c>
      <c r="F1829" t="s">
        <v>131</v>
      </c>
      <c r="G1829" t="s">
        <v>3428</v>
      </c>
      <c r="H1829" t="s">
        <v>3429</v>
      </c>
      <c r="I1829" t="s">
        <v>17</v>
      </c>
      <c r="J1829" t="s">
        <v>18</v>
      </c>
    </row>
    <row r="1830" spans="1:10" hidden="1" x14ac:dyDescent="0.25">
      <c r="A1830" t="s">
        <v>11</v>
      </c>
      <c r="B1830" t="str">
        <f>"28344696"</f>
        <v>28344696</v>
      </c>
      <c r="C1830" t="s">
        <v>100</v>
      </c>
      <c r="D1830" t="s">
        <v>3328</v>
      </c>
      <c r="E1830" t="str">
        <f>"7721793895"</f>
        <v>7721793895</v>
      </c>
      <c r="F1830" t="s">
        <v>109</v>
      </c>
      <c r="G1830" t="s">
        <v>3430</v>
      </c>
      <c r="H1830" t="s">
        <v>3431</v>
      </c>
      <c r="I1830" t="s">
        <v>17</v>
      </c>
      <c r="J1830" t="s">
        <v>18</v>
      </c>
    </row>
    <row r="1831" spans="1:10" hidden="1" x14ac:dyDescent="0.25">
      <c r="A1831" t="s">
        <v>11</v>
      </c>
      <c r="B1831" t="str">
        <f>"199006/777E"</f>
        <v>199006/777E</v>
      </c>
      <c r="C1831" t="s">
        <v>106</v>
      </c>
      <c r="D1831" t="s">
        <v>3328</v>
      </c>
      <c r="E1831" t="str">
        <f>"5003052454"</f>
        <v>5003052454</v>
      </c>
      <c r="F1831" t="s">
        <v>14</v>
      </c>
      <c r="G1831" t="s">
        <v>3432</v>
      </c>
      <c r="H1831" t="s">
        <v>3433</v>
      </c>
      <c r="I1831" t="s">
        <v>17</v>
      </c>
      <c r="J1831" t="s">
        <v>18</v>
      </c>
    </row>
    <row r="1832" spans="1:10" hidden="1" x14ac:dyDescent="0.25">
      <c r="A1832" t="s">
        <v>11</v>
      </c>
      <c r="B1832" t="str">
        <f>"199007/777E"</f>
        <v>199007/777E</v>
      </c>
      <c r="C1832" t="s">
        <v>106</v>
      </c>
      <c r="D1832" t="s">
        <v>3328</v>
      </c>
      <c r="E1832" t="str">
        <f>"5003052454"</f>
        <v>5003052454</v>
      </c>
      <c r="F1832" t="s">
        <v>14</v>
      </c>
      <c r="G1832" t="s">
        <v>3434</v>
      </c>
      <c r="H1832" t="s">
        <v>3435</v>
      </c>
      <c r="I1832" t="s">
        <v>17</v>
      </c>
      <c r="J1832" t="s">
        <v>18</v>
      </c>
    </row>
    <row r="1833" spans="1:10" hidden="1" x14ac:dyDescent="0.25">
      <c r="A1833" t="s">
        <v>11</v>
      </c>
      <c r="B1833" t="str">
        <f>"КУБО0504/32"</f>
        <v>КУБО0504/32</v>
      </c>
      <c r="C1833" t="s">
        <v>100</v>
      </c>
      <c r="D1833" t="s">
        <v>3328</v>
      </c>
      <c r="E1833" t="str">
        <f>"7735126034"</f>
        <v>7735126034</v>
      </c>
      <c r="F1833" t="s">
        <v>131</v>
      </c>
      <c r="G1833" t="s">
        <v>3436</v>
      </c>
      <c r="H1833" t="s">
        <v>3437</v>
      </c>
      <c r="I1833" t="s">
        <v>17</v>
      </c>
      <c r="J1833" t="s">
        <v>18</v>
      </c>
    </row>
    <row r="1834" spans="1:10" hidden="1" x14ac:dyDescent="0.25">
      <c r="A1834" t="s">
        <v>11</v>
      </c>
      <c r="B1834" t="str">
        <f>"28372771"</f>
        <v>28372771</v>
      </c>
      <c r="C1834" t="s">
        <v>100</v>
      </c>
      <c r="D1834" t="s">
        <v>3328</v>
      </c>
      <c r="E1834" t="str">
        <f>"7721793895"</f>
        <v>7721793895</v>
      </c>
      <c r="F1834" t="s">
        <v>109</v>
      </c>
      <c r="G1834" t="s">
        <v>3438</v>
      </c>
      <c r="H1834" t="s">
        <v>3439</v>
      </c>
      <c r="I1834" t="s">
        <v>17</v>
      </c>
      <c r="J1834" t="s">
        <v>18</v>
      </c>
    </row>
    <row r="1835" spans="1:10" hidden="1" x14ac:dyDescent="0.25">
      <c r="A1835" t="s">
        <v>11</v>
      </c>
      <c r="B1835" t="str">
        <f>"28373249"</f>
        <v>28373249</v>
      </c>
      <c r="C1835" t="s">
        <v>100</v>
      </c>
      <c r="D1835" t="s">
        <v>3328</v>
      </c>
      <c r="E1835" t="str">
        <f>"7721793895"</f>
        <v>7721793895</v>
      </c>
      <c r="F1835" t="s">
        <v>109</v>
      </c>
      <c r="G1835" t="s">
        <v>3440</v>
      </c>
      <c r="H1835" t="s">
        <v>3441</v>
      </c>
      <c r="I1835" t="s">
        <v>17</v>
      </c>
      <c r="J1835" t="s">
        <v>18</v>
      </c>
    </row>
    <row r="1836" spans="1:10" hidden="1" x14ac:dyDescent="0.25">
      <c r="A1836" t="s">
        <v>11</v>
      </c>
      <c r="B1836" t="str">
        <f>"УТ-605-000047"</f>
        <v>УТ-605-000047</v>
      </c>
      <c r="C1836" t="s">
        <v>420</v>
      </c>
      <c r="D1836" t="s">
        <v>3328</v>
      </c>
      <c r="E1836" t="str">
        <f>"7839454551"</f>
        <v>7839454551</v>
      </c>
      <c r="F1836" t="s">
        <v>57</v>
      </c>
      <c r="G1836" t="s">
        <v>3442</v>
      </c>
      <c r="H1836" t="s">
        <v>3443</v>
      </c>
      <c r="I1836" t="s">
        <v>17</v>
      </c>
      <c r="J1836" t="s">
        <v>18</v>
      </c>
    </row>
    <row r="1837" spans="1:10" hidden="1" x14ac:dyDescent="0.25">
      <c r="A1837" t="s">
        <v>11</v>
      </c>
      <c r="B1837" t="str">
        <f>"УТ-605-000046"</f>
        <v>УТ-605-000046</v>
      </c>
      <c r="C1837" t="s">
        <v>420</v>
      </c>
      <c r="D1837" t="s">
        <v>3328</v>
      </c>
      <c r="E1837" t="str">
        <f>"7839454551"</f>
        <v>7839454551</v>
      </c>
      <c r="F1837" t="s">
        <v>57</v>
      </c>
      <c r="G1837" t="s">
        <v>3444</v>
      </c>
      <c r="H1837" t="s">
        <v>3445</v>
      </c>
      <c r="I1837" t="s">
        <v>17</v>
      </c>
      <c r="J1837" t="s">
        <v>18</v>
      </c>
    </row>
    <row r="1838" spans="1:10" hidden="1" x14ac:dyDescent="0.25">
      <c r="A1838" t="s">
        <v>11</v>
      </c>
      <c r="B1838" t="str">
        <f>"УТ-605-000039"</f>
        <v>УТ-605-000039</v>
      </c>
      <c r="C1838" t="s">
        <v>420</v>
      </c>
      <c r="D1838" t="s">
        <v>3328</v>
      </c>
      <c r="E1838" t="str">
        <f>"7839454551"</f>
        <v>7839454551</v>
      </c>
      <c r="F1838" t="s">
        <v>57</v>
      </c>
      <c r="G1838" t="s">
        <v>1043</v>
      </c>
      <c r="H1838" t="s">
        <v>3446</v>
      </c>
      <c r="I1838" t="s">
        <v>17</v>
      </c>
      <c r="J1838" t="s">
        <v>18</v>
      </c>
    </row>
    <row r="1839" spans="1:10" hidden="1" x14ac:dyDescent="0.25">
      <c r="A1839" t="s">
        <v>11</v>
      </c>
      <c r="B1839" t="str">
        <f>"УТ-605-000038"</f>
        <v>УТ-605-000038</v>
      </c>
      <c r="C1839" t="s">
        <v>420</v>
      </c>
      <c r="D1839" t="s">
        <v>3328</v>
      </c>
      <c r="E1839" t="str">
        <f>"7839454551"</f>
        <v>7839454551</v>
      </c>
      <c r="F1839" t="s">
        <v>57</v>
      </c>
      <c r="G1839" t="s">
        <v>3447</v>
      </c>
      <c r="H1839" t="s">
        <v>3448</v>
      </c>
      <c r="I1839" t="s">
        <v>17</v>
      </c>
      <c r="J1839" t="s">
        <v>18</v>
      </c>
    </row>
    <row r="1840" spans="1:10" hidden="1" x14ac:dyDescent="0.25">
      <c r="A1840" t="s">
        <v>11</v>
      </c>
      <c r="B1840" t="str">
        <f>"УТ-605-000037"</f>
        <v>УТ-605-000037</v>
      </c>
      <c r="C1840" t="s">
        <v>420</v>
      </c>
      <c r="D1840" t="s">
        <v>3328</v>
      </c>
      <c r="E1840" t="str">
        <f>"7839454551"</f>
        <v>7839454551</v>
      </c>
      <c r="F1840" t="s">
        <v>57</v>
      </c>
      <c r="G1840" t="s">
        <v>3449</v>
      </c>
      <c r="H1840" t="s">
        <v>3450</v>
      </c>
      <c r="I1840" t="s">
        <v>17</v>
      </c>
      <c r="J1840" t="s">
        <v>18</v>
      </c>
    </row>
    <row r="1841" spans="1:10" hidden="1" x14ac:dyDescent="0.25">
      <c r="A1841" t="s">
        <v>11</v>
      </c>
      <c r="B1841" t="str">
        <f>"КУБО0505/24"</f>
        <v>КУБО0505/24</v>
      </c>
      <c r="C1841" t="s">
        <v>106</v>
      </c>
      <c r="D1841" t="s">
        <v>3328</v>
      </c>
      <c r="E1841" t="str">
        <f>"7735126034"</f>
        <v>7735126034</v>
      </c>
      <c r="F1841" t="s">
        <v>131</v>
      </c>
      <c r="G1841" t="s">
        <v>3451</v>
      </c>
      <c r="H1841" t="s">
        <v>3452</v>
      </c>
      <c r="I1841" t="s">
        <v>17</v>
      </c>
      <c r="J1841" t="s">
        <v>18</v>
      </c>
    </row>
    <row r="1842" spans="1:10" hidden="1" x14ac:dyDescent="0.25">
      <c r="A1842" t="s">
        <v>11</v>
      </c>
      <c r="B1842" t="str">
        <f>"КУБО0505/25"</f>
        <v>КУБО0505/25</v>
      </c>
      <c r="C1842" t="s">
        <v>106</v>
      </c>
      <c r="D1842" t="s">
        <v>3328</v>
      </c>
      <c r="E1842" t="str">
        <f>"7735126034"</f>
        <v>7735126034</v>
      </c>
      <c r="F1842" t="s">
        <v>131</v>
      </c>
      <c r="G1842" t="s">
        <v>3453</v>
      </c>
      <c r="H1842" t="s">
        <v>3454</v>
      </c>
      <c r="I1842" t="s">
        <v>17</v>
      </c>
      <c r="J1842" t="s">
        <v>18</v>
      </c>
    </row>
    <row r="1843" spans="1:10" hidden="1" x14ac:dyDescent="0.25">
      <c r="A1843" t="s">
        <v>11</v>
      </c>
      <c r="B1843" t="str">
        <f>"28271807"</f>
        <v>28271807</v>
      </c>
      <c r="C1843" t="s">
        <v>559</v>
      </c>
      <c r="D1843" t="s">
        <v>3455</v>
      </c>
      <c r="E1843" t="str">
        <f>"7721793895"</f>
        <v>7721793895</v>
      </c>
      <c r="F1843" t="s">
        <v>109</v>
      </c>
      <c r="G1843" t="s">
        <v>3456</v>
      </c>
      <c r="H1843" t="s">
        <v>3457</v>
      </c>
      <c r="I1843" t="s">
        <v>17</v>
      </c>
      <c r="J1843" t="s">
        <v>18</v>
      </c>
    </row>
    <row r="1844" spans="1:10" hidden="1" x14ac:dyDescent="0.25">
      <c r="A1844" t="s">
        <v>11</v>
      </c>
      <c r="B1844" t="str">
        <f>"191749/777E"</f>
        <v>191749/777E</v>
      </c>
      <c r="C1844" t="s">
        <v>12</v>
      </c>
      <c r="D1844" t="s">
        <v>3455</v>
      </c>
      <c r="E1844" t="str">
        <f>"5003052454"</f>
        <v>5003052454</v>
      </c>
      <c r="F1844" t="s">
        <v>14</v>
      </c>
      <c r="G1844" t="s">
        <v>3458</v>
      </c>
      <c r="H1844" t="s">
        <v>3459</v>
      </c>
      <c r="I1844" t="s">
        <v>17</v>
      </c>
      <c r="J1844" t="s">
        <v>18</v>
      </c>
    </row>
    <row r="1845" spans="1:10" hidden="1" x14ac:dyDescent="0.25">
      <c r="A1845" t="s">
        <v>11</v>
      </c>
      <c r="B1845" t="str">
        <f>"191750/777E"</f>
        <v>191750/777E</v>
      </c>
      <c r="C1845" t="s">
        <v>12</v>
      </c>
      <c r="D1845" t="s">
        <v>3455</v>
      </c>
      <c r="E1845" t="str">
        <f>"5003052454"</f>
        <v>5003052454</v>
      </c>
      <c r="F1845" t="s">
        <v>14</v>
      </c>
      <c r="G1845" t="s">
        <v>3460</v>
      </c>
      <c r="H1845" t="s">
        <v>3461</v>
      </c>
      <c r="I1845" t="s">
        <v>17</v>
      </c>
      <c r="J1845" t="s">
        <v>18</v>
      </c>
    </row>
    <row r="1846" spans="1:10" hidden="1" x14ac:dyDescent="0.25">
      <c r="A1846" t="s">
        <v>11</v>
      </c>
      <c r="B1846" t="str">
        <f>"191800/777E"</f>
        <v>191800/777E</v>
      </c>
      <c r="C1846" t="s">
        <v>12</v>
      </c>
      <c r="D1846" t="s">
        <v>3455</v>
      </c>
      <c r="E1846" t="str">
        <f>"5003052454"</f>
        <v>5003052454</v>
      </c>
      <c r="F1846" t="s">
        <v>14</v>
      </c>
      <c r="G1846" t="s">
        <v>3462</v>
      </c>
      <c r="H1846" t="s">
        <v>3463</v>
      </c>
      <c r="I1846" t="s">
        <v>17</v>
      </c>
      <c r="J1846" t="s">
        <v>18</v>
      </c>
    </row>
    <row r="1847" spans="1:10" hidden="1" x14ac:dyDescent="0.25">
      <c r="A1847" t="s">
        <v>11</v>
      </c>
      <c r="B1847" t="str">
        <f>"UT-104920"</f>
        <v>UT-104920</v>
      </c>
      <c r="C1847" t="s">
        <v>12</v>
      </c>
      <c r="D1847" t="s">
        <v>3455</v>
      </c>
      <c r="E1847" t="str">
        <f t="shared" ref="E1847:E1860" si="78">"7806385951"</f>
        <v>7806385951</v>
      </c>
      <c r="F1847" t="s">
        <v>26</v>
      </c>
      <c r="G1847" t="s">
        <v>3464</v>
      </c>
      <c r="H1847" t="s">
        <v>3465</v>
      </c>
      <c r="I1847" t="s">
        <v>17</v>
      </c>
      <c r="J1847" t="s">
        <v>18</v>
      </c>
    </row>
    <row r="1848" spans="1:10" hidden="1" x14ac:dyDescent="0.25">
      <c r="A1848" t="s">
        <v>11</v>
      </c>
      <c r="B1848" t="str">
        <f>"UT-104925"</f>
        <v>UT-104925</v>
      </c>
      <c r="C1848" t="s">
        <v>12</v>
      </c>
      <c r="D1848" t="s">
        <v>3455</v>
      </c>
      <c r="E1848" t="str">
        <f t="shared" si="78"/>
        <v>7806385951</v>
      </c>
      <c r="F1848" t="s">
        <v>26</v>
      </c>
      <c r="G1848" t="s">
        <v>3466</v>
      </c>
      <c r="H1848" t="s">
        <v>3467</v>
      </c>
      <c r="I1848" t="s">
        <v>17</v>
      </c>
      <c r="J1848" t="s">
        <v>18</v>
      </c>
    </row>
    <row r="1849" spans="1:10" x14ac:dyDescent="0.25">
      <c r="A1849" t="s">
        <v>11</v>
      </c>
      <c r="B1849" t="str">
        <f>"UT-104913"</f>
        <v>UT-104913</v>
      </c>
      <c r="C1849" t="s">
        <v>12</v>
      </c>
      <c r="D1849" t="s">
        <v>3455</v>
      </c>
      <c r="E1849" t="str">
        <f t="shared" si="78"/>
        <v>7806385951</v>
      </c>
      <c r="F1849" t="s">
        <v>26</v>
      </c>
      <c r="G1849" t="s">
        <v>2865</v>
      </c>
      <c r="H1849" t="s">
        <v>3468</v>
      </c>
      <c r="I1849" t="s">
        <v>17</v>
      </c>
      <c r="J1849" t="s">
        <v>166</v>
      </c>
    </row>
    <row r="1850" spans="1:10" hidden="1" x14ac:dyDescent="0.25">
      <c r="A1850" t="s">
        <v>11</v>
      </c>
      <c r="B1850" t="str">
        <f>"UT-104915"</f>
        <v>UT-104915</v>
      </c>
      <c r="C1850" t="s">
        <v>12</v>
      </c>
      <c r="D1850" t="s">
        <v>3455</v>
      </c>
      <c r="E1850" t="str">
        <f t="shared" si="78"/>
        <v>7806385951</v>
      </c>
      <c r="F1850" t="s">
        <v>26</v>
      </c>
      <c r="G1850" t="s">
        <v>3469</v>
      </c>
      <c r="H1850" t="s">
        <v>3470</v>
      </c>
      <c r="I1850" t="s">
        <v>17</v>
      </c>
      <c r="J1850" t="s">
        <v>18</v>
      </c>
    </row>
    <row r="1851" spans="1:10" hidden="1" x14ac:dyDescent="0.25">
      <c r="A1851" t="s">
        <v>11</v>
      </c>
      <c r="B1851" t="str">
        <f>"UT-104916"</f>
        <v>UT-104916</v>
      </c>
      <c r="C1851" t="s">
        <v>12</v>
      </c>
      <c r="D1851" t="s">
        <v>3455</v>
      </c>
      <c r="E1851" t="str">
        <f t="shared" si="78"/>
        <v>7806385951</v>
      </c>
      <c r="F1851" t="s">
        <v>26</v>
      </c>
      <c r="G1851" t="s">
        <v>3471</v>
      </c>
      <c r="H1851" t="s">
        <v>3472</v>
      </c>
      <c r="I1851" t="s">
        <v>17</v>
      </c>
      <c r="J1851" t="s">
        <v>18</v>
      </c>
    </row>
    <row r="1852" spans="1:10" hidden="1" x14ac:dyDescent="0.25">
      <c r="A1852" t="s">
        <v>11</v>
      </c>
      <c r="B1852" t="str">
        <f>"UT-104918"</f>
        <v>UT-104918</v>
      </c>
      <c r="C1852" t="s">
        <v>12</v>
      </c>
      <c r="D1852" t="s">
        <v>3455</v>
      </c>
      <c r="E1852" t="str">
        <f t="shared" si="78"/>
        <v>7806385951</v>
      </c>
      <c r="F1852" t="s">
        <v>26</v>
      </c>
      <c r="G1852" t="s">
        <v>1707</v>
      </c>
      <c r="H1852" t="s">
        <v>3473</v>
      </c>
      <c r="I1852" t="s">
        <v>17</v>
      </c>
      <c r="J1852" t="s">
        <v>18</v>
      </c>
    </row>
    <row r="1853" spans="1:10" x14ac:dyDescent="0.25">
      <c r="A1853" t="s">
        <v>11</v>
      </c>
      <c r="B1853" t="str">
        <f>"UT-104921"</f>
        <v>UT-104921</v>
      </c>
      <c r="C1853" t="s">
        <v>12</v>
      </c>
      <c r="D1853" t="s">
        <v>3455</v>
      </c>
      <c r="E1853" t="str">
        <f t="shared" si="78"/>
        <v>7806385951</v>
      </c>
      <c r="F1853" t="s">
        <v>26</v>
      </c>
      <c r="G1853" t="s">
        <v>1420</v>
      </c>
      <c r="H1853" t="s">
        <v>3474</v>
      </c>
      <c r="I1853" t="s">
        <v>17</v>
      </c>
      <c r="J1853" t="s">
        <v>166</v>
      </c>
    </row>
    <row r="1854" spans="1:10" hidden="1" x14ac:dyDescent="0.25">
      <c r="A1854" t="s">
        <v>11</v>
      </c>
      <c r="B1854" t="str">
        <f>"UT-104924"</f>
        <v>UT-104924</v>
      </c>
      <c r="C1854" t="s">
        <v>12</v>
      </c>
      <c r="D1854" t="s">
        <v>3455</v>
      </c>
      <c r="E1854" t="str">
        <f t="shared" si="78"/>
        <v>7806385951</v>
      </c>
      <c r="F1854" t="s">
        <v>26</v>
      </c>
      <c r="G1854" t="s">
        <v>3475</v>
      </c>
      <c r="H1854" t="s">
        <v>3476</v>
      </c>
      <c r="I1854" t="s">
        <v>17</v>
      </c>
      <c r="J1854" t="s">
        <v>18</v>
      </c>
    </row>
    <row r="1855" spans="1:10" hidden="1" x14ac:dyDescent="0.25">
      <c r="A1855" t="s">
        <v>11</v>
      </c>
      <c r="B1855" t="str">
        <f>"UT-105217"</f>
        <v>UT-105217</v>
      </c>
      <c r="C1855" t="s">
        <v>12</v>
      </c>
      <c r="D1855" t="s">
        <v>3455</v>
      </c>
      <c r="E1855" t="str">
        <f t="shared" si="78"/>
        <v>7806385951</v>
      </c>
      <c r="F1855" t="s">
        <v>26</v>
      </c>
      <c r="G1855" t="s">
        <v>3477</v>
      </c>
      <c r="H1855" t="s">
        <v>3478</v>
      </c>
      <c r="I1855" t="s">
        <v>17</v>
      </c>
      <c r="J1855" t="s">
        <v>18</v>
      </c>
    </row>
    <row r="1856" spans="1:10" hidden="1" x14ac:dyDescent="0.25">
      <c r="A1856" t="s">
        <v>11</v>
      </c>
      <c r="B1856" t="str">
        <f>"UT-105223"</f>
        <v>UT-105223</v>
      </c>
      <c r="C1856" t="s">
        <v>12</v>
      </c>
      <c r="D1856" t="s">
        <v>3455</v>
      </c>
      <c r="E1856" t="str">
        <f t="shared" si="78"/>
        <v>7806385951</v>
      </c>
      <c r="F1856" t="s">
        <v>26</v>
      </c>
      <c r="G1856" t="s">
        <v>3479</v>
      </c>
      <c r="H1856" t="s">
        <v>3480</v>
      </c>
      <c r="I1856" t="s">
        <v>17</v>
      </c>
      <c r="J1856" t="s">
        <v>18</v>
      </c>
    </row>
    <row r="1857" spans="1:10" hidden="1" x14ac:dyDescent="0.25">
      <c r="A1857" t="s">
        <v>11</v>
      </c>
      <c r="B1857" t="str">
        <f>"UT-105297"</f>
        <v>UT-105297</v>
      </c>
      <c r="C1857" t="s">
        <v>12</v>
      </c>
      <c r="D1857" t="s">
        <v>3455</v>
      </c>
      <c r="E1857" t="str">
        <f t="shared" si="78"/>
        <v>7806385951</v>
      </c>
      <c r="F1857" t="s">
        <v>26</v>
      </c>
      <c r="G1857" t="s">
        <v>3481</v>
      </c>
      <c r="H1857" t="s">
        <v>3482</v>
      </c>
      <c r="I1857" t="s">
        <v>17</v>
      </c>
      <c r="J1857" t="s">
        <v>18</v>
      </c>
    </row>
    <row r="1858" spans="1:10" hidden="1" x14ac:dyDescent="0.25">
      <c r="A1858" t="s">
        <v>11</v>
      </c>
      <c r="B1858" t="str">
        <f>"UT-105298"</f>
        <v>UT-105298</v>
      </c>
      <c r="C1858" t="s">
        <v>12</v>
      </c>
      <c r="D1858" t="s">
        <v>3455</v>
      </c>
      <c r="E1858" t="str">
        <f t="shared" si="78"/>
        <v>7806385951</v>
      </c>
      <c r="F1858" t="s">
        <v>26</v>
      </c>
      <c r="G1858" t="s">
        <v>39</v>
      </c>
      <c r="H1858" t="s">
        <v>3483</v>
      </c>
      <c r="I1858" t="s">
        <v>17</v>
      </c>
      <c r="J1858" t="s">
        <v>18</v>
      </c>
    </row>
    <row r="1859" spans="1:10" hidden="1" x14ac:dyDescent="0.25">
      <c r="A1859" t="s">
        <v>11</v>
      </c>
      <c r="B1859" t="str">
        <f>"UT-105582"</f>
        <v>UT-105582</v>
      </c>
      <c r="C1859" t="s">
        <v>12</v>
      </c>
      <c r="D1859" t="s">
        <v>3455</v>
      </c>
      <c r="E1859" t="str">
        <f t="shared" si="78"/>
        <v>7806385951</v>
      </c>
      <c r="F1859" t="s">
        <v>26</v>
      </c>
      <c r="G1859" t="s">
        <v>3484</v>
      </c>
      <c r="H1859" t="s">
        <v>3485</v>
      </c>
      <c r="I1859" t="s">
        <v>17</v>
      </c>
      <c r="J1859" t="s">
        <v>18</v>
      </c>
    </row>
    <row r="1860" spans="1:10" hidden="1" x14ac:dyDescent="0.25">
      <c r="A1860" t="s">
        <v>11</v>
      </c>
      <c r="B1860" t="str">
        <f>"UT-105726"</f>
        <v>UT-105726</v>
      </c>
      <c r="C1860" t="s">
        <v>12</v>
      </c>
      <c r="D1860" t="s">
        <v>3455</v>
      </c>
      <c r="E1860" t="str">
        <f t="shared" si="78"/>
        <v>7806385951</v>
      </c>
      <c r="F1860" t="s">
        <v>26</v>
      </c>
      <c r="G1860" t="s">
        <v>1871</v>
      </c>
      <c r="H1860" t="s">
        <v>3486</v>
      </c>
      <c r="I1860" t="s">
        <v>17</v>
      </c>
      <c r="J1860" t="s">
        <v>18</v>
      </c>
    </row>
    <row r="1861" spans="1:10" hidden="1" x14ac:dyDescent="0.25">
      <c r="A1861" t="s">
        <v>290</v>
      </c>
      <c r="B1861" t="str">
        <f>"109"</f>
        <v>109</v>
      </c>
      <c r="C1861" t="s">
        <v>49</v>
      </c>
      <c r="D1861" t="s">
        <v>3455</v>
      </c>
      <c r="E1861" t="str">
        <f>"4025452775"</f>
        <v>4025452775</v>
      </c>
      <c r="F1861" t="s">
        <v>3487</v>
      </c>
      <c r="G1861" t="s">
        <v>3488</v>
      </c>
      <c r="H1861" t="s">
        <v>3489</v>
      </c>
      <c r="I1861" t="s">
        <v>17</v>
      </c>
      <c r="J1861" t="s">
        <v>18</v>
      </c>
    </row>
    <row r="1862" spans="1:10" x14ac:dyDescent="0.25">
      <c r="A1862" t="s">
        <v>11</v>
      </c>
      <c r="B1862" t="str">
        <f>"2023/30/03/0133539"</f>
        <v>2023/30/03/0133539</v>
      </c>
      <c r="C1862" t="s">
        <v>49</v>
      </c>
      <c r="D1862" t="s">
        <v>3455</v>
      </c>
      <c r="E1862" t="str">
        <f t="shared" ref="E1862:E1870" si="79">"7718151150"</f>
        <v>7718151150</v>
      </c>
      <c r="F1862" t="s">
        <v>54</v>
      </c>
      <c r="G1862" t="s">
        <v>164</v>
      </c>
      <c r="H1862" t="s">
        <v>3490</v>
      </c>
      <c r="I1862" t="s">
        <v>17</v>
      </c>
      <c r="J1862" t="s">
        <v>166</v>
      </c>
    </row>
    <row r="1863" spans="1:10" x14ac:dyDescent="0.25">
      <c r="A1863" t="s">
        <v>11</v>
      </c>
      <c r="B1863" t="str">
        <f>"2023/30/03/0133538"</f>
        <v>2023/30/03/0133538</v>
      </c>
      <c r="C1863" t="s">
        <v>49</v>
      </c>
      <c r="D1863" t="s">
        <v>3455</v>
      </c>
      <c r="E1863" t="str">
        <f t="shared" si="79"/>
        <v>7718151150</v>
      </c>
      <c r="F1863" t="s">
        <v>54</v>
      </c>
      <c r="G1863" t="s">
        <v>164</v>
      </c>
      <c r="H1863" t="s">
        <v>3491</v>
      </c>
      <c r="I1863" t="s">
        <v>17</v>
      </c>
      <c r="J1863" t="s">
        <v>166</v>
      </c>
    </row>
    <row r="1864" spans="1:10" x14ac:dyDescent="0.25">
      <c r="A1864" t="s">
        <v>11</v>
      </c>
      <c r="B1864" t="str">
        <f>"2023/30/03/0133536"</f>
        <v>2023/30/03/0133536</v>
      </c>
      <c r="C1864" t="s">
        <v>49</v>
      </c>
      <c r="D1864" t="s">
        <v>3455</v>
      </c>
      <c r="E1864" t="str">
        <f t="shared" si="79"/>
        <v>7718151150</v>
      </c>
      <c r="F1864" t="s">
        <v>54</v>
      </c>
      <c r="G1864" t="s">
        <v>164</v>
      </c>
      <c r="H1864" t="s">
        <v>3492</v>
      </c>
      <c r="I1864" t="s">
        <v>17</v>
      </c>
      <c r="J1864" t="s">
        <v>166</v>
      </c>
    </row>
    <row r="1865" spans="1:10" x14ac:dyDescent="0.25">
      <c r="A1865" t="s">
        <v>11</v>
      </c>
      <c r="B1865" t="str">
        <f>"2023/30/03/0133537"</f>
        <v>2023/30/03/0133537</v>
      </c>
      <c r="C1865" t="s">
        <v>49</v>
      </c>
      <c r="D1865" t="s">
        <v>3455</v>
      </c>
      <c r="E1865" t="str">
        <f t="shared" si="79"/>
        <v>7718151150</v>
      </c>
      <c r="F1865" t="s">
        <v>54</v>
      </c>
      <c r="G1865" t="s">
        <v>164</v>
      </c>
      <c r="H1865" t="s">
        <v>3493</v>
      </c>
      <c r="I1865" t="s">
        <v>17</v>
      </c>
      <c r="J1865" t="s">
        <v>166</v>
      </c>
    </row>
    <row r="1866" spans="1:10" x14ac:dyDescent="0.25">
      <c r="A1866" t="s">
        <v>11</v>
      </c>
      <c r="B1866" t="str">
        <f>"2023/30/03/0132786"</f>
        <v>2023/30/03/0132786</v>
      </c>
      <c r="C1866" t="s">
        <v>49</v>
      </c>
      <c r="D1866" t="s">
        <v>3455</v>
      </c>
      <c r="E1866" t="str">
        <f t="shared" si="79"/>
        <v>7718151150</v>
      </c>
      <c r="F1866" t="s">
        <v>54</v>
      </c>
      <c r="G1866" t="s">
        <v>164</v>
      </c>
      <c r="H1866" t="s">
        <v>3494</v>
      </c>
      <c r="I1866" t="s">
        <v>17</v>
      </c>
      <c r="J1866" t="s">
        <v>166</v>
      </c>
    </row>
    <row r="1867" spans="1:10" hidden="1" x14ac:dyDescent="0.25">
      <c r="A1867" t="s">
        <v>11</v>
      </c>
      <c r="B1867" t="str">
        <f>"2023/30/03/0132784"</f>
        <v>2023/30/03/0132784</v>
      </c>
      <c r="C1867" t="s">
        <v>49</v>
      </c>
      <c r="D1867" t="s">
        <v>3455</v>
      </c>
      <c r="E1867" t="str">
        <f t="shared" si="79"/>
        <v>7718151150</v>
      </c>
      <c r="F1867" t="s">
        <v>54</v>
      </c>
      <c r="G1867" t="s">
        <v>3020</v>
      </c>
      <c r="H1867" t="s">
        <v>3495</v>
      </c>
      <c r="I1867" t="s">
        <v>17</v>
      </c>
      <c r="J1867" t="s">
        <v>18</v>
      </c>
    </row>
    <row r="1868" spans="1:10" hidden="1" x14ac:dyDescent="0.25">
      <c r="A1868" t="s">
        <v>11</v>
      </c>
      <c r="B1868" t="str">
        <f>"2023/30/03/0132785"</f>
        <v>2023/30/03/0132785</v>
      </c>
      <c r="C1868" t="s">
        <v>49</v>
      </c>
      <c r="D1868" t="s">
        <v>3455</v>
      </c>
      <c r="E1868" t="str">
        <f t="shared" si="79"/>
        <v>7718151150</v>
      </c>
      <c r="F1868" t="s">
        <v>54</v>
      </c>
      <c r="G1868" t="s">
        <v>3020</v>
      </c>
      <c r="H1868" t="s">
        <v>3496</v>
      </c>
      <c r="I1868" t="s">
        <v>17</v>
      </c>
      <c r="J1868" t="s">
        <v>18</v>
      </c>
    </row>
    <row r="1869" spans="1:10" hidden="1" x14ac:dyDescent="0.25">
      <c r="A1869" t="s">
        <v>11</v>
      </c>
      <c r="B1869" t="str">
        <f>"2023/30/03/0126927/41"</f>
        <v>2023/30/03/0126927/41</v>
      </c>
      <c r="C1869" t="s">
        <v>559</v>
      </c>
      <c r="D1869" t="s">
        <v>3455</v>
      </c>
      <c r="E1869" t="str">
        <f t="shared" si="79"/>
        <v>7718151150</v>
      </c>
      <c r="F1869" t="s">
        <v>54</v>
      </c>
      <c r="G1869" t="s">
        <v>61</v>
      </c>
      <c r="H1869" t="s">
        <v>3497</v>
      </c>
      <c r="I1869" t="s">
        <v>17</v>
      </c>
      <c r="J1869" t="s">
        <v>21</v>
      </c>
    </row>
    <row r="1870" spans="1:10" hidden="1" x14ac:dyDescent="0.25">
      <c r="A1870" t="s">
        <v>11</v>
      </c>
      <c r="B1870" t="str">
        <f>"2023/30/03/0126862/41"</f>
        <v>2023/30/03/0126862/41</v>
      </c>
      <c r="C1870" t="s">
        <v>559</v>
      </c>
      <c r="D1870" t="s">
        <v>3455</v>
      </c>
      <c r="E1870" t="str">
        <f t="shared" si="79"/>
        <v>7718151150</v>
      </c>
      <c r="F1870" t="s">
        <v>54</v>
      </c>
      <c r="G1870" t="s">
        <v>63</v>
      </c>
      <c r="H1870" t="s">
        <v>3498</v>
      </c>
      <c r="I1870" t="s">
        <v>17</v>
      </c>
      <c r="J1870" t="s">
        <v>21</v>
      </c>
    </row>
    <row r="1871" spans="1:10" hidden="1" x14ac:dyDescent="0.25">
      <c r="A1871" t="s">
        <v>11</v>
      </c>
      <c r="B1871" t="str">
        <f>"ОТ-3004-000034"</f>
        <v>ОТ-3004-000034</v>
      </c>
      <c r="C1871" t="s">
        <v>49</v>
      </c>
      <c r="D1871" t="s">
        <v>3455</v>
      </c>
      <c r="E1871" t="str">
        <f>"7839454551"</f>
        <v>7839454551</v>
      </c>
      <c r="F1871" t="s">
        <v>57</v>
      </c>
      <c r="G1871" t="s">
        <v>58</v>
      </c>
      <c r="H1871" t="s">
        <v>3499</v>
      </c>
      <c r="I1871" t="s">
        <v>17</v>
      </c>
      <c r="J1871" t="s">
        <v>18</v>
      </c>
    </row>
    <row r="1872" spans="1:10" hidden="1" x14ac:dyDescent="0.25">
      <c r="A1872" t="s">
        <v>11</v>
      </c>
      <c r="B1872" t="str">
        <f>"123-063/2"</f>
        <v>123-063/2</v>
      </c>
      <c r="C1872" t="s">
        <v>65</v>
      </c>
      <c r="D1872" t="s">
        <v>3455</v>
      </c>
      <c r="E1872" t="str">
        <f>"5001051656"</f>
        <v>5001051656</v>
      </c>
      <c r="F1872" t="s">
        <v>3500</v>
      </c>
      <c r="G1872" t="s">
        <v>3501</v>
      </c>
      <c r="H1872" t="s">
        <v>3502</v>
      </c>
      <c r="I1872" t="s">
        <v>17</v>
      </c>
      <c r="J1872" t="s">
        <v>18</v>
      </c>
    </row>
    <row r="1873" spans="1:10" hidden="1" x14ac:dyDescent="0.25">
      <c r="A1873" t="s">
        <v>11</v>
      </c>
      <c r="B1873" t="str">
        <f>"3991/690F"</f>
        <v>3991/690F</v>
      </c>
      <c r="C1873" t="s">
        <v>65</v>
      </c>
      <c r="D1873" t="s">
        <v>3455</v>
      </c>
      <c r="E1873" t="str">
        <f t="shared" ref="E1873:E1881" si="80">"5003052454"</f>
        <v>5003052454</v>
      </c>
      <c r="F1873" t="s">
        <v>14</v>
      </c>
      <c r="G1873" t="s">
        <v>443</v>
      </c>
      <c r="H1873" t="s">
        <v>3503</v>
      </c>
      <c r="I1873" t="s">
        <v>17</v>
      </c>
      <c r="J1873" t="s">
        <v>18</v>
      </c>
    </row>
    <row r="1874" spans="1:10" hidden="1" x14ac:dyDescent="0.25">
      <c r="A1874" t="s">
        <v>11</v>
      </c>
      <c r="B1874" t="str">
        <f>"3992/690F"</f>
        <v>3992/690F</v>
      </c>
      <c r="C1874" t="s">
        <v>65</v>
      </c>
      <c r="D1874" t="s">
        <v>3455</v>
      </c>
      <c r="E1874" t="str">
        <f t="shared" si="80"/>
        <v>5003052454</v>
      </c>
      <c r="F1874" t="s">
        <v>14</v>
      </c>
      <c r="G1874" t="s">
        <v>3504</v>
      </c>
      <c r="H1874" t="s">
        <v>3505</v>
      </c>
      <c r="I1874" t="s">
        <v>17</v>
      </c>
      <c r="J1874" t="s">
        <v>18</v>
      </c>
    </row>
    <row r="1875" spans="1:10" hidden="1" x14ac:dyDescent="0.25">
      <c r="A1875" t="s">
        <v>11</v>
      </c>
      <c r="B1875" t="str">
        <f>"3993/690F"</f>
        <v>3993/690F</v>
      </c>
      <c r="C1875" t="s">
        <v>65</v>
      </c>
      <c r="D1875" t="s">
        <v>3455</v>
      </c>
      <c r="E1875" t="str">
        <f t="shared" si="80"/>
        <v>5003052454</v>
      </c>
      <c r="F1875" t="s">
        <v>14</v>
      </c>
      <c r="G1875" t="s">
        <v>3506</v>
      </c>
      <c r="H1875" t="s">
        <v>3507</v>
      </c>
      <c r="I1875" t="s">
        <v>17</v>
      </c>
      <c r="J1875" t="s">
        <v>18</v>
      </c>
    </row>
    <row r="1876" spans="1:10" hidden="1" x14ac:dyDescent="0.25">
      <c r="A1876" t="s">
        <v>11</v>
      </c>
      <c r="B1876" t="str">
        <f>"3994/690F"</f>
        <v>3994/690F</v>
      </c>
      <c r="C1876" t="s">
        <v>65</v>
      </c>
      <c r="D1876" t="s">
        <v>3455</v>
      </c>
      <c r="E1876" t="str">
        <f t="shared" si="80"/>
        <v>5003052454</v>
      </c>
      <c r="F1876" t="s">
        <v>14</v>
      </c>
      <c r="G1876" t="s">
        <v>3508</v>
      </c>
      <c r="H1876" t="s">
        <v>3509</v>
      </c>
      <c r="I1876" t="s">
        <v>17</v>
      </c>
      <c r="J1876" t="s">
        <v>18</v>
      </c>
    </row>
    <row r="1877" spans="1:10" hidden="1" x14ac:dyDescent="0.25">
      <c r="A1877" t="s">
        <v>11</v>
      </c>
      <c r="B1877" t="str">
        <f>"3995/690F"</f>
        <v>3995/690F</v>
      </c>
      <c r="C1877" t="s">
        <v>65</v>
      </c>
      <c r="D1877" t="s">
        <v>3455</v>
      </c>
      <c r="E1877" t="str">
        <f t="shared" si="80"/>
        <v>5003052454</v>
      </c>
      <c r="F1877" t="s">
        <v>14</v>
      </c>
      <c r="G1877" t="s">
        <v>1851</v>
      </c>
      <c r="H1877" t="s">
        <v>3510</v>
      </c>
      <c r="I1877" t="s">
        <v>17</v>
      </c>
      <c r="J1877" t="s">
        <v>18</v>
      </c>
    </row>
    <row r="1878" spans="1:10" hidden="1" x14ac:dyDescent="0.25">
      <c r="A1878" t="s">
        <v>11</v>
      </c>
      <c r="B1878" t="str">
        <f>"3996/690F"</f>
        <v>3996/690F</v>
      </c>
      <c r="C1878" t="s">
        <v>65</v>
      </c>
      <c r="D1878" t="s">
        <v>3455</v>
      </c>
      <c r="E1878" t="str">
        <f t="shared" si="80"/>
        <v>5003052454</v>
      </c>
      <c r="F1878" t="s">
        <v>14</v>
      </c>
      <c r="G1878" t="s">
        <v>3511</v>
      </c>
      <c r="H1878" t="s">
        <v>3512</v>
      </c>
      <c r="I1878" t="s">
        <v>17</v>
      </c>
      <c r="J1878" t="s">
        <v>18</v>
      </c>
    </row>
    <row r="1879" spans="1:10" hidden="1" x14ac:dyDescent="0.25">
      <c r="A1879" t="s">
        <v>11</v>
      </c>
      <c r="B1879" t="str">
        <f>"3997/690F"</f>
        <v>3997/690F</v>
      </c>
      <c r="C1879" t="s">
        <v>65</v>
      </c>
      <c r="D1879" t="s">
        <v>3455</v>
      </c>
      <c r="E1879" t="str">
        <f t="shared" si="80"/>
        <v>5003052454</v>
      </c>
      <c r="F1879" t="s">
        <v>14</v>
      </c>
      <c r="G1879" t="s">
        <v>3513</v>
      </c>
      <c r="H1879" t="s">
        <v>3514</v>
      </c>
      <c r="I1879" t="s">
        <v>17</v>
      </c>
      <c r="J1879" t="s">
        <v>18</v>
      </c>
    </row>
    <row r="1880" spans="1:10" hidden="1" x14ac:dyDescent="0.25">
      <c r="A1880" t="s">
        <v>11</v>
      </c>
      <c r="B1880" t="str">
        <f>"48862/710E"</f>
        <v>48862/710E</v>
      </c>
      <c r="C1880" t="s">
        <v>65</v>
      </c>
      <c r="D1880" t="s">
        <v>3455</v>
      </c>
      <c r="E1880" t="str">
        <f t="shared" si="80"/>
        <v>5003052454</v>
      </c>
      <c r="F1880" t="s">
        <v>14</v>
      </c>
      <c r="G1880" t="s">
        <v>3515</v>
      </c>
      <c r="H1880" t="s">
        <v>3516</v>
      </c>
      <c r="I1880" t="s">
        <v>17</v>
      </c>
      <c r="J1880" t="s">
        <v>18</v>
      </c>
    </row>
    <row r="1881" spans="1:10" hidden="1" x14ac:dyDescent="0.25">
      <c r="A1881" t="s">
        <v>11</v>
      </c>
      <c r="B1881" t="str">
        <f>"48870/710E"</f>
        <v>48870/710E</v>
      </c>
      <c r="C1881" t="s">
        <v>65</v>
      </c>
      <c r="D1881" t="s">
        <v>3455</v>
      </c>
      <c r="E1881" t="str">
        <f t="shared" si="80"/>
        <v>5003052454</v>
      </c>
      <c r="F1881" t="s">
        <v>14</v>
      </c>
      <c r="G1881" t="s">
        <v>3517</v>
      </c>
      <c r="H1881" t="s">
        <v>3518</v>
      </c>
      <c r="I1881" t="s">
        <v>17</v>
      </c>
      <c r="J1881" t="s">
        <v>18</v>
      </c>
    </row>
    <row r="1882" spans="1:10" hidden="1" x14ac:dyDescent="0.25">
      <c r="A1882" t="s">
        <v>11</v>
      </c>
      <c r="B1882" t="str">
        <f>"UT-106775"</f>
        <v>UT-106775</v>
      </c>
      <c r="C1882" t="s">
        <v>65</v>
      </c>
      <c r="D1882" t="s">
        <v>3455</v>
      </c>
      <c r="E1882" t="str">
        <f>"7806385951"</f>
        <v>7806385951</v>
      </c>
      <c r="F1882" t="s">
        <v>26</v>
      </c>
      <c r="G1882" t="s">
        <v>3519</v>
      </c>
      <c r="H1882" t="s">
        <v>3520</v>
      </c>
      <c r="I1882" t="s">
        <v>17</v>
      </c>
      <c r="J1882" t="s">
        <v>18</v>
      </c>
    </row>
    <row r="1883" spans="1:10" hidden="1" x14ac:dyDescent="0.25">
      <c r="A1883" t="s">
        <v>11</v>
      </c>
      <c r="B1883" t="str">
        <f>"UT-106776"</f>
        <v>UT-106776</v>
      </c>
      <c r="C1883" t="s">
        <v>65</v>
      </c>
      <c r="D1883" t="s">
        <v>3455</v>
      </c>
      <c r="E1883" t="str">
        <f>"7806385951"</f>
        <v>7806385951</v>
      </c>
      <c r="F1883" t="s">
        <v>26</v>
      </c>
      <c r="G1883" t="s">
        <v>3521</v>
      </c>
      <c r="H1883" t="s">
        <v>3522</v>
      </c>
      <c r="I1883" t="s">
        <v>17</v>
      </c>
      <c r="J1883" t="s">
        <v>18</v>
      </c>
    </row>
    <row r="1884" spans="1:10" hidden="1" x14ac:dyDescent="0.25">
      <c r="A1884" t="s">
        <v>11</v>
      </c>
      <c r="B1884" t="str">
        <f>"UT-106914"</f>
        <v>UT-106914</v>
      </c>
      <c r="C1884" t="s">
        <v>65</v>
      </c>
      <c r="D1884" t="s">
        <v>3455</v>
      </c>
      <c r="E1884" t="str">
        <f>"7806385951"</f>
        <v>7806385951</v>
      </c>
      <c r="F1884" t="s">
        <v>26</v>
      </c>
      <c r="G1884" t="s">
        <v>3523</v>
      </c>
      <c r="H1884" t="s">
        <v>3524</v>
      </c>
      <c r="I1884" t="s">
        <v>17</v>
      </c>
      <c r="J1884" t="s">
        <v>18</v>
      </c>
    </row>
    <row r="1885" spans="1:10" hidden="1" x14ac:dyDescent="0.25">
      <c r="A1885" t="s">
        <v>11</v>
      </c>
      <c r="B1885" t="str">
        <f>"УТ-305-000080"</f>
        <v>УТ-305-000080</v>
      </c>
      <c r="C1885" t="s">
        <v>65</v>
      </c>
      <c r="D1885" t="s">
        <v>3455</v>
      </c>
      <c r="E1885" t="str">
        <f>"7839454551"</f>
        <v>7839454551</v>
      </c>
      <c r="F1885" t="s">
        <v>57</v>
      </c>
      <c r="G1885" t="s">
        <v>2747</v>
      </c>
      <c r="H1885" t="s">
        <v>3525</v>
      </c>
      <c r="I1885" t="s">
        <v>17</v>
      </c>
      <c r="J1885" t="s">
        <v>18</v>
      </c>
    </row>
    <row r="1886" spans="1:10" hidden="1" x14ac:dyDescent="0.25">
      <c r="A1886" t="s">
        <v>11</v>
      </c>
      <c r="B1886" t="str">
        <f>"УТ-305-000067"</f>
        <v>УТ-305-000067</v>
      </c>
      <c r="C1886" t="s">
        <v>65</v>
      </c>
      <c r="D1886" t="s">
        <v>3455</v>
      </c>
      <c r="E1886" t="str">
        <f>"7839454551"</f>
        <v>7839454551</v>
      </c>
      <c r="F1886" t="s">
        <v>57</v>
      </c>
      <c r="G1886" t="s">
        <v>3526</v>
      </c>
      <c r="H1886" t="s">
        <v>3527</v>
      </c>
      <c r="I1886" t="s">
        <v>17</v>
      </c>
      <c r="J1886" t="s">
        <v>18</v>
      </c>
    </row>
    <row r="1887" spans="1:10" hidden="1" x14ac:dyDescent="0.25">
      <c r="A1887" t="s">
        <v>11</v>
      </c>
      <c r="B1887" t="str">
        <f>"УТ-305-000063"</f>
        <v>УТ-305-000063</v>
      </c>
      <c r="C1887" t="s">
        <v>65</v>
      </c>
      <c r="D1887" t="s">
        <v>3455</v>
      </c>
      <c r="E1887" t="str">
        <f>"7839454551"</f>
        <v>7839454551</v>
      </c>
      <c r="F1887" t="s">
        <v>57</v>
      </c>
      <c r="G1887" t="s">
        <v>3528</v>
      </c>
      <c r="H1887" t="s">
        <v>3529</v>
      </c>
      <c r="I1887" t="s">
        <v>17</v>
      </c>
      <c r="J1887" t="s">
        <v>18</v>
      </c>
    </row>
    <row r="1888" spans="1:10" hidden="1" x14ac:dyDescent="0.25">
      <c r="A1888" t="s">
        <v>11</v>
      </c>
      <c r="B1888" t="str">
        <f>"873"</f>
        <v>873</v>
      </c>
      <c r="C1888" t="s">
        <v>49</v>
      </c>
      <c r="D1888" t="s">
        <v>3455</v>
      </c>
      <c r="E1888" t="str">
        <f>"7704340969"</f>
        <v>7704340969</v>
      </c>
      <c r="F1888" t="s">
        <v>76</v>
      </c>
      <c r="G1888" t="s">
        <v>665</v>
      </c>
      <c r="H1888" t="s">
        <v>3530</v>
      </c>
      <c r="I1888" t="s">
        <v>17</v>
      </c>
      <c r="J1888" t="s">
        <v>18</v>
      </c>
    </row>
    <row r="1889" spans="1:10" hidden="1" x14ac:dyDescent="0.25">
      <c r="A1889" t="s">
        <v>11</v>
      </c>
      <c r="B1889" t="str">
        <f>"904"</f>
        <v>904</v>
      </c>
      <c r="C1889" t="s">
        <v>49</v>
      </c>
      <c r="D1889" t="s">
        <v>3455</v>
      </c>
      <c r="E1889" t="str">
        <f>"7704340969"</f>
        <v>7704340969</v>
      </c>
      <c r="F1889" t="s">
        <v>76</v>
      </c>
      <c r="G1889" t="s">
        <v>669</v>
      </c>
      <c r="H1889" t="s">
        <v>3531</v>
      </c>
      <c r="I1889" t="s">
        <v>17</v>
      </c>
      <c r="J1889" t="s">
        <v>18</v>
      </c>
    </row>
    <row r="1890" spans="1:10" hidden="1" x14ac:dyDescent="0.25">
      <c r="A1890" t="s">
        <v>11</v>
      </c>
      <c r="B1890" t="str">
        <f>"932"</f>
        <v>932</v>
      </c>
      <c r="C1890" t="s">
        <v>49</v>
      </c>
      <c r="D1890" t="s">
        <v>3455</v>
      </c>
      <c r="E1890" t="str">
        <f>"7704340969"</f>
        <v>7704340969</v>
      </c>
      <c r="F1890" t="s">
        <v>76</v>
      </c>
      <c r="G1890" t="s">
        <v>671</v>
      </c>
      <c r="H1890" t="s">
        <v>3532</v>
      </c>
      <c r="I1890" t="s">
        <v>17</v>
      </c>
      <c r="J1890" t="s">
        <v>18</v>
      </c>
    </row>
    <row r="1891" spans="1:10" hidden="1" x14ac:dyDescent="0.25">
      <c r="A1891" t="s">
        <v>11</v>
      </c>
      <c r="B1891" t="str">
        <f>"976"</f>
        <v>976</v>
      </c>
      <c r="C1891" t="s">
        <v>49</v>
      </c>
      <c r="D1891" t="s">
        <v>3455</v>
      </c>
      <c r="E1891" t="str">
        <f>"7704340969"</f>
        <v>7704340969</v>
      </c>
      <c r="F1891" t="s">
        <v>76</v>
      </c>
      <c r="G1891" t="s">
        <v>673</v>
      </c>
      <c r="H1891" t="s">
        <v>3533</v>
      </c>
      <c r="I1891" t="s">
        <v>17</v>
      </c>
      <c r="J1891" t="s">
        <v>18</v>
      </c>
    </row>
    <row r="1892" spans="1:10" hidden="1" x14ac:dyDescent="0.25">
      <c r="A1892" t="s">
        <v>11</v>
      </c>
      <c r="B1892" t="str">
        <f>"2281"</f>
        <v>2281</v>
      </c>
      <c r="C1892" t="s">
        <v>12</v>
      </c>
      <c r="D1892" t="s">
        <v>3455</v>
      </c>
      <c r="E1892" t="str">
        <f>"7825076677"</f>
        <v>7825076677</v>
      </c>
      <c r="F1892" t="s">
        <v>891</v>
      </c>
      <c r="G1892" t="s">
        <v>3534</v>
      </c>
      <c r="H1892" t="s">
        <v>3535</v>
      </c>
      <c r="I1892" t="s">
        <v>17</v>
      </c>
      <c r="J1892" t="s">
        <v>18</v>
      </c>
    </row>
    <row r="1893" spans="1:10" hidden="1" x14ac:dyDescent="0.25">
      <c r="A1893" t="s">
        <v>11</v>
      </c>
      <c r="B1893" t="str">
        <f>"7710/8174433482"</f>
        <v>7710/8174433482</v>
      </c>
      <c r="C1893" t="s">
        <v>65</v>
      </c>
      <c r="D1893" t="s">
        <v>3455</v>
      </c>
      <c r="E1893" t="str">
        <f>"5032260402"</f>
        <v>5032260402</v>
      </c>
      <c r="F1893" t="s">
        <v>341</v>
      </c>
      <c r="G1893" t="s">
        <v>3536</v>
      </c>
      <c r="H1893" t="s">
        <v>3537</v>
      </c>
      <c r="I1893" t="s">
        <v>17</v>
      </c>
      <c r="J1893" t="s">
        <v>18</v>
      </c>
    </row>
    <row r="1894" spans="1:10" hidden="1" x14ac:dyDescent="0.25">
      <c r="A1894" t="s">
        <v>11</v>
      </c>
      <c r="B1894" t="str">
        <f>"2023/30/03/0134246"</f>
        <v>2023/30/03/0134246</v>
      </c>
      <c r="C1894" t="s">
        <v>12</v>
      </c>
      <c r="D1894" t="s">
        <v>3455</v>
      </c>
      <c r="E1894" t="str">
        <f>"7718151150"</f>
        <v>7718151150</v>
      </c>
      <c r="F1894" t="s">
        <v>54</v>
      </c>
      <c r="G1894" t="s">
        <v>63</v>
      </c>
      <c r="H1894" t="s">
        <v>3538</v>
      </c>
      <c r="I1894" t="s">
        <v>17</v>
      </c>
      <c r="J1894" t="s">
        <v>18</v>
      </c>
    </row>
    <row r="1895" spans="1:10" hidden="1" x14ac:dyDescent="0.25">
      <c r="A1895" t="s">
        <v>11</v>
      </c>
      <c r="B1895" t="str">
        <f>"2023/30/03/0134245"</f>
        <v>2023/30/03/0134245</v>
      </c>
      <c r="C1895" t="s">
        <v>12</v>
      </c>
      <c r="D1895" t="s">
        <v>3455</v>
      </c>
      <c r="E1895" t="str">
        <f>"7718151150"</f>
        <v>7718151150</v>
      </c>
      <c r="F1895" t="s">
        <v>54</v>
      </c>
      <c r="G1895" t="s">
        <v>55</v>
      </c>
      <c r="H1895" t="s">
        <v>3539</v>
      </c>
      <c r="I1895" t="s">
        <v>17</v>
      </c>
      <c r="J1895" t="s">
        <v>18</v>
      </c>
    </row>
    <row r="1896" spans="1:10" hidden="1" x14ac:dyDescent="0.25">
      <c r="A1896" t="s">
        <v>11</v>
      </c>
      <c r="B1896" t="str">
        <f>"2244"</f>
        <v>2244</v>
      </c>
      <c r="C1896" t="s">
        <v>49</v>
      </c>
      <c r="D1896" t="s">
        <v>3455</v>
      </c>
      <c r="E1896" t="str">
        <f>"7707616703"</f>
        <v>7707616703</v>
      </c>
      <c r="F1896" t="s">
        <v>3540</v>
      </c>
      <c r="G1896" t="s">
        <v>3541</v>
      </c>
      <c r="H1896" t="s">
        <v>3542</v>
      </c>
      <c r="I1896" t="s">
        <v>17</v>
      </c>
      <c r="J1896" t="s">
        <v>18</v>
      </c>
    </row>
    <row r="1897" spans="1:10" hidden="1" x14ac:dyDescent="0.25">
      <c r="A1897" t="s">
        <v>11</v>
      </c>
      <c r="B1897" t="str">
        <f>"27935"</f>
        <v>27935</v>
      </c>
      <c r="C1897" t="s">
        <v>65</v>
      </c>
      <c r="D1897" t="s">
        <v>3455</v>
      </c>
      <c r="E1897" t="str">
        <f>"7729488999"</f>
        <v>7729488999</v>
      </c>
      <c r="F1897" t="s">
        <v>85</v>
      </c>
      <c r="G1897" t="s">
        <v>3543</v>
      </c>
      <c r="H1897" t="s">
        <v>3544</v>
      </c>
      <c r="I1897" t="s">
        <v>17</v>
      </c>
      <c r="J1897" t="s">
        <v>18</v>
      </c>
    </row>
    <row r="1898" spans="1:10" hidden="1" x14ac:dyDescent="0.25">
      <c r="A1898" t="s">
        <v>11</v>
      </c>
      <c r="B1898" t="str">
        <f>"27338"</f>
        <v>27338</v>
      </c>
      <c r="C1898" t="s">
        <v>12</v>
      </c>
      <c r="D1898" t="s">
        <v>3455</v>
      </c>
      <c r="E1898" t="str">
        <f>"7729488999"</f>
        <v>7729488999</v>
      </c>
      <c r="F1898" t="s">
        <v>85</v>
      </c>
      <c r="G1898" t="s">
        <v>3545</v>
      </c>
      <c r="H1898" t="s">
        <v>3546</v>
      </c>
      <c r="I1898" t="s">
        <v>17</v>
      </c>
      <c r="J1898" t="s">
        <v>18</v>
      </c>
    </row>
    <row r="1899" spans="1:10" hidden="1" x14ac:dyDescent="0.25">
      <c r="A1899" t="s">
        <v>11</v>
      </c>
      <c r="B1899" t="str">
        <f>"2023/30/03/0136315"</f>
        <v>2023/30/03/0136315</v>
      </c>
      <c r="C1899" t="s">
        <v>65</v>
      </c>
      <c r="D1899" t="s">
        <v>3455</v>
      </c>
      <c r="E1899" t="str">
        <f>"7718151150"</f>
        <v>7718151150</v>
      </c>
      <c r="F1899" t="s">
        <v>54</v>
      </c>
      <c r="G1899" t="s">
        <v>55</v>
      </c>
      <c r="H1899" t="s">
        <v>3547</v>
      </c>
      <c r="I1899" t="s">
        <v>17</v>
      </c>
      <c r="J1899" t="s">
        <v>18</v>
      </c>
    </row>
    <row r="1900" spans="1:10" hidden="1" x14ac:dyDescent="0.25">
      <c r="A1900" t="s">
        <v>11</v>
      </c>
      <c r="B1900" t="str">
        <f>"108"</f>
        <v>108</v>
      </c>
      <c r="C1900" t="s">
        <v>49</v>
      </c>
      <c r="D1900" t="s">
        <v>3455</v>
      </c>
      <c r="E1900" t="str">
        <f>"7743128596"</f>
        <v>7743128596</v>
      </c>
      <c r="F1900" t="s">
        <v>351</v>
      </c>
      <c r="G1900" t="s">
        <v>352</v>
      </c>
      <c r="H1900" t="s">
        <v>3548</v>
      </c>
      <c r="I1900" t="s">
        <v>17</v>
      </c>
      <c r="J1900" t="s">
        <v>18</v>
      </c>
    </row>
    <row r="1901" spans="1:10" hidden="1" x14ac:dyDescent="0.25">
      <c r="A1901" t="s">
        <v>11</v>
      </c>
      <c r="B1901" t="str">
        <f>"УТ-405-000046"</f>
        <v>УТ-405-000046</v>
      </c>
      <c r="C1901" t="s">
        <v>100</v>
      </c>
      <c r="D1901" t="s">
        <v>3455</v>
      </c>
      <c r="E1901" t="str">
        <f>"7839454551"</f>
        <v>7839454551</v>
      </c>
      <c r="F1901" t="s">
        <v>57</v>
      </c>
      <c r="G1901" t="s">
        <v>3549</v>
      </c>
      <c r="H1901" t="s">
        <v>3550</v>
      </c>
      <c r="I1901" t="s">
        <v>17</v>
      </c>
      <c r="J1901" t="s">
        <v>18</v>
      </c>
    </row>
    <row r="1902" spans="1:10" hidden="1" x14ac:dyDescent="0.25">
      <c r="A1902" t="s">
        <v>11</v>
      </c>
      <c r="B1902" t="str">
        <f>"УТ-405-000031"</f>
        <v>УТ-405-000031</v>
      </c>
      <c r="C1902" t="s">
        <v>100</v>
      </c>
      <c r="D1902" t="s">
        <v>3455</v>
      </c>
      <c r="E1902" t="str">
        <f>"7839454551"</f>
        <v>7839454551</v>
      </c>
      <c r="F1902" t="s">
        <v>57</v>
      </c>
      <c r="G1902" t="s">
        <v>3551</v>
      </c>
      <c r="H1902" t="s">
        <v>3552</v>
      </c>
      <c r="I1902" t="s">
        <v>17</v>
      </c>
      <c r="J1902" t="s">
        <v>18</v>
      </c>
    </row>
    <row r="1903" spans="1:10" hidden="1" x14ac:dyDescent="0.25">
      <c r="A1903" t="s">
        <v>11</v>
      </c>
      <c r="B1903" t="str">
        <f>"ОТ-2802-000039"</f>
        <v>ОТ-2802-000039</v>
      </c>
      <c r="C1903" t="s">
        <v>3553</v>
      </c>
      <c r="D1903" t="s">
        <v>3455</v>
      </c>
      <c r="E1903" t="str">
        <f>"7839454551"</f>
        <v>7839454551</v>
      </c>
      <c r="F1903" t="s">
        <v>57</v>
      </c>
      <c r="G1903" t="s">
        <v>58</v>
      </c>
      <c r="H1903" t="s">
        <v>3554</v>
      </c>
      <c r="I1903" t="s">
        <v>17</v>
      </c>
      <c r="J1903" t="s">
        <v>18</v>
      </c>
    </row>
    <row r="1904" spans="1:10" hidden="1" x14ac:dyDescent="0.25">
      <c r="A1904" t="s">
        <v>11</v>
      </c>
      <c r="B1904" t="str">
        <f>"13470503-07"</f>
        <v>13470503-07</v>
      </c>
      <c r="C1904" t="s">
        <v>65</v>
      </c>
      <c r="D1904" t="s">
        <v>3455</v>
      </c>
      <c r="E1904" t="str">
        <f>"7709242041"</f>
        <v>7709242041</v>
      </c>
      <c r="F1904" t="s">
        <v>1502</v>
      </c>
      <c r="G1904" t="s">
        <v>3555</v>
      </c>
      <c r="H1904" t="s">
        <v>3556</v>
      </c>
      <c r="I1904" t="s">
        <v>17</v>
      </c>
      <c r="J1904" t="s">
        <v>18</v>
      </c>
    </row>
    <row r="1905" spans="1:10" hidden="1" x14ac:dyDescent="0.25">
      <c r="A1905" t="s">
        <v>11</v>
      </c>
      <c r="B1905" t="str">
        <f>"27755"</f>
        <v>27755</v>
      </c>
      <c r="C1905" t="s">
        <v>65</v>
      </c>
      <c r="D1905" t="s">
        <v>3455</v>
      </c>
      <c r="E1905" t="str">
        <f>"7729488999"</f>
        <v>7729488999</v>
      </c>
      <c r="F1905" t="s">
        <v>85</v>
      </c>
      <c r="G1905" t="s">
        <v>3557</v>
      </c>
      <c r="H1905" t="s">
        <v>3558</v>
      </c>
      <c r="I1905" t="s">
        <v>17</v>
      </c>
      <c r="J1905" t="s">
        <v>18</v>
      </c>
    </row>
    <row r="1906" spans="1:10" hidden="1" x14ac:dyDescent="0.25">
      <c r="A1906" t="s">
        <v>11</v>
      </c>
      <c r="B1906" t="str">
        <f>"171"</f>
        <v>171</v>
      </c>
      <c r="C1906" t="s">
        <v>49</v>
      </c>
      <c r="D1906" t="s">
        <v>3455</v>
      </c>
      <c r="E1906" t="str">
        <f>"7702392168"</f>
        <v>7702392168</v>
      </c>
      <c r="F1906" t="s">
        <v>97</v>
      </c>
      <c r="G1906" t="s">
        <v>3559</v>
      </c>
      <c r="H1906" t="s">
        <v>3560</v>
      </c>
      <c r="I1906" t="s">
        <v>17</v>
      </c>
      <c r="J1906" t="s">
        <v>18</v>
      </c>
    </row>
    <row r="1907" spans="1:10" hidden="1" x14ac:dyDescent="0.25">
      <c r="A1907" t="s">
        <v>11</v>
      </c>
      <c r="B1907" t="str">
        <f>"SR110023268"</f>
        <v>SR110023268</v>
      </c>
      <c r="C1907" t="s">
        <v>100</v>
      </c>
      <c r="D1907" t="s">
        <v>3455</v>
      </c>
      <c r="E1907" t="str">
        <f>"4725006920"</f>
        <v>4725006920</v>
      </c>
      <c r="F1907" t="s">
        <v>101</v>
      </c>
      <c r="G1907" t="s">
        <v>3561</v>
      </c>
      <c r="H1907" t="s">
        <v>3562</v>
      </c>
      <c r="I1907" t="s">
        <v>17</v>
      </c>
      <c r="J1907" t="s">
        <v>18</v>
      </c>
    </row>
    <row r="1908" spans="1:10" hidden="1" x14ac:dyDescent="0.25">
      <c r="A1908" t="s">
        <v>11</v>
      </c>
      <c r="B1908" t="str">
        <f>"SR110023235"</f>
        <v>SR110023235</v>
      </c>
      <c r="C1908" t="s">
        <v>100</v>
      </c>
      <c r="D1908" t="s">
        <v>3455</v>
      </c>
      <c r="E1908" t="str">
        <f>"4725006920"</f>
        <v>4725006920</v>
      </c>
      <c r="F1908" t="s">
        <v>101</v>
      </c>
      <c r="G1908" t="s">
        <v>3563</v>
      </c>
      <c r="H1908" t="s">
        <v>3564</v>
      </c>
      <c r="I1908" t="s">
        <v>17</v>
      </c>
      <c r="J1908" t="s">
        <v>18</v>
      </c>
    </row>
    <row r="1909" spans="1:10" hidden="1" x14ac:dyDescent="0.25">
      <c r="A1909" t="s">
        <v>11</v>
      </c>
      <c r="B1909" t="str">
        <f>"SR110023270"</f>
        <v>SR110023270</v>
      </c>
      <c r="C1909" t="s">
        <v>100</v>
      </c>
      <c r="D1909" t="s">
        <v>3455</v>
      </c>
      <c r="E1909" t="str">
        <f>"4725006920"</f>
        <v>4725006920</v>
      </c>
      <c r="F1909" t="s">
        <v>101</v>
      </c>
      <c r="G1909" t="s">
        <v>3565</v>
      </c>
      <c r="H1909" t="s">
        <v>3566</v>
      </c>
      <c r="I1909" t="s">
        <v>17</v>
      </c>
      <c r="J1909" t="s">
        <v>18</v>
      </c>
    </row>
    <row r="1910" spans="1:10" hidden="1" x14ac:dyDescent="0.25">
      <c r="A1910" t="s">
        <v>11</v>
      </c>
      <c r="B1910" t="str">
        <f>"SR110023262"</f>
        <v>SR110023262</v>
      </c>
      <c r="C1910" t="s">
        <v>100</v>
      </c>
      <c r="D1910" t="s">
        <v>3455</v>
      </c>
      <c r="E1910" t="str">
        <f>"4725006920"</f>
        <v>4725006920</v>
      </c>
      <c r="F1910" t="s">
        <v>101</v>
      </c>
      <c r="G1910" t="s">
        <v>3567</v>
      </c>
      <c r="H1910" t="s">
        <v>3568</v>
      </c>
      <c r="I1910" t="s">
        <v>17</v>
      </c>
      <c r="J1910" t="s">
        <v>18</v>
      </c>
    </row>
    <row r="1911" spans="1:10" hidden="1" x14ac:dyDescent="0.25">
      <c r="A1911" t="s">
        <v>11</v>
      </c>
      <c r="B1911" t="str">
        <f>"49301/710E"</f>
        <v>49301/710E</v>
      </c>
      <c r="C1911" t="s">
        <v>100</v>
      </c>
      <c r="D1911" t="s">
        <v>3455</v>
      </c>
      <c r="E1911" t="str">
        <f>"5003052454"</f>
        <v>5003052454</v>
      </c>
      <c r="F1911" t="s">
        <v>14</v>
      </c>
      <c r="G1911" t="s">
        <v>3569</v>
      </c>
      <c r="H1911" t="s">
        <v>3570</v>
      </c>
      <c r="I1911" t="s">
        <v>17</v>
      </c>
      <c r="J1911" t="s">
        <v>18</v>
      </c>
    </row>
    <row r="1912" spans="1:10" hidden="1" x14ac:dyDescent="0.25">
      <c r="A1912" t="s">
        <v>11</v>
      </c>
      <c r="B1912" t="str">
        <f>"49302/710E"</f>
        <v>49302/710E</v>
      </c>
      <c r="C1912" t="s">
        <v>100</v>
      </c>
      <c r="D1912" t="s">
        <v>3455</v>
      </c>
      <c r="E1912" t="str">
        <f>"5003052454"</f>
        <v>5003052454</v>
      </c>
      <c r="F1912" t="s">
        <v>14</v>
      </c>
      <c r="G1912" t="s">
        <v>3571</v>
      </c>
      <c r="H1912" t="s">
        <v>3572</v>
      </c>
      <c r="I1912" t="s">
        <v>17</v>
      </c>
      <c r="J1912" t="s">
        <v>18</v>
      </c>
    </row>
    <row r="1913" spans="1:10" hidden="1" x14ac:dyDescent="0.25">
      <c r="A1913" t="s">
        <v>11</v>
      </c>
      <c r="B1913" t="str">
        <f>"49304/710E"</f>
        <v>49304/710E</v>
      </c>
      <c r="C1913" t="s">
        <v>100</v>
      </c>
      <c r="D1913" t="s">
        <v>3455</v>
      </c>
      <c r="E1913" t="str">
        <f>"5003052454"</f>
        <v>5003052454</v>
      </c>
      <c r="F1913" t="s">
        <v>14</v>
      </c>
      <c r="G1913" t="s">
        <v>3573</v>
      </c>
      <c r="H1913" t="s">
        <v>3574</v>
      </c>
      <c r="I1913" t="s">
        <v>17</v>
      </c>
      <c r="J1913" t="s">
        <v>18</v>
      </c>
    </row>
    <row r="1914" spans="1:10" hidden="1" x14ac:dyDescent="0.25">
      <c r="A1914" t="s">
        <v>11</v>
      </c>
      <c r="B1914" t="str">
        <f>"49303/710E"</f>
        <v>49303/710E</v>
      </c>
      <c r="C1914" t="s">
        <v>100</v>
      </c>
      <c r="D1914" t="s">
        <v>3455</v>
      </c>
      <c r="E1914" t="str">
        <f>"5003052454"</f>
        <v>5003052454</v>
      </c>
      <c r="F1914" t="s">
        <v>14</v>
      </c>
      <c r="G1914" t="s">
        <v>3575</v>
      </c>
      <c r="H1914" t="s">
        <v>3576</v>
      </c>
      <c r="I1914" t="s">
        <v>17</v>
      </c>
      <c r="J1914" t="s">
        <v>18</v>
      </c>
    </row>
    <row r="1915" spans="1:10" hidden="1" x14ac:dyDescent="0.25">
      <c r="A1915" t="s">
        <v>11</v>
      </c>
      <c r="B1915" t="str">
        <f>"UT-108407"</f>
        <v>UT-108407</v>
      </c>
      <c r="C1915" t="s">
        <v>100</v>
      </c>
      <c r="D1915" t="s">
        <v>3455</v>
      </c>
      <c r="E1915" t="str">
        <f>"7806385951"</f>
        <v>7806385951</v>
      </c>
      <c r="F1915" t="s">
        <v>26</v>
      </c>
      <c r="G1915" t="s">
        <v>3577</v>
      </c>
      <c r="H1915" t="s">
        <v>3578</v>
      </c>
      <c r="I1915" t="s">
        <v>17</v>
      </c>
      <c r="J1915" t="s">
        <v>18</v>
      </c>
    </row>
    <row r="1916" spans="1:10" hidden="1" x14ac:dyDescent="0.25">
      <c r="A1916" t="s">
        <v>11</v>
      </c>
      <c r="B1916" t="str">
        <f>"UT-108406"</f>
        <v>UT-108406</v>
      </c>
      <c r="C1916" t="s">
        <v>100</v>
      </c>
      <c r="D1916" t="s">
        <v>3455</v>
      </c>
      <c r="E1916" t="str">
        <f>"7806385951"</f>
        <v>7806385951</v>
      </c>
      <c r="F1916" t="s">
        <v>26</v>
      </c>
      <c r="G1916" t="s">
        <v>3579</v>
      </c>
      <c r="H1916" t="s">
        <v>3580</v>
      </c>
      <c r="I1916" t="s">
        <v>17</v>
      </c>
      <c r="J1916" t="s">
        <v>21</v>
      </c>
    </row>
    <row r="1917" spans="1:10" hidden="1" x14ac:dyDescent="0.25">
      <c r="A1917" t="s">
        <v>11</v>
      </c>
      <c r="B1917" t="str">
        <f>"UT-108408"</f>
        <v>UT-108408</v>
      </c>
      <c r="C1917" t="s">
        <v>100</v>
      </c>
      <c r="D1917" t="s">
        <v>3455</v>
      </c>
      <c r="E1917" t="str">
        <f>"7806385951"</f>
        <v>7806385951</v>
      </c>
      <c r="F1917" t="s">
        <v>26</v>
      </c>
      <c r="G1917" t="s">
        <v>3581</v>
      </c>
      <c r="H1917" t="s">
        <v>3582</v>
      </c>
      <c r="I1917" t="s">
        <v>17</v>
      </c>
      <c r="J1917" t="s">
        <v>18</v>
      </c>
    </row>
    <row r="1918" spans="1:10" hidden="1" x14ac:dyDescent="0.25">
      <c r="A1918" t="s">
        <v>11</v>
      </c>
      <c r="B1918" t="str">
        <f>"SR110023377"</f>
        <v>SR110023377</v>
      </c>
      <c r="C1918" t="s">
        <v>100</v>
      </c>
      <c r="D1918" t="s">
        <v>3455</v>
      </c>
      <c r="E1918" t="str">
        <f>"4725006920"</f>
        <v>4725006920</v>
      </c>
      <c r="F1918" t="s">
        <v>101</v>
      </c>
      <c r="G1918" t="s">
        <v>2268</v>
      </c>
      <c r="H1918" t="s">
        <v>3583</v>
      </c>
      <c r="I1918" t="s">
        <v>17</v>
      </c>
      <c r="J1918" t="s">
        <v>18</v>
      </c>
    </row>
    <row r="1919" spans="1:10" hidden="1" x14ac:dyDescent="0.25">
      <c r="A1919" t="s">
        <v>11</v>
      </c>
      <c r="B1919" t="str">
        <f>"SR110023316"</f>
        <v>SR110023316</v>
      </c>
      <c r="C1919" t="s">
        <v>100</v>
      </c>
      <c r="D1919" t="s">
        <v>3455</v>
      </c>
      <c r="E1919" t="str">
        <f>"4725006920"</f>
        <v>4725006920</v>
      </c>
      <c r="F1919" t="s">
        <v>101</v>
      </c>
      <c r="G1919" t="s">
        <v>3584</v>
      </c>
      <c r="H1919" t="s">
        <v>3585</v>
      </c>
      <c r="I1919" t="s">
        <v>17</v>
      </c>
      <c r="J1919" t="s">
        <v>18</v>
      </c>
    </row>
    <row r="1920" spans="1:10" hidden="1" x14ac:dyDescent="0.25">
      <c r="A1920" t="s">
        <v>11</v>
      </c>
      <c r="B1920" t="str">
        <f>"SR110023314"</f>
        <v>SR110023314</v>
      </c>
      <c r="C1920" t="s">
        <v>100</v>
      </c>
      <c r="D1920" t="s">
        <v>3455</v>
      </c>
      <c r="E1920" t="str">
        <f>"4725006920"</f>
        <v>4725006920</v>
      </c>
      <c r="F1920" t="s">
        <v>101</v>
      </c>
      <c r="G1920" t="s">
        <v>3586</v>
      </c>
      <c r="H1920" t="s">
        <v>3587</v>
      </c>
      <c r="I1920" t="s">
        <v>17</v>
      </c>
      <c r="J1920" t="s">
        <v>18</v>
      </c>
    </row>
    <row r="1921" spans="1:10" hidden="1" x14ac:dyDescent="0.25">
      <c r="A1921" t="s">
        <v>11</v>
      </c>
      <c r="B1921" t="str">
        <f>"44230/002"</f>
        <v>44230/002</v>
      </c>
      <c r="C1921" t="s">
        <v>100</v>
      </c>
      <c r="D1921" t="s">
        <v>3455</v>
      </c>
      <c r="E1921" t="str">
        <f>"6950155589"</f>
        <v>6950155589</v>
      </c>
      <c r="F1921" t="s">
        <v>3588</v>
      </c>
      <c r="G1921" t="s">
        <v>3589</v>
      </c>
      <c r="H1921" t="s">
        <v>3590</v>
      </c>
      <c r="I1921" t="s">
        <v>17</v>
      </c>
      <c r="J1921" t="s">
        <v>21</v>
      </c>
    </row>
    <row r="1922" spans="1:10" hidden="1" x14ac:dyDescent="0.25">
      <c r="A1922" t="s">
        <v>11</v>
      </c>
      <c r="B1922" t="str">
        <f>"44326/002"</f>
        <v>44326/002</v>
      </c>
      <c r="C1922" t="s">
        <v>100</v>
      </c>
      <c r="D1922" t="s">
        <v>3455</v>
      </c>
      <c r="E1922" t="str">
        <f>"6950155589"</f>
        <v>6950155589</v>
      </c>
      <c r="F1922" t="s">
        <v>3588</v>
      </c>
      <c r="G1922" t="s">
        <v>3591</v>
      </c>
      <c r="H1922" t="s">
        <v>3592</v>
      </c>
      <c r="I1922" t="s">
        <v>17</v>
      </c>
      <c r="J1922" t="s">
        <v>21</v>
      </c>
    </row>
    <row r="1923" spans="1:10" hidden="1" x14ac:dyDescent="0.25">
      <c r="A1923" t="s">
        <v>11</v>
      </c>
      <c r="B1923" t="str">
        <f>"28332688"</f>
        <v>28332688</v>
      </c>
      <c r="C1923" t="s">
        <v>65</v>
      </c>
      <c r="D1923" t="s">
        <v>3455</v>
      </c>
      <c r="E1923" t="str">
        <f>"7721793895"</f>
        <v>7721793895</v>
      </c>
      <c r="F1923" t="s">
        <v>109</v>
      </c>
      <c r="G1923" t="s">
        <v>3593</v>
      </c>
      <c r="H1923" t="s">
        <v>3594</v>
      </c>
      <c r="I1923" t="s">
        <v>17</v>
      </c>
      <c r="J1923" t="s">
        <v>18</v>
      </c>
    </row>
    <row r="1924" spans="1:10" hidden="1" x14ac:dyDescent="0.25">
      <c r="A1924" t="s">
        <v>11</v>
      </c>
      <c r="B1924" t="str">
        <f>"28333314"</f>
        <v>28333314</v>
      </c>
      <c r="C1924" t="s">
        <v>65</v>
      </c>
      <c r="D1924" t="s">
        <v>3455</v>
      </c>
      <c r="E1924" t="str">
        <f>"7721793895"</f>
        <v>7721793895</v>
      </c>
      <c r="F1924" t="s">
        <v>109</v>
      </c>
      <c r="G1924" t="s">
        <v>3595</v>
      </c>
      <c r="H1924" t="s">
        <v>3596</v>
      </c>
      <c r="I1924" t="s">
        <v>17</v>
      </c>
      <c r="J1924" t="s">
        <v>18</v>
      </c>
    </row>
    <row r="1925" spans="1:10" hidden="1" x14ac:dyDescent="0.25">
      <c r="A1925" t="s">
        <v>11</v>
      </c>
      <c r="B1925" t="str">
        <f>"28333690"</f>
        <v>28333690</v>
      </c>
      <c r="C1925" t="s">
        <v>65</v>
      </c>
      <c r="D1925" t="s">
        <v>3455</v>
      </c>
      <c r="E1925" t="str">
        <f>"7721793895"</f>
        <v>7721793895</v>
      </c>
      <c r="F1925" t="s">
        <v>109</v>
      </c>
      <c r="G1925" t="s">
        <v>3597</v>
      </c>
      <c r="H1925" t="s">
        <v>3598</v>
      </c>
      <c r="I1925" t="s">
        <v>17</v>
      </c>
      <c r="J1925" t="s">
        <v>18</v>
      </c>
    </row>
    <row r="1926" spans="1:10" hidden="1" x14ac:dyDescent="0.25">
      <c r="A1926" t="s">
        <v>11</v>
      </c>
      <c r="B1926" t="str">
        <f>"1087"</f>
        <v>1087</v>
      </c>
      <c r="C1926" t="s">
        <v>49</v>
      </c>
      <c r="D1926" t="s">
        <v>3455</v>
      </c>
      <c r="E1926" t="str">
        <f>"9729019493"</f>
        <v>9729019493</v>
      </c>
      <c r="F1926" t="s">
        <v>560</v>
      </c>
      <c r="G1926" t="s">
        <v>1362</v>
      </c>
      <c r="H1926" t="s">
        <v>3599</v>
      </c>
      <c r="I1926" t="s">
        <v>17</v>
      </c>
      <c r="J1926" t="s">
        <v>18</v>
      </c>
    </row>
    <row r="1927" spans="1:10" hidden="1" x14ac:dyDescent="0.25">
      <c r="A1927" t="s">
        <v>11</v>
      </c>
      <c r="B1927" t="str">
        <f>"1085"</f>
        <v>1085</v>
      </c>
      <c r="C1927" t="s">
        <v>903</v>
      </c>
      <c r="D1927" t="s">
        <v>3455</v>
      </c>
      <c r="E1927" t="str">
        <f>"9729019493"</f>
        <v>9729019493</v>
      </c>
      <c r="F1927" t="s">
        <v>560</v>
      </c>
      <c r="G1927" t="s">
        <v>3600</v>
      </c>
      <c r="H1927" t="s">
        <v>3601</v>
      </c>
      <c r="I1927" t="s">
        <v>17</v>
      </c>
      <c r="J1927" t="s">
        <v>18</v>
      </c>
    </row>
    <row r="1928" spans="1:10" hidden="1" x14ac:dyDescent="0.25">
      <c r="A1928" t="s">
        <v>11</v>
      </c>
      <c r="B1928" t="str">
        <f>"28341050"</f>
        <v>28341050</v>
      </c>
      <c r="C1928" t="s">
        <v>65</v>
      </c>
      <c r="D1928" t="s">
        <v>3455</v>
      </c>
      <c r="E1928" t="str">
        <f>"7721793895"</f>
        <v>7721793895</v>
      </c>
      <c r="F1928" t="s">
        <v>109</v>
      </c>
      <c r="G1928" t="s">
        <v>3602</v>
      </c>
      <c r="H1928" t="s">
        <v>3603</v>
      </c>
      <c r="I1928" t="s">
        <v>17</v>
      </c>
      <c r="J1928" t="s">
        <v>18</v>
      </c>
    </row>
    <row r="1929" spans="1:10" hidden="1" x14ac:dyDescent="0.25">
      <c r="A1929" t="s">
        <v>11</v>
      </c>
      <c r="B1929" t="str">
        <f>"2023/30/03/0137517"</f>
        <v>2023/30/03/0137517</v>
      </c>
      <c r="C1929" t="s">
        <v>100</v>
      </c>
      <c r="D1929" t="s">
        <v>3455</v>
      </c>
      <c r="E1929" t="str">
        <f>"7718151150"</f>
        <v>7718151150</v>
      </c>
      <c r="F1929" t="s">
        <v>54</v>
      </c>
      <c r="G1929" t="s">
        <v>55</v>
      </c>
      <c r="H1929" t="s">
        <v>3604</v>
      </c>
      <c r="I1929" t="s">
        <v>17</v>
      </c>
      <c r="J1929" t="s">
        <v>18</v>
      </c>
    </row>
    <row r="1930" spans="1:10" hidden="1" x14ac:dyDescent="0.25">
      <c r="A1930" t="s">
        <v>11</v>
      </c>
      <c r="B1930" t="str">
        <f>"УТ-505-000010"</f>
        <v>УТ-505-000010</v>
      </c>
      <c r="C1930" t="s">
        <v>106</v>
      </c>
      <c r="D1930" t="s">
        <v>3455</v>
      </c>
      <c r="E1930" t="str">
        <f>"7839454551"</f>
        <v>7839454551</v>
      </c>
      <c r="F1930" t="s">
        <v>57</v>
      </c>
      <c r="G1930" t="s">
        <v>3605</v>
      </c>
      <c r="H1930" t="s">
        <v>3606</v>
      </c>
      <c r="I1930" t="s">
        <v>17</v>
      </c>
      <c r="J1930" t="s">
        <v>18</v>
      </c>
    </row>
    <row r="1931" spans="1:10" hidden="1" x14ac:dyDescent="0.25">
      <c r="A1931" t="s">
        <v>11</v>
      </c>
      <c r="B1931" t="str">
        <f>"199091/777E"</f>
        <v>199091/777E</v>
      </c>
      <c r="C1931" t="s">
        <v>106</v>
      </c>
      <c r="D1931" t="s">
        <v>3455</v>
      </c>
      <c r="E1931" t="str">
        <f>"5003052454"</f>
        <v>5003052454</v>
      </c>
      <c r="F1931" t="s">
        <v>14</v>
      </c>
      <c r="G1931" t="s">
        <v>3607</v>
      </c>
      <c r="H1931" t="s">
        <v>3608</v>
      </c>
      <c r="I1931" t="s">
        <v>17</v>
      </c>
      <c r="J1931" t="s">
        <v>18</v>
      </c>
    </row>
    <row r="1932" spans="1:10" hidden="1" x14ac:dyDescent="0.25">
      <c r="A1932" t="s">
        <v>11</v>
      </c>
      <c r="B1932" t="str">
        <f>"199092/777E"</f>
        <v>199092/777E</v>
      </c>
      <c r="C1932" t="s">
        <v>106</v>
      </c>
      <c r="D1932" t="s">
        <v>3455</v>
      </c>
      <c r="E1932" t="str">
        <f>"5003052454"</f>
        <v>5003052454</v>
      </c>
      <c r="F1932" t="s">
        <v>14</v>
      </c>
      <c r="G1932" t="s">
        <v>3609</v>
      </c>
      <c r="H1932" t="s">
        <v>3610</v>
      </c>
      <c r="I1932" t="s">
        <v>17</v>
      </c>
      <c r="J1932" t="s">
        <v>18</v>
      </c>
    </row>
    <row r="1933" spans="1:10" hidden="1" x14ac:dyDescent="0.25">
      <c r="A1933" t="s">
        <v>11</v>
      </c>
      <c r="B1933" t="str">
        <f>"50120/710E"</f>
        <v>50120/710E</v>
      </c>
      <c r="C1933" t="s">
        <v>106</v>
      </c>
      <c r="D1933" t="s">
        <v>3455</v>
      </c>
      <c r="E1933" t="str">
        <f>"5003052454"</f>
        <v>5003052454</v>
      </c>
      <c r="F1933" t="s">
        <v>14</v>
      </c>
      <c r="G1933" t="s">
        <v>3611</v>
      </c>
      <c r="H1933" t="s">
        <v>3612</v>
      </c>
      <c r="I1933" t="s">
        <v>17</v>
      </c>
      <c r="J1933" t="s">
        <v>18</v>
      </c>
    </row>
    <row r="1934" spans="1:10" hidden="1" x14ac:dyDescent="0.25">
      <c r="A1934" t="s">
        <v>11</v>
      </c>
      <c r="B1934" t="str">
        <f>"50123/710E"</f>
        <v>50123/710E</v>
      </c>
      <c r="C1934" t="s">
        <v>106</v>
      </c>
      <c r="D1934" t="s">
        <v>3455</v>
      </c>
      <c r="E1934" t="str">
        <f>"5003052454"</f>
        <v>5003052454</v>
      </c>
      <c r="F1934" t="s">
        <v>14</v>
      </c>
      <c r="G1934" t="s">
        <v>3613</v>
      </c>
      <c r="H1934" t="s">
        <v>3614</v>
      </c>
      <c r="I1934" t="s">
        <v>17</v>
      </c>
      <c r="J1934" t="s">
        <v>18</v>
      </c>
    </row>
    <row r="1935" spans="1:10" hidden="1" x14ac:dyDescent="0.25">
      <c r="A1935" t="s">
        <v>11</v>
      </c>
      <c r="B1935" t="str">
        <f>"UT-109751"</f>
        <v>UT-109751</v>
      </c>
      <c r="C1935" t="s">
        <v>106</v>
      </c>
      <c r="D1935" t="s">
        <v>3455</v>
      </c>
      <c r="E1935" t="str">
        <f>"7806385951"</f>
        <v>7806385951</v>
      </c>
      <c r="F1935" t="s">
        <v>26</v>
      </c>
      <c r="G1935" t="s">
        <v>1420</v>
      </c>
      <c r="H1935" t="s">
        <v>3615</v>
      </c>
      <c r="I1935" t="s">
        <v>17</v>
      </c>
      <c r="J1935" t="s">
        <v>18</v>
      </c>
    </row>
    <row r="1936" spans="1:10" hidden="1" x14ac:dyDescent="0.25">
      <c r="A1936" t="s">
        <v>11</v>
      </c>
      <c r="B1936" t="str">
        <f>"UT-109752"</f>
        <v>UT-109752</v>
      </c>
      <c r="C1936" t="s">
        <v>106</v>
      </c>
      <c r="D1936" t="s">
        <v>3455</v>
      </c>
      <c r="E1936" t="str">
        <f>"7806385951"</f>
        <v>7806385951</v>
      </c>
      <c r="F1936" t="s">
        <v>26</v>
      </c>
      <c r="G1936" t="s">
        <v>3616</v>
      </c>
      <c r="H1936" t="s">
        <v>3617</v>
      </c>
      <c r="I1936" t="s">
        <v>17</v>
      </c>
      <c r="J1936" t="s">
        <v>21</v>
      </c>
    </row>
    <row r="1937" spans="1:10" hidden="1" x14ac:dyDescent="0.25">
      <c r="A1937" t="s">
        <v>11</v>
      </c>
      <c r="B1937" t="str">
        <f>"28354471"</f>
        <v>28354471</v>
      </c>
      <c r="C1937" t="s">
        <v>100</v>
      </c>
      <c r="D1937" t="s">
        <v>3455</v>
      </c>
      <c r="E1937" t="str">
        <f>"7721793895"</f>
        <v>7721793895</v>
      </c>
      <c r="F1937" t="s">
        <v>109</v>
      </c>
      <c r="G1937" t="s">
        <v>3618</v>
      </c>
      <c r="H1937" t="s">
        <v>3619</v>
      </c>
      <c r="I1937" t="s">
        <v>17</v>
      </c>
      <c r="J1937" t="s">
        <v>18</v>
      </c>
    </row>
    <row r="1938" spans="1:10" hidden="1" x14ac:dyDescent="0.25">
      <c r="A1938" t="s">
        <v>11</v>
      </c>
      <c r="B1938" t="str">
        <f>"UT-109806"</f>
        <v>UT-109806</v>
      </c>
      <c r="C1938" t="s">
        <v>106</v>
      </c>
      <c r="D1938" t="s">
        <v>3455</v>
      </c>
      <c r="E1938" t="str">
        <f>"7806385951"</f>
        <v>7806385951</v>
      </c>
      <c r="F1938" t="s">
        <v>26</v>
      </c>
      <c r="G1938" t="s">
        <v>3620</v>
      </c>
      <c r="H1938" t="s">
        <v>3621</v>
      </c>
      <c r="I1938" t="s">
        <v>17</v>
      </c>
      <c r="J1938" t="s">
        <v>18</v>
      </c>
    </row>
    <row r="1939" spans="1:10" hidden="1" x14ac:dyDescent="0.25">
      <c r="A1939" t="s">
        <v>11</v>
      </c>
      <c r="B1939" t="str">
        <f>"UT-109804"</f>
        <v>UT-109804</v>
      </c>
      <c r="C1939" t="s">
        <v>106</v>
      </c>
      <c r="D1939" t="s">
        <v>3455</v>
      </c>
      <c r="E1939" t="str">
        <f>"7806385951"</f>
        <v>7806385951</v>
      </c>
      <c r="F1939" t="s">
        <v>26</v>
      </c>
      <c r="G1939" t="s">
        <v>3622</v>
      </c>
      <c r="H1939" t="s">
        <v>3623</v>
      </c>
      <c r="I1939" t="s">
        <v>17</v>
      </c>
      <c r="J1939" t="s">
        <v>18</v>
      </c>
    </row>
    <row r="1940" spans="1:10" hidden="1" x14ac:dyDescent="0.25">
      <c r="A1940" t="s">
        <v>11</v>
      </c>
      <c r="B1940" t="str">
        <f>"UT-109805"</f>
        <v>UT-109805</v>
      </c>
      <c r="C1940" t="s">
        <v>106</v>
      </c>
      <c r="D1940" t="s">
        <v>3455</v>
      </c>
      <c r="E1940" t="str">
        <f>"7806385951"</f>
        <v>7806385951</v>
      </c>
      <c r="F1940" t="s">
        <v>26</v>
      </c>
      <c r="G1940" t="s">
        <v>35</v>
      </c>
      <c r="H1940" t="s">
        <v>3624</v>
      </c>
      <c r="I1940" t="s">
        <v>17</v>
      </c>
      <c r="J1940" t="s">
        <v>18</v>
      </c>
    </row>
    <row r="1941" spans="1:10" hidden="1" x14ac:dyDescent="0.25">
      <c r="A1941" t="s">
        <v>11</v>
      </c>
      <c r="B1941" t="str">
        <f>"МФ00-074689"</f>
        <v>МФ00-074689</v>
      </c>
      <c r="C1941" t="s">
        <v>106</v>
      </c>
      <c r="D1941" t="s">
        <v>3455</v>
      </c>
      <c r="E1941" t="str">
        <f>"6950015687"</f>
        <v>6950015687</v>
      </c>
      <c r="F1941" t="s">
        <v>3625</v>
      </c>
      <c r="G1941" t="s">
        <v>3626</v>
      </c>
      <c r="H1941" t="s">
        <v>3627</v>
      </c>
      <c r="I1941" t="s">
        <v>17</v>
      </c>
      <c r="J1941" t="s">
        <v>21</v>
      </c>
    </row>
    <row r="1942" spans="1:10" hidden="1" x14ac:dyDescent="0.25">
      <c r="A1942" t="s">
        <v>11</v>
      </c>
      <c r="B1942" t="str">
        <f>"7710/8174496993"</f>
        <v>7710/8174496993</v>
      </c>
      <c r="C1942" t="s">
        <v>106</v>
      </c>
      <c r="D1942" t="s">
        <v>3455</v>
      </c>
      <c r="E1942" t="str">
        <f>"5032260402"</f>
        <v>5032260402</v>
      </c>
      <c r="F1942" t="s">
        <v>341</v>
      </c>
      <c r="G1942" t="s">
        <v>3628</v>
      </c>
      <c r="H1942" t="s">
        <v>3629</v>
      </c>
      <c r="I1942" t="s">
        <v>17</v>
      </c>
      <c r="J1942" t="s">
        <v>18</v>
      </c>
    </row>
    <row r="1943" spans="1:10" hidden="1" x14ac:dyDescent="0.25">
      <c r="A1943" t="s">
        <v>11</v>
      </c>
      <c r="B1943" t="str">
        <f>"МОС0505/08"</f>
        <v>МОС0505/08</v>
      </c>
      <c r="C1943" t="s">
        <v>106</v>
      </c>
      <c r="D1943" t="s">
        <v>3455</v>
      </c>
      <c r="E1943" t="str">
        <f>"7735126034"</f>
        <v>7735126034</v>
      </c>
      <c r="F1943" t="s">
        <v>131</v>
      </c>
      <c r="G1943" t="s">
        <v>3630</v>
      </c>
      <c r="H1943" t="s">
        <v>3631</v>
      </c>
      <c r="I1943" t="s">
        <v>17</v>
      </c>
      <c r="J1943" t="s">
        <v>18</v>
      </c>
    </row>
    <row r="1944" spans="1:10" hidden="1" x14ac:dyDescent="0.25">
      <c r="A1944" t="s">
        <v>11</v>
      </c>
      <c r="B1944" t="str">
        <f>"МОС0505/12"</f>
        <v>МОС0505/12</v>
      </c>
      <c r="C1944" t="s">
        <v>106</v>
      </c>
      <c r="D1944" t="s">
        <v>3455</v>
      </c>
      <c r="E1944" t="str">
        <f>"7735126034"</f>
        <v>7735126034</v>
      </c>
      <c r="F1944" t="s">
        <v>131</v>
      </c>
      <c r="G1944" t="s">
        <v>3632</v>
      </c>
      <c r="H1944" t="s">
        <v>3633</v>
      </c>
      <c r="I1944" t="s">
        <v>17</v>
      </c>
      <c r="J1944" t="s">
        <v>18</v>
      </c>
    </row>
    <row r="1945" spans="1:10" hidden="1" x14ac:dyDescent="0.25">
      <c r="A1945" t="s">
        <v>3634</v>
      </c>
      <c r="B1945" t="s">
        <v>847</v>
      </c>
      <c r="C1945" t="s">
        <v>847</v>
      </c>
      <c r="D1945" t="s">
        <v>3455</v>
      </c>
      <c r="E1945" t="str">
        <f>"7704340310"</f>
        <v>7704340310</v>
      </c>
      <c r="F1945" t="s">
        <v>3635</v>
      </c>
      <c r="G1945" t="s">
        <v>847</v>
      </c>
      <c r="H1945" t="s">
        <v>3636</v>
      </c>
      <c r="I1945" t="s">
        <v>17</v>
      </c>
      <c r="J1945" t="s">
        <v>18</v>
      </c>
    </row>
    <row r="1946" spans="1:10" hidden="1" x14ac:dyDescent="0.25">
      <c r="A1946" t="s">
        <v>11</v>
      </c>
      <c r="B1946" t="str">
        <f>"УТ-1005-000093"</f>
        <v>УТ-1005-000093</v>
      </c>
      <c r="C1946" t="s">
        <v>3637</v>
      </c>
      <c r="D1946" t="s">
        <v>3455</v>
      </c>
      <c r="E1946" t="str">
        <f>"7839454551"</f>
        <v>7839454551</v>
      </c>
      <c r="F1946" t="s">
        <v>57</v>
      </c>
      <c r="G1946" t="s">
        <v>3638</v>
      </c>
      <c r="H1946" t="s">
        <v>3639</v>
      </c>
      <c r="I1946" t="s">
        <v>17</v>
      </c>
      <c r="J1946" t="s">
        <v>18</v>
      </c>
    </row>
    <row r="1947" spans="1:10" hidden="1" x14ac:dyDescent="0.25">
      <c r="A1947" t="s">
        <v>11</v>
      </c>
      <c r="B1947" t="str">
        <f>"SR110024062"</f>
        <v>SR110024062</v>
      </c>
      <c r="C1947" t="s">
        <v>119</v>
      </c>
      <c r="D1947" t="s">
        <v>3455</v>
      </c>
      <c r="E1947" t="str">
        <f>"4725006920"</f>
        <v>4725006920</v>
      </c>
      <c r="F1947" t="s">
        <v>101</v>
      </c>
      <c r="G1947" t="s">
        <v>3640</v>
      </c>
      <c r="H1947" t="s">
        <v>3641</v>
      </c>
      <c r="I1947" t="s">
        <v>17</v>
      </c>
      <c r="J1947" t="s">
        <v>18</v>
      </c>
    </row>
    <row r="1948" spans="1:10" hidden="1" x14ac:dyDescent="0.25">
      <c r="A1948" t="s">
        <v>11</v>
      </c>
      <c r="B1948" t="str">
        <f>"SR110024101"</f>
        <v>SR110024101</v>
      </c>
      <c r="C1948" t="s">
        <v>1173</v>
      </c>
      <c r="D1948" t="s">
        <v>3455</v>
      </c>
      <c r="E1948" t="str">
        <f>"4725006920"</f>
        <v>4725006920</v>
      </c>
      <c r="F1948" t="s">
        <v>101</v>
      </c>
      <c r="G1948" t="s">
        <v>3642</v>
      </c>
      <c r="H1948" t="s">
        <v>3643</v>
      </c>
      <c r="I1948" t="s">
        <v>17</v>
      </c>
      <c r="J1948" t="s">
        <v>18</v>
      </c>
    </row>
    <row r="1949" spans="1:10" hidden="1" x14ac:dyDescent="0.25">
      <c r="A1949" t="s">
        <v>11</v>
      </c>
      <c r="B1949" t="str">
        <f>"SR110022633"</f>
        <v>SR110022633</v>
      </c>
      <c r="C1949" t="s">
        <v>53</v>
      </c>
      <c r="D1949" t="s">
        <v>3644</v>
      </c>
      <c r="E1949" t="str">
        <f>"4725006920"</f>
        <v>4725006920</v>
      </c>
      <c r="F1949" t="s">
        <v>101</v>
      </c>
      <c r="G1949" t="s">
        <v>3645</v>
      </c>
      <c r="H1949" t="s">
        <v>3646</v>
      </c>
      <c r="I1949" t="s">
        <v>17</v>
      </c>
      <c r="J1949" t="s">
        <v>18</v>
      </c>
    </row>
    <row r="1950" spans="1:10" hidden="1" x14ac:dyDescent="0.25">
      <c r="A1950" t="s">
        <v>11</v>
      </c>
      <c r="B1950" t="str">
        <f>"SR110022669"</f>
        <v>SR110022669</v>
      </c>
      <c r="C1950" t="s">
        <v>53</v>
      </c>
      <c r="D1950" t="s">
        <v>3644</v>
      </c>
      <c r="E1950" t="str">
        <f>"4725006920"</f>
        <v>4725006920</v>
      </c>
      <c r="F1950" t="s">
        <v>101</v>
      </c>
      <c r="G1950" t="s">
        <v>3647</v>
      </c>
      <c r="H1950" t="s">
        <v>3648</v>
      </c>
      <c r="I1950" t="s">
        <v>17</v>
      </c>
      <c r="J1950" t="s">
        <v>18</v>
      </c>
    </row>
    <row r="1951" spans="1:10" hidden="1" x14ac:dyDescent="0.25">
      <c r="A1951" t="s">
        <v>11</v>
      </c>
      <c r="B1951" t="str">
        <f>"191859/777E"</f>
        <v>191859/777E</v>
      </c>
      <c r="C1951" t="s">
        <v>12</v>
      </c>
      <c r="D1951" t="s">
        <v>3644</v>
      </c>
      <c r="E1951" t="str">
        <f>"5003052454"</f>
        <v>5003052454</v>
      </c>
      <c r="F1951" t="s">
        <v>14</v>
      </c>
      <c r="G1951" t="s">
        <v>3649</v>
      </c>
      <c r="H1951" t="s">
        <v>3650</v>
      </c>
      <c r="I1951" t="s">
        <v>17</v>
      </c>
      <c r="J1951" t="s">
        <v>18</v>
      </c>
    </row>
    <row r="1952" spans="1:10" hidden="1" x14ac:dyDescent="0.25">
      <c r="A1952" t="s">
        <v>11</v>
      </c>
      <c r="B1952" t="str">
        <f>"191907/777E"</f>
        <v>191907/777E</v>
      </c>
      <c r="C1952" t="s">
        <v>12</v>
      </c>
      <c r="D1952" t="s">
        <v>3644</v>
      </c>
      <c r="E1952" t="str">
        <f>"5003052454"</f>
        <v>5003052454</v>
      </c>
      <c r="F1952" t="s">
        <v>14</v>
      </c>
      <c r="G1952" t="s">
        <v>3651</v>
      </c>
      <c r="H1952" t="s">
        <v>3652</v>
      </c>
      <c r="I1952" t="s">
        <v>17</v>
      </c>
      <c r="J1952" t="s">
        <v>18</v>
      </c>
    </row>
    <row r="1953" spans="1:10" hidden="1" x14ac:dyDescent="0.25">
      <c r="A1953" t="s">
        <v>11</v>
      </c>
      <c r="B1953" t="str">
        <f>"191906/777E"</f>
        <v>191906/777E</v>
      </c>
      <c r="C1953" t="s">
        <v>12</v>
      </c>
      <c r="D1953" t="s">
        <v>3644</v>
      </c>
      <c r="E1953" t="str">
        <f>"5003052454"</f>
        <v>5003052454</v>
      </c>
      <c r="F1953" t="s">
        <v>14</v>
      </c>
      <c r="G1953" t="s">
        <v>3653</v>
      </c>
      <c r="H1953" t="s">
        <v>3654</v>
      </c>
      <c r="I1953" t="s">
        <v>17</v>
      </c>
      <c r="J1953" t="s">
        <v>18</v>
      </c>
    </row>
    <row r="1954" spans="1:10" hidden="1" x14ac:dyDescent="0.25">
      <c r="A1954" t="s">
        <v>11</v>
      </c>
      <c r="B1954" t="str">
        <f>"191908/777E"</f>
        <v>191908/777E</v>
      </c>
      <c r="C1954" t="s">
        <v>12</v>
      </c>
      <c r="D1954" t="s">
        <v>3644</v>
      </c>
      <c r="E1954" t="str">
        <f>"5003052454"</f>
        <v>5003052454</v>
      </c>
      <c r="F1954" t="s">
        <v>14</v>
      </c>
      <c r="G1954" t="s">
        <v>3655</v>
      </c>
      <c r="H1954" t="s">
        <v>3656</v>
      </c>
      <c r="I1954" t="s">
        <v>17</v>
      </c>
      <c r="J1954" t="s">
        <v>18</v>
      </c>
    </row>
    <row r="1955" spans="1:10" hidden="1" x14ac:dyDescent="0.25">
      <c r="A1955" t="s">
        <v>11</v>
      </c>
      <c r="B1955" t="str">
        <f>"UT-105215"</f>
        <v>UT-105215</v>
      </c>
      <c r="C1955" t="s">
        <v>12</v>
      </c>
      <c r="D1955" t="s">
        <v>3644</v>
      </c>
      <c r="E1955" t="str">
        <f>"7806385951"</f>
        <v>7806385951</v>
      </c>
      <c r="F1955" t="s">
        <v>26</v>
      </c>
      <c r="G1955" t="s">
        <v>3657</v>
      </c>
      <c r="H1955" t="s">
        <v>3658</v>
      </c>
      <c r="I1955" t="s">
        <v>17</v>
      </c>
      <c r="J1955" t="s">
        <v>18</v>
      </c>
    </row>
    <row r="1956" spans="1:10" hidden="1" x14ac:dyDescent="0.25">
      <c r="A1956" t="s">
        <v>11</v>
      </c>
      <c r="B1956" t="str">
        <f>"UT-104914"</f>
        <v>UT-104914</v>
      </c>
      <c r="C1956" t="s">
        <v>12</v>
      </c>
      <c r="D1956" t="s">
        <v>3644</v>
      </c>
      <c r="E1956" t="str">
        <f>"7806385951"</f>
        <v>7806385951</v>
      </c>
      <c r="F1956" t="s">
        <v>26</v>
      </c>
      <c r="G1956" t="s">
        <v>3659</v>
      </c>
      <c r="H1956" t="s">
        <v>3660</v>
      </c>
      <c r="I1956" t="s">
        <v>17</v>
      </c>
      <c r="J1956" t="s">
        <v>18</v>
      </c>
    </row>
    <row r="1957" spans="1:10" hidden="1" x14ac:dyDescent="0.25">
      <c r="A1957" t="s">
        <v>11</v>
      </c>
      <c r="B1957" t="str">
        <f>"UT-104923"</f>
        <v>UT-104923</v>
      </c>
      <c r="C1957" t="s">
        <v>12</v>
      </c>
      <c r="D1957" t="s">
        <v>3644</v>
      </c>
      <c r="E1957" t="str">
        <f>"7806385951"</f>
        <v>7806385951</v>
      </c>
      <c r="F1957" t="s">
        <v>26</v>
      </c>
      <c r="G1957" t="s">
        <v>3661</v>
      </c>
      <c r="H1957" t="s">
        <v>3662</v>
      </c>
      <c r="I1957" t="s">
        <v>17</v>
      </c>
      <c r="J1957" t="s">
        <v>18</v>
      </c>
    </row>
    <row r="1958" spans="1:10" hidden="1" x14ac:dyDescent="0.25">
      <c r="A1958" t="s">
        <v>11</v>
      </c>
      <c r="B1958" t="str">
        <f>"UT-105221"</f>
        <v>UT-105221</v>
      </c>
      <c r="C1958" t="s">
        <v>12</v>
      </c>
      <c r="D1958" t="s">
        <v>3644</v>
      </c>
      <c r="E1958" t="str">
        <f>"7806385951"</f>
        <v>7806385951</v>
      </c>
      <c r="F1958" t="s">
        <v>26</v>
      </c>
      <c r="G1958" t="s">
        <v>3663</v>
      </c>
      <c r="H1958" t="s">
        <v>3664</v>
      </c>
      <c r="I1958" t="s">
        <v>17</v>
      </c>
      <c r="J1958" t="s">
        <v>18</v>
      </c>
    </row>
    <row r="1959" spans="1:10" hidden="1" x14ac:dyDescent="0.25">
      <c r="A1959" t="s">
        <v>11</v>
      </c>
      <c r="B1959" t="str">
        <f>"28282054"</f>
        <v>28282054</v>
      </c>
      <c r="C1959" t="s">
        <v>508</v>
      </c>
      <c r="D1959" t="s">
        <v>3644</v>
      </c>
      <c r="E1959" t="str">
        <f>"7721793895"</f>
        <v>7721793895</v>
      </c>
      <c r="F1959" t="s">
        <v>109</v>
      </c>
      <c r="G1959" t="s">
        <v>3665</v>
      </c>
      <c r="H1959" t="s">
        <v>3666</v>
      </c>
      <c r="I1959" t="s">
        <v>17</v>
      </c>
      <c r="J1959" t="s">
        <v>18</v>
      </c>
    </row>
    <row r="1960" spans="1:10" hidden="1" x14ac:dyDescent="0.25">
      <c r="A1960" t="s">
        <v>11</v>
      </c>
      <c r="B1960" t="str">
        <f>"7710/8174351450"</f>
        <v>7710/8174351450</v>
      </c>
      <c r="C1960" t="s">
        <v>12</v>
      </c>
      <c r="D1960" t="s">
        <v>3644</v>
      </c>
      <c r="E1960" t="str">
        <f>"5032260402"</f>
        <v>5032260402</v>
      </c>
      <c r="F1960" t="s">
        <v>341</v>
      </c>
      <c r="G1960" t="s">
        <v>3667</v>
      </c>
      <c r="H1960" t="s">
        <v>3668</v>
      </c>
      <c r="I1960" t="s">
        <v>17</v>
      </c>
      <c r="J1960" t="s">
        <v>18</v>
      </c>
    </row>
    <row r="1961" spans="1:10" hidden="1" x14ac:dyDescent="0.25">
      <c r="A1961" t="s">
        <v>11</v>
      </c>
      <c r="B1961" t="str">
        <f>"7710/8174351495"</f>
        <v>7710/8174351495</v>
      </c>
      <c r="C1961" t="s">
        <v>12</v>
      </c>
      <c r="D1961" t="s">
        <v>3644</v>
      </c>
      <c r="E1961" t="str">
        <f>"5032260402"</f>
        <v>5032260402</v>
      </c>
      <c r="F1961" t="s">
        <v>341</v>
      </c>
      <c r="G1961" t="s">
        <v>3669</v>
      </c>
      <c r="H1961" t="s">
        <v>3670</v>
      </c>
      <c r="I1961" t="s">
        <v>17</v>
      </c>
      <c r="J1961" t="s">
        <v>18</v>
      </c>
    </row>
    <row r="1962" spans="1:10" hidden="1" x14ac:dyDescent="0.25">
      <c r="A1962" t="s">
        <v>11</v>
      </c>
      <c r="B1962" t="str">
        <f>"2023/30/03/0133505"</f>
        <v>2023/30/03/0133505</v>
      </c>
      <c r="C1962" t="s">
        <v>49</v>
      </c>
      <c r="D1962" t="s">
        <v>3644</v>
      </c>
      <c r="E1962" t="str">
        <f>"7718151150"</f>
        <v>7718151150</v>
      </c>
      <c r="F1962" t="s">
        <v>54</v>
      </c>
      <c r="G1962" t="s">
        <v>3671</v>
      </c>
      <c r="H1962" t="s">
        <v>3672</v>
      </c>
      <c r="I1962" t="s">
        <v>17</v>
      </c>
      <c r="J1962" t="s">
        <v>18</v>
      </c>
    </row>
    <row r="1963" spans="1:10" hidden="1" x14ac:dyDescent="0.25">
      <c r="A1963" t="s">
        <v>11</v>
      </c>
      <c r="B1963" t="str">
        <f>"6910/8174372173"</f>
        <v>6910/8174372173</v>
      </c>
      <c r="C1963" t="s">
        <v>12</v>
      </c>
      <c r="D1963" t="s">
        <v>3644</v>
      </c>
      <c r="E1963" t="str">
        <f>"5032260402"</f>
        <v>5032260402</v>
      </c>
      <c r="F1963" t="s">
        <v>341</v>
      </c>
      <c r="G1963" t="s">
        <v>3673</v>
      </c>
      <c r="H1963" t="s">
        <v>3674</v>
      </c>
      <c r="I1963" t="s">
        <v>17</v>
      </c>
      <c r="J1963" t="s">
        <v>18</v>
      </c>
    </row>
    <row r="1964" spans="1:10" hidden="1" x14ac:dyDescent="0.25">
      <c r="A1964" t="s">
        <v>11</v>
      </c>
      <c r="B1964" t="str">
        <f>"6910/8174372171"</f>
        <v>6910/8174372171</v>
      </c>
      <c r="C1964" t="s">
        <v>12</v>
      </c>
      <c r="D1964" t="s">
        <v>3644</v>
      </c>
      <c r="E1964" t="str">
        <f>"5032260402"</f>
        <v>5032260402</v>
      </c>
      <c r="F1964" t="s">
        <v>341</v>
      </c>
      <c r="G1964" t="s">
        <v>3675</v>
      </c>
      <c r="H1964" t="s">
        <v>3676</v>
      </c>
      <c r="I1964" t="s">
        <v>17</v>
      </c>
      <c r="J1964" t="s">
        <v>18</v>
      </c>
    </row>
    <row r="1965" spans="1:10" hidden="1" x14ac:dyDescent="0.25">
      <c r="A1965" t="s">
        <v>11</v>
      </c>
      <c r="B1965" t="str">
        <f>"8736"</f>
        <v>8736</v>
      </c>
      <c r="C1965" t="s">
        <v>508</v>
      </c>
      <c r="D1965" t="s">
        <v>3644</v>
      </c>
      <c r="E1965" t="str">
        <f>"6950166446"</f>
        <v>6950166446</v>
      </c>
      <c r="F1965" t="s">
        <v>3677</v>
      </c>
      <c r="G1965" t="s">
        <v>3678</v>
      </c>
      <c r="H1965" t="s">
        <v>3679</v>
      </c>
      <c r="I1965" t="s">
        <v>17</v>
      </c>
      <c r="J1965" t="s">
        <v>18</v>
      </c>
    </row>
    <row r="1966" spans="1:10" hidden="1" x14ac:dyDescent="0.25">
      <c r="A1966" t="s">
        <v>11</v>
      </c>
      <c r="B1966" t="str">
        <f>"8735"</f>
        <v>8735</v>
      </c>
      <c r="C1966" t="s">
        <v>508</v>
      </c>
      <c r="D1966" t="s">
        <v>3644</v>
      </c>
      <c r="E1966" t="str">
        <f>"6950166446"</f>
        <v>6950166446</v>
      </c>
      <c r="F1966" t="s">
        <v>3677</v>
      </c>
      <c r="G1966" t="s">
        <v>3680</v>
      </c>
      <c r="H1966" t="s">
        <v>3681</v>
      </c>
      <c r="I1966" t="s">
        <v>17</v>
      </c>
      <c r="J1966" t="s">
        <v>18</v>
      </c>
    </row>
    <row r="1967" spans="1:10" hidden="1" x14ac:dyDescent="0.25">
      <c r="A1967" t="s">
        <v>11</v>
      </c>
      <c r="B1967" t="str">
        <f>"13507/690E"</f>
        <v>13507/690E</v>
      </c>
      <c r="C1967" t="s">
        <v>65</v>
      </c>
      <c r="D1967" t="s">
        <v>3644</v>
      </c>
      <c r="E1967" t="str">
        <f>"5003052454"</f>
        <v>5003052454</v>
      </c>
      <c r="F1967" t="s">
        <v>14</v>
      </c>
      <c r="G1967" t="s">
        <v>1487</v>
      </c>
      <c r="H1967" t="s">
        <v>3682</v>
      </c>
      <c r="I1967" t="s">
        <v>17</v>
      </c>
      <c r="J1967" t="s">
        <v>18</v>
      </c>
    </row>
    <row r="1968" spans="1:10" hidden="1" x14ac:dyDescent="0.25">
      <c r="A1968" t="s">
        <v>11</v>
      </c>
      <c r="B1968" t="str">
        <f>"UT-106755"</f>
        <v>UT-106755</v>
      </c>
      <c r="C1968" t="s">
        <v>65</v>
      </c>
      <c r="D1968" t="s">
        <v>3644</v>
      </c>
      <c r="E1968" t="str">
        <f t="shared" ref="E1968:E1973" si="81">"7806385951"</f>
        <v>7806385951</v>
      </c>
      <c r="F1968" t="s">
        <v>26</v>
      </c>
      <c r="G1968" t="s">
        <v>3683</v>
      </c>
      <c r="H1968" t="s">
        <v>3684</v>
      </c>
      <c r="I1968" t="s">
        <v>17</v>
      </c>
      <c r="J1968" t="s">
        <v>18</v>
      </c>
    </row>
    <row r="1969" spans="1:10" x14ac:dyDescent="0.25">
      <c r="A1969" t="s">
        <v>11</v>
      </c>
      <c r="B1969" t="str">
        <f>"UT-106754"</f>
        <v>UT-106754</v>
      </c>
      <c r="C1969" t="s">
        <v>65</v>
      </c>
      <c r="D1969" t="s">
        <v>3644</v>
      </c>
      <c r="E1969" t="str">
        <f t="shared" si="81"/>
        <v>7806385951</v>
      </c>
      <c r="F1969" t="s">
        <v>26</v>
      </c>
      <c r="G1969" t="s">
        <v>3348</v>
      </c>
      <c r="H1969" t="s">
        <v>3685</v>
      </c>
      <c r="I1969" t="s">
        <v>17</v>
      </c>
      <c r="J1969" t="s">
        <v>166</v>
      </c>
    </row>
    <row r="1970" spans="1:10" hidden="1" x14ac:dyDescent="0.25">
      <c r="A1970" t="s">
        <v>11</v>
      </c>
      <c r="B1970" t="str">
        <f>"UT-106756"</f>
        <v>UT-106756</v>
      </c>
      <c r="C1970" t="s">
        <v>65</v>
      </c>
      <c r="D1970" t="s">
        <v>3644</v>
      </c>
      <c r="E1970" t="str">
        <f t="shared" si="81"/>
        <v>7806385951</v>
      </c>
      <c r="F1970" t="s">
        <v>26</v>
      </c>
      <c r="G1970" t="s">
        <v>3686</v>
      </c>
      <c r="H1970" t="s">
        <v>3687</v>
      </c>
      <c r="I1970" t="s">
        <v>17</v>
      </c>
      <c r="J1970" t="s">
        <v>18</v>
      </c>
    </row>
    <row r="1971" spans="1:10" hidden="1" x14ac:dyDescent="0.25">
      <c r="A1971" t="s">
        <v>11</v>
      </c>
      <c r="B1971" t="str">
        <f>"UT-107029"</f>
        <v>UT-107029</v>
      </c>
      <c r="C1971" t="s">
        <v>65</v>
      </c>
      <c r="D1971" t="s">
        <v>3644</v>
      </c>
      <c r="E1971" t="str">
        <f t="shared" si="81"/>
        <v>7806385951</v>
      </c>
      <c r="F1971" t="s">
        <v>26</v>
      </c>
      <c r="G1971" t="s">
        <v>3688</v>
      </c>
      <c r="H1971" t="s">
        <v>3689</v>
      </c>
      <c r="I1971" t="s">
        <v>17</v>
      </c>
      <c r="J1971" t="s">
        <v>18</v>
      </c>
    </row>
    <row r="1972" spans="1:10" hidden="1" x14ac:dyDescent="0.25">
      <c r="A1972" t="s">
        <v>11</v>
      </c>
      <c r="B1972" t="str">
        <f>"UT-107030"</f>
        <v>UT-107030</v>
      </c>
      <c r="C1972" t="s">
        <v>65</v>
      </c>
      <c r="D1972" t="s">
        <v>3644</v>
      </c>
      <c r="E1972" t="str">
        <f t="shared" si="81"/>
        <v>7806385951</v>
      </c>
      <c r="F1972" t="s">
        <v>26</v>
      </c>
      <c r="G1972" t="s">
        <v>1465</v>
      </c>
      <c r="H1972" t="s">
        <v>3690</v>
      </c>
      <c r="I1972" t="s">
        <v>17</v>
      </c>
      <c r="J1972" t="s">
        <v>18</v>
      </c>
    </row>
    <row r="1973" spans="1:10" hidden="1" x14ac:dyDescent="0.25">
      <c r="A1973" t="s">
        <v>11</v>
      </c>
      <c r="B1973" t="str">
        <f>"UT-107031"</f>
        <v>UT-107031</v>
      </c>
      <c r="C1973" t="s">
        <v>65</v>
      </c>
      <c r="D1973" t="s">
        <v>3644</v>
      </c>
      <c r="E1973" t="str">
        <f t="shared" si="81"/>
        <v>7806385951</v>
      </c>
      <c r="F1973" t="s">
        <v>26</v>
      </c>
      <c r="G1973" t="s">
        <v>3691</v>
      </c>
      <c r="H1973" t="s">
        <v>3692</v>
      </c>
      <c r="I1973" t="s">
        <v>17</v>
      </c>
      <c r="J1973" t="s">
        <v>18</v>
      </c>
    </row>
    <row r="1974" spans="1:10" hidden="1" x14ac:dyDescent="0.25">
      <c r="A1974" t="s">
        <v>11</v>
      </c>
      <c r="B1974" t="str">
        <f>"875"</f>
        <v>875</v>
      </c>
      <c r="C1974" t="s">
        <v>49</v>
      </c>
      <c r="D1974" t="s">
        <v>3644</v>
      </c>
      <c r="E1974" t="str">
        <f>"7704340969"</f>
        <v>7704340969</v>
      </c>
      <c r="F1974" t="s">
        <v>76</v>
      </c>
      <c r="G1974" t="s">
        <v>77</v>
      </c>
      <c r="H1974" t="s">
        <v>3693</v>
      </c>
      <c r="I1974" t="s">
        <v>17</v>
      </c>
      <c r="J1974" t="s">
        <v>18</v>
      </c>
    </row>
    <row r="1975" spans="1:10" hidden="1" x14ac:dyDescent="0.25">
      <c r="A1975" t="s">
        <v>11</v>
      </c>
      <c r="B1975" t="str">
        <f>"905"</f>
        <v>905</v>
      </c>
      <c r="C1975" t="s">
        <v>49</v>
      </c>
      <c r="D1975" t="s">
        <v>3644</v>
      </c>
      <c r="E1975" t="str">
        <f>"7704340969"</f>
        <v>7704340969</v>
      </c>
      <c r="F1975" t="s">
        <v>76</v>
      </c>
      <c r="G1975" t="s">
        <v>79</v>
      </c>
      <c r="H1975" t="s">
        <v>3694</v>
      </c>
      <c r="I1975" t="s">
        <v>17</v>
      </c>
      <c r="J1975" t="s">
        <v>18</v>
      </c>
    </row>
    <row r="1976" spans="1:10" hidden="1" x14ac:dyDescent="0.25">
      <c r="A1976" t="s">
        <v>11</v>
      </c>
      <c r="B1976" t="str">
        <f>"933"</f>
        <v>933</v>
      </c>
      <c r="C1976" t="s">
        <v>49</v>
      </c>
      <c r="D1976" t="s">
        <v>3644</v>
      </c>
      <c r="E1976" t="str">
        <f>"7704340969"</f>
        <v>7704340969</v>
      </c>
      <c r="F1976" t="s">
        <v>76</v>
      </c>
      <c r="G1976" t="s">
        <v>81</v>
      </c>
      <c r="H1976" t="s">
        <v>3695</v>
      </c>
      <c r="I1976" t="s">
        <v>17</v>
      </c>
      <c r="J1976" t="s">
        <v>18</v>
      </c>
    </row>
    <row r="1977" spans="1:10" hidden="1" x14ac:dyDescent="0.25">
      <c r="A1977" t="s">
        <v>11</v>
      </c>
      <c r="B1977" t="str">
        <f>"977"</f>
        <v>977</v>
      </c>
      <c r="C1977" t="s">
        <v>49</v>
      </c>
      <c r="D1977" t="s">
        <v>3644</v>
      </c>
      <c r="E1977" t="str">
        <f>"7704340969"</f>
        <v>7704340969</v>
      </c>
      <c r="F1977" t="s">
        <v>76</v>
      </c>
      <c r="G1977" t="s">
        <v>83</v>
      </c>
      <c r="H1977" t="s">
        <v>3696</v>
      </c>
      <c r="I1977" t="s">
        <v>17</v>
      </c>
      <c r="J1977" t="s">
        <v>18</v>
      </c>
    </row>
    <row r="1978" spans="1:10" hidden="1" x14ac:dyDescent="0.25">
      <c r="A1978" t="s">
        <v>11</v>
      </c>
      <c r="B1978" t="str">
        <f>"2273"</f>
        <v>2273</v>
      </c>
      <c r="C1978" t="s">
        <v>12</v>
      </c>
      <c r="D1978" t="s">
        <v>3644</v>
      </c>
      <c r="E1978" t="str">
        <f>"7825076677"</f>
        <v>7825076677</v>
      </c>
      <c r="F1978" t="s">
        <v>891</v>
      </c>
      <c r="G1978" t="s">
        <v>1591</v>
      </c>
      <c r="H1978" t="s">
        <v>3697</v>
      </c>
      <c r="I1978" t="s">
        <v>17</v>
      </c>
      <c r="J1978" t="s">
        <v>18</v>
      </c>
    </row>
    <row r="1979" spans="1:10" hidden="1" x14ac:dyDescent="0.25">
      <c r="A1979" t="s">
        <v>290</v>
      </c>
      <c r="B1979" t="str">
        <f>"434"</f>
        <v>434</v>
      </c>
      <c r="C1979" t="s">
        <v>65</v>
      </c>
      <c r="D1979" t="s">
        <v>3644</v>
      </c>
      <c r="E1979" t="str">
        <f>"3250065310"</f>
        <v>3250065310</v>
      </c>
      <c r="F1979" t="s">
        <v>3698</v>
      </c>
      <c r="G1979" t="s">
        <v>847</v>
      </c>
      <c r="H1979" t="s">
        <v>3699</v>
      </c>
      <c r="I1979" t="s">
        <v>17</v>
      </c>
      <c r="J1979" t="s">
        <v>18</v>
      </c>
    </row>
    <row r="1980" spans="1:10" hidden="1" x14ac:dyDescent="0.25">
      <c r="A1980" t="s">
        <v>11</v>
      </c>
      <c r="B1980" t="str">
        <f>"2023/30/03/0134857/38"</f>
        <v>2023/30/03/0134857/38</v>
      </c>
      <c r="C1980" t="s">
        <v>12</v>
      </c>
      <c r="D1980" t="s">
        <v>3644</v>
      </c>
      <c r="E1980" t="str">
        <f>"7718151150"</f>
        <v>7718151150</v>
      </c>
      <c r="F1980" t="s">
        <v>54</v>
      </c>
      <c r="G1980" t="s">
        <v>61</v>
      </c>
      <c r="H1980" t="s">
        <v>3700</v>
      </c>
      <c r="I1980" t="s">
        <v>17</v>
      </c>
      <c r="J1980" t="s">
        <v>18</v>
      </c>
    </row>
    <row r="1981" spans="1:10" hidden="1" x14ac:dyDescent="0.25">
      <c r="A1981" t="s">
        <v>11</v>
      </c>
      <c r="B1981" t="str">
        <f>"7710/8174424115"</f>
        <v>7710/8174424115</v>
      </c>
      <c r="C1981" t="s">
        <v>65</v>
      </c>
      <c r="D1981" t="s">
        <v>3644</v>
      </c>
      <c r="E1981" t="str">
        <f>"5032260402"</f>
        <v>5032260402</v>
      </c>
      <c r="F1981" t="s">
        <v>341</v>
      </c>
      <c r="G1981" t="s">
        <v>3701</v>
      </c>
      <c r="H1981" t="s">
        <v>3702</v>
      </c>
      <c r="I1981" t="s">
        <v>17</v>
      </c>
      <c r="J1981" t="s">
        <v>18</v>
      </c>
    </row>
    <row r="1982" spans="1:10" hidden="1" x14ac:dyDescent="0.25">
      <c r="A1982" t="s">
        <v>11</v>
      </c>
      <c r="B1982" t="str">
        <f>"2267"</f>
        <v>2267</v>
      </c>
      <c r="C1982" t="s">
        <v>49</v>
      </c>
      <c r="D1982" t="s">
        <v>3644</v>
      </c>
      <c r="E1982" t="str">
        <f>"7707616703"</f>
        <v>7707616703</v>
      </c>
      <c r="F1982" t="s">
        <v>3540</v>
      </c>
      <c r="G1982" t="s">
        <v>3703</v>
      </c>
      <c r="H1982" t="s">
        <v>3704</v>
      </c>
      <c r="I1982" t="s">
        <v>17</v>
      </c>
      <c r="J1982" t="s">
        <v>18</v>
      </c>
    </row>
    <row r="1983" spans="1:10" hidden="1" x14ac:dyDescent="0.25">
      <c r="A1983" t="s">
        <v>11</v>
      </c>
      <c r="B1983" t="str">
        <f>"28183"</f>
        <v>28183</v>
      </c>
      <c r="C1983" t="s">
        <v>65</v>
      </c>
      <c r="D1983" t="s">
        <v>3644</v>
      </c>
      <c r="E1983" t="str">
        <f t="shared" ref="E1983:E1988" si="82">"7729488999"</f>
        <v>7729488999</v>
      </c>
      <c r="F1983" t="s">
        <v>85</v>
      </c>
      <c r="G1983" t="s">
        <v>3705</v>
      </c>
      <c r="H1983" t="s">
        <v>3706</v>
      </c>
      <c r="I1983" t="s">
        <v>17</v>
      </c>
      <c r="J1983" t="s">
        <v>18</v>
      </c>
    </row>
    <row r="1984" spans="1:10" hidden="1" x14ac:dyDescent="0.25">
      <c r="A1984" t="s">
        <v>11</v>
      </c>
      <c r="B1984" t="str">
        <f>"28181"</f>
        <v>28181</v>
      </c>
      <c r="C1984" t="s">
        <v>65</v>
      </c>
      <c r="D1984" t="s">
        <v>3644</v>
      </c>
      <c r="E1984" t="str">
        <f t="shared" si="82"/>
        <v>7729488999</v>
      </c>
      <c r="F1984" t="s">
        <v>85</v>
      </c>
      <c r="G1984" t="s">
        <v>3707</v>
      </c>
      <c r="H1984" t="s">
        <v>3708</v>
      </c>
      <c r="I1984" t="s">
        <v>17</v>
      </c>
      <c r="J1984" t="s">
        <v>18</v>
      </c>
    </row>
    <row r="1985" spans="1:10" hidden="1" x14ac:dyDescent="0.25">
      <c r="A1985" t="s">
        <v>11</v>
      </c>
      <c r="B1985" t="str">
        <f>"28118"</f>
        <v>28118</v>
      </c>
      <c r="C1985" t="s">
        <v>65</v>
      </c>
      <c r="D1985" t="s">
        <v>3644</v>
      </c>
      <c r="E1985" t="str">
        <f t="shared" si="82"/>
        <v>7729488999</v>
      </c>
      <c r="F1985" t="s">
        <v>85</v>
      </c>
      <c r="G1985" t="s">
        <v>3709</v>
      </c>
      <c r="H1985" t="s">
        <v>3710</v>
      </c>
      <c r="I1985" t="s">
        <v>17</v>
      </c>
      <c r="J1985" t="s">
        <v>18</v>
      </c>
    </row>
    <row r="1986" spans="1:10" hidden="1" x14ac:dyDescent="0.25">
      <c r="A1986" t="s">
        <v>11</v>
      </c>
      <c r="B1986" t="str">
        <f>"27944"</f>
        <v>27944</v>
      </c>
      <c r="C1986" t="s">
        <v>65</v>
      </c>
      <c r="D1986" t="s">
        <v>3644</v>
      </c>
      <c r="E1986" t="str">
        <f t="shared" si="82"/>
        <v>7729488999</v>
      </c>
      <c r="F1986" t="s">
        <v>85</v>
      </c>
      <c r="G1986" t="s">
        <v>3711</v>
      </c>
      <c r="H1986" t="s">
        <v>3712</v>
      </c>
      <c r="I1986" t="s">
        <v>17</v>
      </c>
      <c r="J1986" t="s">
        <v>18</v>
      </c>
    </row>
    <row r="1987" spans="1:10" hidden="1" x14ac:dyDescent="0.25">
      <c r="A1987" t="s">
        <v>11</v>
      </c>
      <c r="B1987" t="str">
        <f>"27934"</f>
        <v>27934</v>
      </c>
      <c r="C1987" t="s">
        <v>65</v>
      </c>
      <c r="D1987" t="s">
        <v>3644</v>
      </c>
      <c r="E1987" t="str">
        <f t="shared" si="82"/>
        <v>7729488999</v>
      </c>
      <c r="F1987" t="s">
        <v>85</v>
      </c>
      <c r="G1987" t="s">
        <v>3713</v>
      </c>
      <c r="H1987" t="s">
        <v>3714</v>
      </c>
      <c r="I1987" t="s">
        <v>17</v>
      </c>
      <c r="J1987" t="s">
        <v>18</v>
      </c>
    </row>
    <row r="1988" spans="1:10" hidden="1" x14ac:dyDescent="0.25">
      <c r="A1988" t="s">
        <v>11</v>
      </c>
      <c r="B1988" t="str">
        <f>"27739"</f>
        <v>27739</v>
      </c>
      <c r="C1988" t="s">
        <v>12</v>
      </c>
      <c r="D1988" t="s">
        <v>3644</v>
      </c>
      <c r="E1988" t="str">
        <f t="shared" si="82"/>
        <v>7729488999</v>
      </c>
      <c r="F1988" t="s">
        <v>85</v>
      </c>
      <c r="G1988" t="s">
        <v>3715</v>
      </c>
      <c r="H1988" t="s">
        <v>3716</v>
      </c>
      <c r="I1988" t="s">
        <v>17</v>
      </c>
      <c r="J1988" t="s">
        <v>18</v>
      </c>
    </row>
    <row r="1989" spans="1:10" hidden="1" x14ac:dyDescent="0.25">
      <c r="A1989" t="s">
        <v>11</v>
      </c>
      <c r="B1989" t="str">
        <f>"109"</f>
        <v>109</v>
      </c>
      <c r="C1989" t="s">
        <v>49</v>
      </c>
      <c r="D1989" t="s">
        <v>3644</v>
      </c>
      <c r="E1989" t="str">
        <f>"7743128596"</f>
        <v>7743128596</v>
      </c>
      <c r="F1989" t="s">
        <v>351</v>
      </c>
      <c r="G1989" t="s">
        <v>352</v>
      </c>
      <c r="H1989" t="s">
        <v>3717</v>
      </c>
      <c r="I1989" t="s">
        <v>17</v>
      </c>
      <c r="J1989" t="s">
        <v>18</v>
      </c>
    </row>
    <row r="1990" spans="1:10" hidden="1" x14ac:dyDescent="0.25">
      <c r="A1990" t="s">
        <v>11</v>
      </c>
      <c r="B1990" t="str">
        <f>"УТ-405-000094"</f>
        <v>УТ-405-000094</v>
      </c>
      <c r="C1990" t="s">
        <v>100</v>
      </c>
      <c r="D1990" t="s">
        <v>3644</v>
      </c>
      <c r="E1990" t="str">
        <f>"7839454551"</f>
        <v>7839454551</v>
      </c>
      <c r="F1990" t="s">
        <v>57</v>
      </c>
      <c r="G1990" t="s">
        <v>3718</v>
      </c>
      <c r="H1990" t="s">
        <v>3719</v>
      </c>
      <c r="I1990" t="s">
        <v>17</v>
      </c>
      <c r="J1990" t="s">
        <v>18</v>
      </c>
    </row>
    <row r="1991" spans="1:10" hidden="1" x14ac:dyDescent="0.25">
      <c r="A1991" t="s">
        <v>11</v>
      </c>
      <c r="B1991" t="str">
        <f>"SR110023176"</f>
        <v>SR110023176</v>
      </c>
      <c r="C1991" t="s">
        <v>65</v>
      </c>
      <c r="D1991" t="s">
        <v>3644</v>
      </c>
      <c r="E1991" t="str">
        <f>"4725006920"</f>
        <v>4725006920</v>
      </c>
      <c r="F1991" t="s">
        <v>101</v>
      </c>
      <c r="G1991" t="s">
        <v>3720</v>
      </c>
      <c r="H1991" t="s">
        <v>3721</v>
      </c>
      <c r="I1991" t="s">
        <v>17</v>
      </c>
      <c r="J1991" t="s">
        <v>18</v>
      </c>
    </row>
    <row r="1992" spans="1:10" hidden="1" x14ac:dyDescent="0.25">
      <c r="A1992" t="s">
        <v>11</v>
      </c>
      <c r="B1992" t="str">
        <f>"10740503-13"</f>
        <v>10740503-13</v>
      </c>
      <c r="C1992" t="s">
        <v>65</v>
      </c>
      <c r="D1992" t="s">
        <v>3644</v>
      </c>
      <c r="E1992" t="str">
        <f>"7709242041"</f>
        <v>7709242041</v>
      </c>
      <c r="F1992" t="s">
        <v>1502</v>
      </c>
      <c r="G1992" t="s">
        <v>3722</v>
      </c>
      <c r="H1992" t="s">
        <v>3723</v>
      </c>
      <c r="I1992" t="s">
        <v>17</v>
      </c>
      <c r="J1992" t="s">
        <v>18</v>
      </c>
    </row>
    <row r="1993" spans="1:10" hidden="1" x14ac:dyDescent="0.25">
      <c r="A1993" t="s">
        <v>11</v>
      </c>
      <c r="B1993" t="str">
        <f>"172"</f>
        <v>172</v>
      </c>
      <c r="C1993" t="s">
        <v>49</v>
      </c>
      <c r="D1993" t="s">
        <v>3644</v>
      </c>
      <c r="E1993" t="str">
        <f>"7702392168"</f>
        <v>7702392168</v>
      </c>
      <c r="F1993" t="s">
        <v>97</v>
      </c>
      <c r="G1993" t="s">
        <v>3724</v>
      </c>
      <c r="H1993" t="s">
        <v>3725</v>
      </c>
      <c r="I1993" t="s">
        <v>17</v>
      </c>
      <c r="J1993" t="s">
        <v>18</v>
      </c>
    </row>
    <row r="1994" spans="1:10" hidden="1" x14ac:dyDescent="0.25">
      <c r="A1994" t="s">
        <v>11</v>
      </c>
      <c r="B1994" t="str">
        <f>"UT-108049"</f>
        <v>UT-108049</v>
      </c>
      <c r="C1994" t="s">
        <v>100</v>
      </c>
      <c r="D1994" t="s">
        <v>3644</v>
      </c>
      <c r="E1994" t="str">
        <f>"7806385951"</f>
        <v>7806385951</v>
      </c>
      <c r="F1994" t="s">
        <v>26</v>
      </c>
      <c r="G1994" t="s">
        <v>3726</v>
      </c>
      <c r="H1994" t="s">
        <v>3727</v>
      </c>
      <c r="I1994" t="s">
        <v>17</v>
      </c>
      <c r="J1994" t="s">
        <v>18</v>
      </c>
    </row>
    <row r="1995" spans="1:10" hidden="1" x14ac:dyDescent="0.25">
      <c r="A1995" t="s">
        <v>11</v>
      </c>
      <c r="B1995" t="str">
        <f>"28333749"</f>
        <v>28333749</v>
      </c>
      <c r="C1995" t="s">
        <v>65</v>
      </c>
      <c r="D1995" t="s">
        <v>3644</v>
      </c>
      <c r="E1995" t="str">
        <f>"7721793895"</f>
        <v>7721793895</v>
      </c>
      <c r="F1995" t="s">
        <v>109</v>
      </c>
      <c r="G1995" t="s">
        <v>3728</v>
      </c>
      <c r="H1995" t="s">
        <v>3729</v>
      </c>
      <c r="I1995" t="s">
        <v>17</v>
      </c>
      <c r="J1995" t="s">
        <v>18</v>
      </c>
    </row>
    <row r="1996" spans="1:10" hidden="1" x14ac:dyDescent="0.25">
      <c r="A1996" t="s">
        <v>290</v>
      </c>
      <c r="B1996" t="str">
        <f>"188"</f>
        <v>188</v>
      </c>
      <c r="C1996" t="s">
        <v>3730</v>
      </c>
      <c r="D1996" t="s">
        <v>3644</v>
      </c>
      <c r="E1996" t="str">
        <f>"3250065310"</f>
        <v>3250065310</v>
      </c>
      <c r="F1996" t="s">
        <v>3698</v>
      </c>
      <c r="G1996" t="s">
        <v>847</v>
      </c>
      <c r="H1996" t="s">
        <v>3731</v>
      </c>
      <c r="I1996" t="s">
        <v>17</v>
      </c>
      <c r="J1996" t="s">
        <v>18</v>
      </c>
    </row>
    <row r="1997" spans="1:10" hidden="1" x14ac:dyDescent="0.25">
      <c r="A1997" t="s">
        <v>11</v>
      </c>
      <c r="B1997" t="str">
        <f>"SR110023442"</f>
        <v>SR110023442</v>
      </c>
      <c r="C1997" t="s">
        <v>100</v>
      </c>
      <c r="D1997" t="s">
        <v>3644</v>
      </c>
      <c r="E1997" t="str">
        <f>"4725006920"</f>
        <v>4725006920</v>
      </c>
      <c r="F1997" t="s">
        <v>101</v>
      </c>
      <c r="G1997" t="s">
        <v>3732</v>
      </c>
      <c r="H1997" t="s">
        <v>3733</v>
      </c>
      <c r="I1997" t="s">
        <v>17</v>
      </c>
      <c r="J1997" t="s">
        <v>21</v>
      </c>
    </row>
    <row r="1998" spans="1:10" hidden="1" x14ac:dyDescent="0.25">
      <c r="A1998" t="s">
        <v>11</v>
      </c>
      <c r="B1998" t="str">
        <f>"UT-100276"</f>
        <v>UT-100276</v>
      </c>
      <c r="C1998" t="s">
        <v>531</v>
      </c>
      <c r="D1998" t="s">
        <v>3644</v>
      </c>
      <c r="E1998" t="str">
        <f>"7806385951"</f>
        <v>7806385951</v>
      </c>
      <c r="F1998" t="s">
        <v>26</v>
      </c>
      <c r="G1998" t="s">
        <v>3734</v>
      </c>
      <c r="H1998" t="s">
        <v>3735</v>
      </c>
      <c r="I1998" t="s">
        <v>17</v>
      </c>
      <c r="J1998" t="s">
        <v>18</v>
      </c>
    </row>
    <row r="1999" spans="1:10" hidden="1" x14ac:dyDescent="0.25">
      <c r="A1999" t="s">
        <v>11</v>
      </c>
      <c r="B1999" t="str">
        <f>"ВАГР0504/09"</f>
        <v>ВАГР0504/09</v>
      </c>
      <c r="C1999" t="s">
        <v>100</v>
      </c>
      <c r="D1999" t="s">
        <v>3644</v>
      </c>
      <c r="E1999" t="str">
        <f>"7735126034"</f>
        <v>7735126034</v>
      </c>
      <c r="F1999" t="s">
        <v>131</v>
      </c>
      <c r="G1999" t="s">
        <v>3736</v>
      </c>
      <c r="H1999" t="s">
        <v>3737</v>
      </c>
      <c r="I1999" t="s">
        <v>17</v>
      </c>
      <c r="J1999" t="s">
        <v>18</v>
      </c>
    </row>
    <row r="2000" spans="1:10" hidden="1" x14ac:dyDescent="0.25">
      <c r="A2000" t="s">
        <v>11</v>
      </c>
      <c r="B2000" t="str">
        <f>"28343087"</f>
        <v>28343087</v>
      </c>
      <c r="C2000" t="s">
        <v>65</v>
      </c>
      <c r="D2000" t="s">
        <v>3644</v>
      </c>
      <c r="E2000" t="str">
        <f>"7721793895"</f>
        <v>7721793895</v>
      </c>
      <c r="F2000" t="s">
        <v>109</v>
      </c>
      <c r="G2000" t="s">
        <v>3738</v>
      </c>
      <c r="H2000" t="s">
        <v>3739</v>
      </c>
      <c r="I2000" t="s">
        <v>17</v>
      </c>
      <c r="J2000" t="s">
        <v>18</v>
      </c>
    </row>
    <row r="2001" spans="1:10" hidden="1" x14ac:dyDescent="0.25">
      <c r="A2001" t="s">
        <v>11</v>
      </c>
      <c r="B2001" t="str">
        <f>"28591"</f>
        <v>28591</v>
      </c>
      <c r="C2001" t="s">
        <v>106</v>
      </c>
      <c r="D2001" t="s">
        <v>3644</v>
      </c>
      <c r="E2001" t="str">
        <f>"7729488999"</f>
        <v>7729488999</v>
      </c>
      <c r="F2001" t="s">
        <v>85</v>
      </c>
      <c r="G2001" t="s">
        <v>3740</v>
      </c>
      <c r="H2001" t="s">
        <v>3741</v>
      </c>
      <c r="I2001" t="s">
        <v>17</v>
      </c>
      <c r="J2001" t="s">
        <v>18</v>
      </c>
    </row>
    <row r="2002" spans="1:10" hidden="1" x14ac:dyDescent="0.25">
      <c r="A2002" t="s">
        <v>11</v>
      </c>
      <c r="B2002" t="str">
        <f>"13878/690E"</f>
        <v>13878/690E</v>
      </c>
      <c r="C2002" t="s">
        <v>106</v>
      </c>
      <c r="D2002" t="s">
        <v>3644</v>
      </c>
      <c r="E2002" t="str">
        <f>"5003052454"</f>
        <v>5003052454</v>
      </c>
      <c r="F2002" t="s">
        <v>14</v>
      </c>
      <c r="G2002" t="s">
        <v>3742</v>
      </c>
      <c r="H2002" t="s">
        <v>3743</v>
      </c>
      <c r="I2002" t="s">
        <v>17</v>
      </c>
      <c r="J2002" t="s">
        <v>18</v>
      </c>
    </row>
    <row r="2003" spans="1:10" hidden="1" x14ac:dyDescent="0.25">
      <c r="A2003" t="s">
        <v>11</v>
      </c>
      <c r="B2003" t="str">
        <f>"14020/690E"</f>
        <v>14020/690E</v>
      </c>
      <c r="C2003" t="s">
        <v>106</v>
      </c>
      <c r="D2003" t="s">
        <v>3644</v>
      </c>
      <c r="E2003" t="str">
        <f>"5003052454"</f>
        <v>5003052454</v>
      </c>
      <c r="F2003" t="s">
        <v>14</v>
      </c>
      <c r="G2003" t="s">
        <v>3744</v>
      </c>
      <c r="H2003" t="s">
        <v>3745</v>
      </c>
      <c r="I2003" t="s">
        <v>17</v>
      </c>
      <c r="J2003" t="s">
        <v>18</v>
      </c>
    </row>
    <row r="2004" spans="1:10" hidden="1" x14ac:dyDescent="0.25">
      <c r="A2004" t="s">
        <v>11</v>
      </c>
      <c r="B2004" t="str">
        <f>"14051/690E"</f>
        <v>14051/690E</v>
      </c>
      <c r="C2004" t="s">
        <v>106</v>
      </c>
      <c r="D2004" t="s">
        <v>3644</v>
      </c>
      <c r="E2004" t="str">
        <f>"5003052454"</f>
        <v>5003052454</v>
      </c>
      <c r="F2004" t="s">
        <v>14</v>
      </c>
      <c r="G2004" t="s">
        <v>3746</v>
      </c>
      <c r="H2004" t="s">
        <v>3747</v>
      </c>
      <c r="I2004" t="s">
        <v>17</v>
      </c>
      <c r="J2004" t="s">
        <v>18</v>
      </c>
    </row>
    <row r="2005" spans="1:10" hidden="1" x14ac:dyDescent="0.25">
      <c r="A2005" t="s">
        <v>11</v>
      </c>
      <c r="B2005" t="str">
        <f>"UT-109753"</f>
        <v>UT-109753</v>
      </c>
      <c r="C2005" t="s">
        <v>106</v>
      </c>
      <c r="D2005" t="s">
        <v>3644</v>
      </c>
      <c r="E2005" t="str">
        <f t="shared" ref="E2005:E2011" si="83">"7806385951"</f>
        <v>7806385951</v>
      </c>
      <c r="F2005" t="s">
        <v>26</v>
      </c>
      <c r="G2005" t="s">
        <v>3748</v>
      </c>
      <c r="H2005" t="s">
        <v>3749</v>
      </c>
      <c r="I2005" t="s">
        <v>17</v>
      </c>
      <c r="J2005" t="s">
        <v>18</v>
      </c>
    </row>
    <row r="2006" spans="1:10" hidden="1" x14ac:dyDescent="0.25">
      <c r="A2006" t="s">
        <v>11</v>
      </c>
      <c r="B2006" t="str">
        <f>"UT-109244"</f>
        <v>UT-109244</v>
      </c>
      <c r="C2006" t="s">
        <v>106</v>
      </c>
      <c r="D2006" t="s">
        <v>3644</v>
      </c>
      <c r="E2006" t="str">
        <f t="shared" si="83"/>
        <v>7806385951</v>
      </c>
      <c r="F2006" t="s">
        <v>26</v>
      </c>
      <c r="G2006" t="s">
        <v>2212</v>
      </c>
      <c r="H2006" t="s">
        <v>3750</v>
      </c>
      <c r="I2006" t="s">
        <v>17</v>
      </c>
      <c r="J2006" t="s">
        <v>18</v>
      </c>
    </row>
    <row r="2007" spans="1:10" hidden="1" x14ac:dyDescent="0.25">
      <c r="A2007" t="s">
        <v>11</v>
      </c>
      <c r="B2007" t="str">
        <f>"UT-109253"</f>
        <v>UT-109253</v>
      </c>
      <c r="C2007" t="s">
        <v>106</v>
      </c>
      <c r="D2007" t="s">
        <v>3644</v>
      </c>
      <c r="E2007" t="str">
        <f t="shared" si="83"/>
        <v>7806385951</v>
      </c>
      <c r="F2007" t="s">
        <v>26</v>
      </c>
      <c r="G2007" t="s">
        <v>3751</v>
      </c>
      <c r="H2007" t="s">
        <v>3752</v>
      </c>
      <c r="I2007" t="s">
        <v>17</v>
      </c>
      <c r="J2007" t="s">
        <v>18</v>
      </c>
    </row>
    <row r="2008" spans="1:10" hidden="1" x14ac:dyDescent="0.25">
      <c r="A2008" t="s">
        <v>11</v>
      </c>
      <c r="B2008" t="str">
        <f>"UT-109303"</f>
        <v>UT-109303</v>
      </c>
      <c r="C2008" t="s">
        <v>106</v>
      </c>
      <c r="D2008" t="s">
        <v>3644</v>
      </c>
      <c r="E2008" t="str">
        <f t="shared" si="83"/>
        <v>7806385951</v>
      </c>
      <c r="F2008" t="s">
        <v>26</v>
      </c>
      <c r="G2008" t="s">
        <v>3753</v>
      </c>
      <c r="H2008" t="s">
        <v>3754</v>
      </c>
      <c r="I2008" t="s">
        <v>17</v>
      </c>
      <c r="J2008" t="s">
        <v>18</v>
      </c>
    </row>
    <row r="2009" spans="1:10" hidden="1" x14ac:dyDescent="0.25">
      <c r="A2009" t="s">
        <v>11</v>
      </c>
      <c r="B2009" t="str">
        <f>"UT-109306"</f>
        <v>UT-109306</v>
      </c>
      <c r="C2009" t="s">
        <v>106</v>
      </c>
      <c r="D2009" t="s">
        <v>3644</v>
      </c>
      <c r="E2009" t="str">
        <f t="shared" si="83"/>
        <v>7806385951</v>
      </c>
      <c r="F2009" t="s">
        <v>26</v>
      </c>
      <c r="G2009" t="s">
        <v>3755</v>
      </c>
      <c r="H2009" t="s">
        <v>3756</v>
      </c>
      <c r="I2009" t="s">
        <v>17</v>
      </c>
      <c r="J2009" t="s">
        <v>18</v>
      </c>
    </row>
    <row r="2010" spans="1:10" hidden="1" x14ac:dyDescent="0.25">
      <c r="A2010" t="s">
        <v>11</v>
      </c>
      <c r="B2010" t="str">
        <f>"UT-109307"</f>
        <v>UT-109307</v>
      </c>
      <c r="C2010" t="s">
        <v>106</v>
      </c>
      <c r="D2010" t="s">
        <v>3644</v>
      </c>
      <c r="E2010" t="str">
        <f t="shared" si="83"/>
        <v>7806385951</v>
      </c>
      <c r="F2010" t="s">
        <v>26</v>
      </c>
      <c r="G2010" t="s">
        <v>3757</v>
      </c>
      <c r="H2010" t="s">
        <v>3758</v>
      </c>
      <c r="I2010" t="s">
        <v>17</v>
      </c>
      <c r="J2010" t="s">
        <v>18</v>
      </c>
    </row>
    <row r="2011" spans="1:10" hidden="1" x14ac:dyDescent="0.25">
      <c r="A2011" t="s">
        <v>11</v>
      </c>
      <c r="B2011" t="str">
        <f>"UT-109807"</f>
        <v>UT-109807</v>
      </c>
      <c r="C2011" t="s">
        <v>106</v>
      </c>
      <c r="D2011" t="s">
        <v>3644</v>
      </c>
      <c r="E2011" t="str">
        <f t="shared" si="83"/>
        <v>7806385951</v>
      </c>
      <c r="F2011" t="s">
        <v>26</v>
      </c>
      <c r="G2011" t="s">
        <v>3759</v>
      </c>
      <c r="H2011" t="s">
        <v>3760</v>
      </c>
      <c r="I2011" t="s">
        <v>17</v>
      </c>
      <c r="J2011" t="s">
        <v>18</v>
      </c>
    </row>
    <row r="2012" spans="1:10" hidden="1" x14ac:dyDescent="0.25">
      <c r="A2012" t="s">
        <v>11</v>
      </c>
      <c r="B2012" t="str">
        <f>"2023/30/03/0138391/38"</f>
        <v>2023/30/03/0138391/38</v>
      </c>
      <c r="C2012" t="s">
        <v>100</v>
      </c>
      <c r="D2012" t="s">
        <v>3644</v>
      </c>
      <c r="E2012" t="str">
        <f>"7718151150"</f>
        <v>7718151150</v>
      </c>
      <c r="F2012" t="s">
        <v>54</v>
      </c>
      <c r="G2012" t="s">
        <v>3761</v>
      </c>
      <c r="H2012" t="s">
        <v>3762</v>
      </c>
      <c r="I2012" t="s">
        <v>17</v>
      </c>
      <c r="J2012" t="s">
        <v>18</v>
      </c>
    </row>
    <row r="2013" spans="1:10" hidden="1" x14ac:dyDescent="0.25">
      <c r="A2013" t="s">
        <v>11</v>
      </c>
      <c r="B2013" t="str">
        <f>"2023/30/03/0138390/38"</f>
        <v>2023/30/03/0138390/38</v>
      </c>
      <c r="C2013" t="s">
        <v>100</v>
      </c>
      <c r="D2013" t="s">
        <v>3644</v>
      </c>
      <c r="E2013" t="str">
        <f>"7718151150"</f>
        <v>7718151150</v>
      </c>
      <c r="F2013" t="s">
        <v>54</v>
      </c>
      <c r="G2013" t="s">
        <v>1956</v>
      </c>
      <c r="H2013" t="s">
        <v>3763</v>
      </c>
      <c r="I2013" t="s">
        <v>17</v>
      </c>
      <c r="J2013" t="s">
        <v>18</v>
      </c>
    </row>
    <row r="2014" spans="1:10" hidden="1" x14ac:dyDescent="0.25">
      <c r="A2014" t="s">
        <v>11</v>
      </c>
      <c r="B2014" t="str">
        <f>"2023/30/03/0138375/38"</f>
        <v>2023/30/03/0138375/38</v>
      </c>
      <c r="C2014" t="s">
        <v>100</v>
      </c>
      <c r="D2014" t="s">
        <v>3644</v>
      </c>
      <c r="E2014" t="str">
        <f>"7718151150"</f>
        <v>7718151150</v>
      </c>
      <c r="F2014" t="s">
        <v>54</v>
      </c>
      <c r="G2014" t="s">
        <v>61</v>
      </c>
      <c r="H2014" t="s">
        <v>3764</v>
      </c>
      <c r="I2014" t="s">
        <v>17</v>
      </c>
      <c r="J2014" t="s">
        <v>18</v>
      </c>
    </row>
    <row r="2015" spans="1:10" hidden="1" x14ac:dyDescent="0.25">
      <c r="A2015" t="s">
        <v>11</v>
      </c>
      <c r="B2015" t="str">
        <f>"2023/30/03/0138376/38"</f>
        <v>2023/30/03/0138376/38</v>
      </c>
      <c r="C2015" t="s">
        <v>100</v>
      </c>
      <c r="D2015" t="s">
        <v>3644</v>
      </c>
      <c r="E2015" t="str">
        <f>"7718151150"</f>
        <v>7718151150</v>
      </c>
      <c r="F2015" t="s">
        <v>54</v>
      </c>
      <c r="G2015" t="s">
        <v>61</v>
      </c>
      <c r="H2015" t="s">
        <v>3765</v>
      </c>
      <c r="I2015" t="s">
        <v>17</v>
      </c>
      <c r="J2015" t="s">
        <v>18</v>
      </c>
    </row>
    <row r="2016" spans="1:10" hidden="1" x14ac:dyDescent="0.25">
      <c r="A2016" t="s">
        <v>11</v>
      </c>
      <c r="B2016" t="str">
        <f>"8907"</f>
        <v>8907</v>
      </c>
      <c r="C2016" t="s">
        <v>100</v>
      </c>
      <c r="D2016" t="s">
        <v>3644</v>
      </c>
      <c r="E2016" t="str">
        <f>"6950166446"</f>
        <v>6950166446</v>
      </c>
      <c r="F2016" t="s">
        <v>3677</v>
      </c>
      <c r="G2016" t="s">
        <v>3680</v>
      </c>
      <c r="H2016" t="s">
        <v>3766</v>
      </c>
      <c r="I2016" t="s">
        <v>17</v>
      </c>
      <c r="J2016" t="s">
        <v>18</v>
      </c>
    </row>
    <row r="2017" spans="1:10" hidden="1" x14ac:dyDescent="0.25">
      <c r="A2017" t="s">
        <v>11</v>
      </c>
      <c r="B2017" t="str">
        <f>"8918"</f>
        <v>8918</v>
      </c>
      <c r="C2017" t="s">
        <v>65</v>
      </c>
      <c r="D2017" t="s">
        <v>3644</v>
      </c>
      <c r="E2017" t="str">
        <f>"6950166446"</f>
        <v>6950166446</v>
      </c>
      <c r="F2017" t="s">
        <v>3677</v>
      </c>
      <c r="G2017" t="s">
        <v>3767</v>
      </c>
      <c r="H2017" t="s">
        <v>3768</v>
      </c>
      <c r="I2017" t="s">
        <v>17</v>
      </c>
      <c r="J2017" t="s">
        <v>18</v>
      </c>
    </row>
    <row r="2018" spans="1:10" hidden="1" x14ac:dyDescent="0.25">
      <c r="A2018" t="s">
        <v>11</v>
      </c>
      <c r="B2018" t="str">
        <f>"319"</f>
        <v>319</v>
      </c>
      <c r="C2018" t="s">
        <v>3769</v>
      </c>
      <c r="D2018" t="s">
        <v>3644</v>
      </c>
      <c r="E2018" t="str">
        <f t="shared" ref="E2018:E2036" si="84">"7717759210"</f>
        <v>7717759210</v>
      </c>
      <c r="F2018" t="s">
        <v>3770</v>
      </c>
      <c r="G2018" t="s">
        <v>3771</v>
      </c>
      <c r="H2018" t="s">
        <v>3772</v>
      </c>
      <c r="I2018" t="s">
        <v>17</v>
      </c>
      <c r="J2018" t="s">
        <v>18</v>
      </c>
    </row>
    <row r="2019" spans="1:10" hidden="1" x14ac:dyDescent="0.25">
      <c r="A2019" t="s">
        <v>11</v>
      </c>
      <c r="B2019" t="str">
        <f>"405"</f>
        <v>405</v>
      </c>
      <c r="C2019" t="s">
        <v>3773</v>
      </c>
      <c r="D2019" t="s">
        <v>3644</v>
      </c>
      <c r="E2019" t="str">
        <f t="shared" si="84"/>
        <v>7717759210</v>
      </c>
      <c r="F2019" t="s">
        <v>3770</v>
      </c>
      <c r="G2019" t="s">
        <v>3771</v>
      </c>
      <c r="H2019" t="s">
        <v>3774</v>
      </c>
      <c r="I2019" t="s">
        <v>17</v>
      </c>
      <c r="J2019" t="s">
        <v>18</v>
      </c>
    </row>
    <row r="2020" spans="1:10" hidden="1" x14ac:dyDescent="0.25">
      <c r="A2020" t="s">
        <v>11</v>
      </c>
      <c r="B2020" t="str">
        <f>"406"</f>
        <v>406</v>
      </c>
      <c r="C2020" t="s">
        <v>3773</v>
      </c>
      <c r="D2020" t="s">
        <v>3644</v>
      </c>
      <c r="E2020" t="str">
        <f t="shared" si="84"/>
        <v>7717759210</v>
      </c>
      <c r="F2020" t="s">
        <v>3770</v>
      </c>
      <c r="G2020" t="s">
        <v>3775</v>
      </c>
      <c r="H2020" t="s">
        <v>3776</v>
      </c>
      <c r="I2020" t="s">
        <v>17</v>
      </c>
      <c r="J2020" t="s">
        <v>18</v>
      </c>
    </row>
    <row r="2021" spans="1:10" hidden="1" x14ac:dyDescent="0.25">
      <c r="A2021" t="s">
        <v>11</v>
      </c>
      <c r="B2021" t="str">
        <f>"311"</f>
        <v>311</v>
      </c>
      <c r="C2021" t="s">
        <v>3777</v>
      </c>
      <c r="D2021" t="s">
        <v>3644</v>
      </c>
      <c r="E2021" t="str">
        <f t="shared" si="84"/>
        <v>7717759210</v>
      </c>
      <c r="F2021" t="s">
        <v>3770</v>
      </c>
      <c r="G2021" t="s">
        <v>3771</v>
      </c>
      <c r="H2021" t="s">
        <v>3778</v>
      </c>
      <c r="I2021" t="s">
        <v>17</v>
      </c>
      <c r="J2021" t="s">
        <v>18</v>
      </c>
    </row>
    <row r="2022" spans="1:10" hidden="1" x14ac:dyDescent="0.25">
      <c r="A2022" t="s">
        <v>11</v>
      </c>
      <c r="B2022" t="str">
        <f>"407"</f>
        <v>407</v>
      </c>
      <c r="C2022" t="s">
        <v>3773</v>
      </c>
      <c r="D2022" t="s">
        <v>3644</v>
      </c>
      <c r="E2022" t="str">
        <f t="shared" si="84"/>
        <v>7717759210</v>
      </c>
      <c r="F2022" t="s">
        <v>3770</v>
      </c>
      <c r="G2022" t="s">
        <v>3779</v>
      </c>
      <c r="H2022" t="s">
        <v>3780</v>
      </c>
      <c r="I2022" t="s">
        <v>17</v>
      </c>
      <c r="J2022" t="s">
        <v>18</v>
      </c>
    </row>
    <row r="2023" spans="1:10" hidden="1" x14ac:dyDescent="0.25">
      <c r="A2023" t="s">
        <v>11</v>
      </c>
      <c r="B2023" t="str">
        <f>"437"</f>
        <v>437</v>
      </c>
      <c r="C2023" t="s">
        <v>3781</v>
      </c>
      <c r="D2023" t="s">
        <v>3644</v>
      </c>
      <c r="E2023" t="str">
        <f t="shared" si="84"/>
        <v>7717759210</v>
      </c>
      <c r="F2023" t="s">
        <v>3770</v>
      </c>
      <c r="G2023" t="s">
        <v>3779</v>
      </c>
      <c r="H2023" t="s">
        <v>3782</v>
      </c>
      <c r="I2023" t="s">
        <v>17</v>
      </c>
      <c r="J2023" t="s">
        <v>18</v>
      </c>
    </row>
    <row r="2024" spans="1:10" hidden="1" x14ac:dyDescent="0.25">
      <c r="A2024" t="s">
        <v>11</v>
      </c>
      <c r="B2024" t="str">
        <f>"438"</f>
        <v>438</v>
      </c>
      <c r="C2024" t="s">
        <v>3781</v>
      </c>
      <c r="D2024" t="s">
        <v>3644</v>
      </c>
      <c r="E2024" t="str">
        <f t="shared" si="84"/>
        <v>7717759210</v>
      </c>
      <c r="F2024" t="s">
        <v>3770</v>
      </c>
      <c r="G2024" t="s">
        <v>2341</v>
      </c>
      <c r="H2024" t="s">
        <v>3783</v>
      </c>
      <c r="I2024" t="s">
        <v>17</v>
      </c>
      <c r="J2024" t="s">
        <v>18</v>
      </c>
    </row>
    <row r="2025" spans="1:10" hidden="1" x14ac:dyDescent="0.25">
      <c r="A2025" t="s">
        <v>11</v>
      </c>
      <c r="B2025" t="str">
        <f>"460"</f>
        <v>460</v>
      </c>
      <c r="C2025" t="s">
        <v>3784</v>
      </c>
      <c r="D2025" t="s">
        <v>3644</v>
      </c>
      <c r="E2025" t="str">
        <f t="shared" si="84"/>
        <v>7717759210</v>
      </c>
      <c r="F2025" t="s">
        <v>3770</v>
      </c>
      <c r="G2025" t="s">
        <v>3771</v>
      </c>
      <c r="H2025" t="s">
        <v>3785</v>
      </c>
      <c r="I2025" t="s">
        <v>17</v>
      </c>
      <c r="J2025" t="s">
        <v>18</v>
      </c>
    </row>
    <row r="2026" spans="1:10" hidden="1" x14ac:dyDescent="0.25">
      <c r="A2026" t="s">
        <v>11</v>
      </c>
      <c r="B2026" t="str">
        <f>"461"</f>
        <v>461</v>
      </c>
      <c r="C2026" t="s">
        <v>3784</v>
      </c>
      <c r="D2026" t="s">
        <v>3644</v>
      </c>
      <c r="E2026" t="str">
        <f t="shared" si="84"/>
        <v>7717759210</v>
      </c>
      <c r="F2026" t="s">
        <v>3770</v>
      </c>
      <c r="G2026" t="s">
        <v>3779</v>
      </c>
      <c r="H2026" t="s">
        <v>3786</v>
      </c>
      <c r="I2026" t="s">
        <v>17</v>
      </c>
      <c r="J2026" t="s">
        <v>18</v>
      </c>
    </row>
    <row r="2027" spans="1:10" hidden="1" x14ac:dyDescent="0.25">
      <c r="A2027" t="s">
        <v>11</v>
      </c>
      <c r="B2027" t="str">
        <f>"464"</f>
        <v>464</v>
      </c>
      <c r="C2027" t="s">
        <v>3784</v>
      </c>
      <c r="D2027" t="s">
        <v>3644</v>
      </c>
      <c r="E2027" t="str">
        <f t="shared" si="84"/>
        <v>7717759210</v>
      </c>
      <c r="F2027" t="s">
        <v>3770</v>
      </c>
      <c r="G2027" t="s">
        <v>3787</v>
      </c>
      <c r="H2027" t="s">
        <v>3788</v>
      </c>
      <c r="I2027" t="s">
        <v>17</v>
      </c>
      <c r="J2027" t="s">
        <v>18</v>
      </c>
    </row>
    <row r="2028" spans="1:10" hidden="1" x14ac:dyDescent="0.25">
      <c r="A2028" t="s">
        <v>11</v>
      </c>
      <c r="B2028" t="str">
        <f>"463"</f>
        <v>463</v>
      </c>
      <c r="C2028" t="s">
        <v>3784</v>
      </c>
      <c r="D2028" t="s">
        <v>3644</v>
      </c>
      <c r="E2028" t="str">
        <f t="shared" si="84"/>
        <v>7717759210</v>
      </c>
      <c r="F2028" t="s">
        <v>3770</v>
      </c>
      <c r="G2028" t="s">
        <v>3789</v>
      </c>
      <c r="H2028" t="s">
        <v>3790</v>
      </c>
      <c r="I2028" t="s">
        <v>17</v>
      </c>
      <c r="J2028" t="s">
        <v>18</v>
      </c>
    </row>
    <row r="2029" spans="1:10" hidden="1" x14ac:dyDescent="0.25">
      <c r="A2029" t="s">
        <v>11</v>
      </c>
      <c r="B2029" t="str">
        <f>"465"</f>
        <v>465</v>
      </c>
      <c r="C2029" t="s">
        <v>3784</v>
      </c>
      <c r="D2029" t="s">
        <v>3644</v>
      </c>
      <c r="E2029" t="str">
        <f t="shared" si="84"/>
        <v>7717759210</v>
      </c>
      <c r="F2029" t="s">
        <v>3770</v>
      </c>
      <c r="G2029" t="s">
        <v>3771</v>
      </c>
      <c r="H2029" t="s">
        <v>3791</v>
      </c>
      <c r="I2029" t="s">
        <v>17</v>
      </c>
      <c r="J2029" t="s">
        <v>18</v>
      </c>
    </row>
    <row r="2030" spans="1:10" hidden="1" x14ac:dyDescent="0.25">
      <c r="A2030" t="s">
        <v>11</v>
      </c>
      <c r="B2030" t="str">
        <f>"523"</f>
        <v>523</v>
      </c>
      <c r="C2030" t="s">
        <v>3792</v>
      </c>
      <c r="D2030" t="s">
        <v>3644</v>
      </c>
      <c r="E2030" t="str">
        <f t="shared" si="84"/>
        <v>7717759210</v>
      </c>
      <c r="F2030" t="s">
        <v>3770</v>
      </c>
      <c r="G2030" t="s">
        <v>3793</v>
      </c>
      <c r="H2030" t="s">
        <v>3794</v>
      </c>
      <c r="I2030" t="s">
        <v>17</v>
      </c>
      <c r="J2030" t="s">
        <v>18</v>
      </c>
    </row>
    <row r="2031" spans="1:10" hidden="1" x14ac:dyDescent="0.25">
      <c r="A2031" t="s">
        <v>11</v>
      </c>
      <c r="B2031" t="str">
        <f>"524"</f>
        <v>524</v>
      </c>
      <c r="C2031" t="s">
        <v>3792</v>
      </c>
      <c r="D2031" t="s">
        <v>3644</v>
      </c>
      <c r="E2031" t="str">
        <f t="shared" si="84"/>
        <v>7717759210</v>
      </c>
      <c r="F2031" t="s">
        <v>3770</v>
      </c>
      <c r="G2031" t="s">
        <v>3795</v>
      </c>
      <c r="H2031" t="s">
        <v>3796</v>
      </c>
      <c r="I2031" t="s">
        <v>17</v>
      </c>
      <c r="J2031" t="s">
        <v>18</v>
      </c>
    </row>
    <row r="2032" spans="1:10" hidden="1" x14ac:dyDescent="0.25">
      <c r="A2032" t="s">
        <v>11</v>
      </c>
      <c r="B2032" t="str">
        <f>"436"</f>
        <v>436</v>
      </c>
      <c r="C2032" t="s">
        <v>3781</v>
      </c>
      <c r="D2032" t="s">
        <v>3644</v>
      </c>
      <c r="E2032" t="str">
        <f t="shared" si="84"/>
        <v>7717759210</v>
      </c>
      <c r="F2032" t="s">
        <v>3770</v>
      </c>
      <c r="G2032" t="s">
        <v>3771</v>
      </c>
      <c r="H2032" t="s">
        <v>3797</v>
      </c>
      <c r="I2032" t="s">
        <v>17</v>
      </c>
      <c r="J2032" t="s">
        <v>18</v>
      </c>
    </row>
    <row r="2033" spans="1:10" hidden="1" x14ac:dyDescent="0.25">
      <c r="A2033" t="s">
        <v>11</v>
      </c>
      <c r="B2033" t="str">
        <f>"550"</f>
        <v>550</v>
      </c>
      <c r="C2033" t="s">
        <v>3798</v>
      </c>
      <c r="D2033" t="s">
        <v>3644</v>
      </c>
      <c r="E2033" t="str">
        <f t="shared" si="84"/>
        <v>7717759210</v>
      </c>
      <c r="F2033" t="s">
        <v>3770</v>
      </c>
      <c r="G2033" t="s">
        <v>3779</v>
      </c>
      <c r="H2033" t="s">
        <v>3799</v>
      </c>
      <c r="I2033" t="s">
        <v>17</v>
      </c>
      <c r="J2033" t="s">
        <v>18</v>
      </c>
    </row>
    <row r="2034" spans="1:10" hidden="1" x14ac:dyDescent="0.25">
      <c r="A2034" t="s">
        <v>11</v>
      </c>
      <c r="B2034" t="str">
        <f>"549"</f>
        <v>549</v>
      </c>
      <c r="C2034" t="s">
        <v>3798</v>
      </c>
      <c r="D2034" t="s">
        <v>3644</v>
      </c>
      <c r="E2034" t="str">
        <f t="shared" si="84"/>
        <v>7717759210</v>
      </c>
      <c r="F2034" t="s">
        <v>3770</v>
      </c>
      <c r="G2034" t="s">
        <v>3800</v>
      </c>
      <c r="H2034" t="s">
        <v>3801</v>
      </c>
      <c r="I2034" t="s">
        <v>17</v>
      </c>
      <c r="J2034" t="s">
        <v>18</v>
      </c>
    </row>
    <row r="2035" spans="1:10" hidden="1" x14ac:dyDescent="0.25">
      <c r="A2035" t="s">
        <v>11</v>
      </c>
      <c r="B2035" t="str">
        <f>"551"</f>
        <v>551</v>
      </c>
      <c r="C2035" t="s">
        <v>3802</v>
      </c>
      <c r="D2035" t="s">
        <v>3644</v>
      </c>
      <c r="E2035" t="str">
        <f t="shared" si="84"/>
        <v>7717759210</v>
      </c>
      <c r="F2035" t="s">
        <v>3770</v>
      </c>
      <c r="G2035" t="s">
        <v>3803</v>
      </c>
      <c r="H2035" t="s">
        <v>3804</v>
      </c>
      <c r="I2035" t="s">
        <v>17</v>
      </c>
      <c r="J2035" t="s">
        <v>18</v>
      </c>
    </row>
    <row r="2036" spans="1:10" hidden="1" x14ac:dyDescent="0.25">
      <c r="A2036" t="s">
        <v>11</v>
      </c>
      <c r="B2036" t="str">
        <f>"16"</f>
        <v>16</v>
      </c>
      <c r="C2036" t="s">
        <v>3805</v>
      </c>
      <c r="D2036" t="s">
        <v>3644</v>
      </c>
      <c r="E2036" t="str">
        <f t="shared" si="84"/>
        <v>7717759210</v>
      </c>
      <c r="F2036" t="s">
        <v>3770</v>
      </c>
      <c r="G2036" t="s">
        <v>3800</v>
      </c>
      <c r="H2036" t="s">
        <v>3806</v>
      </c>
      <c r="I2036" t="s">
        <v>17</v>
      </c>
      <c r="J2036" t="s">
        <v>18</v>
      </c>
    </row>
    <row r="2037" spans="1:10" hidden="1" x14ac:dyDescent="0.25">
      <c r="A2037" t="s">
        <v>11</v>
      </c>
      <c r="B2037" t="str">
        <f>"02/00173241-23"</f>
        <v>02/00173241-23</v>
      </c>
      <c r="C2037" t="s">
        <v>420</v>
      </c>
      <c r="D2037" t="s">
        <v>3644</v>
      </c>
      <c r="E2037" t="str">
        <f>"7705034202"</f>
        <v>7705034202</v>
      </c>
      <c r="F2037" t="s">
        <v>407</v>
      </c>
      <c r="G2037" t="s">
        <v>3807</v>
      </c>
      <c r="H2037" t="s">
        <v>3808</v>
      </c>
      <c r="I2037" t="s">
        <v>17</v>
      </c>
      <c r="J2037" t="s">
        <v>18</v>
      </c>
    </row>
    <row r="2038" spans="1:10" hidden="1" x14ac:dyDescent="0.25">
      <c r="A2038" t="s">
        <v>11</v>
      </c>
      <c r="B2038" t="str">
        <f>"UT-105220"</f>
        <v>UT-105220</v>
      </c>
      <c r="C2038" t="s">
        <v>12</v>
      </c>
      <c r="D2038" t="s">
        <v>3809</v>
      </c>
      <c r="E2038" t="str">
        <f t="shared" ref="E2038:E2046" si="85">"7806385951"</f>
        <v>7806385951</v>
      </c>
      <c r="F2038" t="s">
        <v>26</v>
      </c>
      <c r="G2038" t="s">
        <v>3810</v>
      </c>
      <c r="H2038" t="s">
        <v>3811</v>
      </c>
      <c r="I2038" t="s">
        <v>17</v>
      </c>
      <c r="J2038" t="s">
        <v>18</v>
      </c>
    </row>
    <row r="2039" spans="1:10" hidden="1" x14ac:dyDescent="0.25">
      <c r="A2039" t="s">
        <v>11</v>
      </c>
      <c r="B2039" t="str">
        <f>"UT-98337"</f>
        <v>UT-98337</v>
      </c>
      <c r="C2039" t="s">
        <v>12</v>
      </c>
      <c r="D2039" t="s">
        <v>3809</v>
      </c>
      <c r="E2039" t="str">
        <f t="shared" si="85"/>
        <v>7806385951</v>
      </c>
      <c r="F2039" t="s">
        <v>26</v>
      </c>
      <c r="G2039" t="s">
        <v>3812</v>
      </c>
      <c r="H2039" t="s">
        <v>3813</v>
      </c>
      <c r="I2039" t="s">
        <v>17</v>
      </c>
      <c r="J2039" t="s">
        <v>18</v>
      </c>
    </row>
    <row r="2040" spans="1:10" hidden="1" x14ac:dyDescent="0.25">
      <c r="A2040" t="s">
        <v>11</v>
      </c>
      <c r="B2040" t="str">
        <f>"UT-98338"</f>
        <v>UT-98338</v>
      </c>
      <c r="C2040" t="s">
        <v>12</v>
      </c>
      <c r="D2040" t="s">
        <v>3809</v>
      </c>
      <c r="E2040" t="str">
        <f t="shared" si="85"/>
        <v>7806385951</v>
      </c>
      <c r="F2040" t="s">
        <v>26</v>
      </c>
      <c r="G2040" t="s">
        <v>3814</v>
      </c>
      <c r="H2040" t="s">
        <v>3815</v>
      </c>
      <c r="I2040" t="s">
        <v>17</v>
      </c>
      <c r="J2040" t="s">
        <v>18</v>
      </c>
    </row>
    <row r="2041" spans="1:10" hidden="1" x14ac:dyDescent="0.25">
      <c r="A2041" t="s">
        <v>11</v>
      </c>
      <c r="B2041" t="str">
        <f>"UT-98340"</f>
        <v>UT-98340</v>
      </c>
      <c r="C2041" t="s">
        <v>12</v>
      </c>
      <c r="D2041" t="s">
        <v>3809</v>
      </c>
      <c r="E2041" t="str">
        <f t="shared" si="85"/>
        <v>7806385951</v>
      </c>
      <c r="F2041" t="s">
        <v>26</v>
      </c>
      <c r="G2041" t="s">
        <v>3816</v>
      </c>
      <c r="H2041" t="s">
        <v>3817</v>
      </c>
      <c r="I2041" t="s">
        <v>17</v>
      </c>
      <c r="J2041" t="s">
        <v>18</v>
      </c>
    </row>
    <row r="2042" spans="1:10" hidden="1" x14ac:dyDescent="0.25">
      <c r="A2042" t="s">
        <v>11</v>
      </c>
      <c r="B2042" t="str">
        <f>"UT-98479"</f>
        <v>UT-98479</v>
      </c>
      <c r="C2042" t="s">
        <v>12</v>
      </c>
      <c r="D2042" t="s">
        <v>3809</v>
      </c>
      <c r="E2042" t="str">
        <f t="shared" si="85"/>
        <v>7806385951</v>
      </c>
      <c r="F2042" t="s">
        <v>26</v>
      </c>
      <c r="G2042" t="s">
        <v>3818</v>
      </c>
      <c r="H2042" t="s">
        <v>3819</v>
      </c>
      <c r="I2042" t="s">
        <v>17</v>
      </c>
      <c r="J2042" t="s">
        <v>18</v>
      </c>
    </row>
    <row r="2043" spans="1:10" hidden="1" x14ac:dyDescent="0.25">
      <c r="A2043" t="s">
        <v>11</v>
      </c>
      <c r="B2043" t="str">
        <f>"UT-104917"</f>
        <v>UT-104917</v>
      </c>
      <c r="C2043" t="s">
        <v>12</v>
      </c>
      <c r="D2043" t="s">
        <v>3809</v>
      </c>
      <c r="E2043" t="str">
        <f t="shared" si="85"/>
        <v>7806385951</v>
      </c>
      <c r="F2043" t="s">
        <v>26</v>
      </c>
      <c r="G2043" t="s">
        <v>3820</v>
      </c>
      <c r="H2043" t="s">
        <v>3821</v>
      </c>
      <c r="I2043" t="s">
        <v>17</v>
      </c>
      <c r="J2043" t="s">
        <v>18</v>
      </c>
    </row>
    <row r="2044" spans="1:10" hidden="1" x14ac:dyDescent="0.25">
      <c r="A2044" t="s">
        <v>11</v>
      </c>
      <c r="B2044" t="str">
        <f>"UT-104919"</f>
        <v>UT-104919</v>
      </c>
      <c r="C2044" t="s">
        <v>12</v>
      </c>
      <c r="D2044" t="s">
        <v>3809</v>
      </c>
      <c r="E2044" t="str">
        <f t="shared" si="85"/>
        <v>7806385951</v>
      </c>
      <c r="F2044" t="s">
        <v>26</v>
      </c>
      <c r="G2044" t="s">
        <v>3822</v>
      </c>
      <c r="H2044" t="s">
        <v>3823</v>
      </c>
      <c r="I2044" t="s">
        <v>17</v>
      </c>
      <c r="J2044" t="s">
        <v>18</v>
      </c>
    </row>
    <row r="2045" spans="1:10" hidden="1" x14ac:dyDescent="0.25">
      <c r="A2045" t="s">
        <v>11</v>
      </c>
      <c r="B2045" t="str">
        <f>"UT-105186"</f>
        <v>UT-105186</v>
      </c>
      <c r="C2045" t="s">
        <v>12</v>
      </c>
      <c r="D2045" t="s">
        <v>3809</v>
      </c>
      <c r="E2045" t="str">
        <f t="shared" si="85"/>
        <v>7806385951</v>
      </c>
      <c r="F2045" t="s">
        <v>26</v>
      </c>
      <c r="G2045" t="s">
        <v>3824</v>
      </c>
      <c r="H2045" t="s">
        <v>3825</v>
      </c>
      <c r="I2045" t="s">
        <v>17</v>
      </c>
      <c r="J2045" t="s">
        <v>18</v>
      </c>
    </row>
    <row r="2046" spans="1:10" hidden="1" x14ac:dyDescent="0.25">
      <c r="A2046" t="s">
        <v>11</v>
      </c>
      <c r="B2046" t="str">
        <f>"UT-105194"</f>
        <v>UT-105194</v>
      </c>
      <c r="C2046" t="s">
        <v>12</v>
      </c>
      <c r="D2046" t="s">
        <v>3809</v>
      </c>
      <c r="E2046" t="str">
        <f t="shared" si="85"/>
        <v>7806385951</v>
      </c>
      <c r="F2046" t="s">
        <v>26</v>
      </c>
      <c r="G2046" t="s">
        <v>3826</v>
      </c>
      <c r="H2046" t="s">
        <v>3827</v>
      </c>
      <c r="I2046" t="s">
        <v>17</v>
      </c>
      <c r="J2046" t="s">
        <v>18</v>
      </c>
    </row>
    <row r="2047" spans="1:10" hidden="1" x14ac:dyDescent="0.25">
      <c r="A2047" t="s">
        <v>11</v>
      </c>
      <c r="B2047" t="str">
        <f>"91480/230E"</f>
        <v>91480/230E</v>
      </c>
      <c r="C2047" t="s">
        <v>65</v>
      </c>
      <c r="D2047" t="s">
        <v>3809</v>
      </c>
      <c r="E2047" t="str">
        <f>"5003052454"</f>
        <v>5003052454</v>
      </c>
      <c r="F2047" t="s">
        <v>14</v>
      </c>
      <c r="G2047" t="s">
        <v>3828</v>
      </c>
      <c r="H2047" t="s">
        <v>3829</v>
      </c>
      <c r="I2047" t="s">
        <v>17</v>
      </c>
      <c r="J2047" t="s">
        <v>18</v>
      </c>
    </row>
    <row r="2048" spans="1:10" hidden="1" x14ac:dyDescent="0.25">
      <c r="A2048" t="s">
        <v>11</v>
      </c>
      <c r="B2048" t="str">
        <f>"91482/230E"</f>
        <v>91482/230E</v>
      </c>
      <c r="C2048" t="s">
        <v>65</v>
      </c>
      <c r="D2048" t="s">
        <v>3809</v>
      </c>
      <c r="E2048" t="str">
        <f>"5003052454"</f>
        <v>5003052454</v>
      </c>
      <c r="F2048" t="s">
        <v>14</v>
      </c>
      <c r="G2048" t="s">
        <v>3830</v>
      </c>
      <c r="H2048" t="s">
        <v>3831</v>
      </c>
      <c r="I2048" t="s">
        <v>17</v>
      </c>
      <c r="J2048" t="s">
        <v>18</v>
      </c>
    </row>
    <row r="2049" spans="1:10" hidden="1" x14ac:dyDescent="0.25">
      <c r="A2049" t="s">
        <v>11</v>
      </c>
      <c r="B2049" t="str">
        <f>"91481/230E"</f>
        <v>91481/230E</v>
      </c>
      <c r="C2049" t="s">
        <v>65</v>
      </c>
      <c r="D2049" t="s">
        <v>3809</v>
      </c>
      <c r="E2049" t="str">
        <f>"5003052454"</f>
        <v>5003052454</v>
      </c>
      <c r="F2049" t="s">
        <v>14</v>
      </c>
      <c r="G2049" t="s">
        <v>950</v>
      </c>
      <c r="H2049" t="s">
        <v>3832</v>
      </c>
      <c r="I2049" t="s">
        <v>17</v>
      </c>
      <c r="J2049" t="s">
        <v>18</v>
      </c>
    </row>
    <row r="2050" spans="1:10" hidden="1" x14ac:dyDescent="0.25">
      <c r="A2050" t="s">
        <v>11</v>
      </c>
      <c r="B2050" t="str">
        <f>"91483/230E"</f>
        <v>91483/230E</v>
      </c>
      <c r="C2050" t="s">
        <v>65</v>
      </c>
      <c r="D2050" t="s">
        <v>3809</v>
      </c>
      <c r="E2050" t="str">
        <f>"5003052454"</f>
        <v>5003052454</v>
      </c>
      <c r="F2050" t="s">
        <v>14</v>
      </c>
      <c r="G2050" t="s">
        <v>3833</v>
      </c>
      <c r="H2050" t="s">
        <v>3834</v>
      </c>
      <c r="I2050" t="s">
        <v>17</v>
      </c>
      <c r="J2050" t="s">
        <v>18</v>
      </c>
    </row>
    <row r="2051" spans="1:10" hidden="1" x14ac:dyDescent="0.25">
      <c r="A2051" t="s">
        <v>11</v>
      </c>
      <c r="B2051" t="str">
        <f>"850"</f>
        <v>850</v>
      </c>
      <c r="C2051" t="s">
        <v>49</v>
      </c>
      <c r="D2051" t="s">
        <v>3809</v>
      </c>
      <c r="E2051" t="str">
        <f>"7704340969"</f>
        <v>7704340969</v>
      </c>
      <c r="F2051" t="s">
        <v>76</v>
      </c>
      <c r="G2051" t="s">
        <v>3835</v>
      </c>
      <c r="H2051" t="s">
        <v>3836</v>
      </c>
      <c r="I2051" t="s">
        <v>17</v>
      </c>
      <c r="J2051" t="s">
        <v>18</v>
      </c>
    </row>
    <row r="2052" spans="1:10" hidden="1" x14ac:dyDescent="0.25">
      <c r="A2052" t="s">
        <v>11</v>
      </c>
      <c r="B2052" t="str">
        <f>"884"</f>
        <v>884</v>
      </c>
      <c r="C2052" t="s">
        <v>49</v>
      </c>
      <c r="D2052" t="s">
        <v>3809</v>
      </c>
      <c r="E2052" t="str">
        <f>"7704340969"</f>
        <v>7704340969</v>
      </c>
      <c r="F2052" t="s">
        <v>76</v>
      </c>
      <c r="G2052" t="s">
        <v>3837</v>
      </c>
      <c r="H2052" t="s">
        <v>3838</v>
      </c>
      <c r="I2052" t="s">
        <v>17</v>
      </c>
      <c r="J2052" t="s">
        <v>18</v>
      </c>
    </row>
    <row r="2053" spans="1:10" hidden="1" x14ac:dyDescent="0.25">
      <c r="A2053" t="s">
        <v>11</v>
      </c>
      <c r="B2053" t="str">
        <f>"914"</f>
        <v>914</v>
      </c>
      <c r="C2053" t="s">
        <v>49</v>
      </c>
      <c r="D2053" t="s">
        <v>3809</v>
      </c>
      <c r="E2053" t="str">
        <f>"7704340969"</f>
        <v>7704340969</v>
      </c>
      <c r="F2053" t="s">
        <v>76</v>
      </c>
      <c r="G2053" t="s">
        <v>3839</v>
      </c>
      <c r="H2053" t="s">
        <v>3840</v>
      </c>
      <c r="I2053" t="s">
        <v>17</v>
      </c>
      <c r="J2053" t="s">
        <v>18</v>
      </c>
    </row>
    <row r="2054" spans="1:10" hidden="1" x14ac:dyDescent="0.25">
      <c r="A2054" t="s">
        <v>11</v>
      </c>
      <c r="B2054" t="str">
        <f>"957"</f>
        <v>957</v>
      </c>
      <c r="C2054" t="s">
        <v>49</v>
      </c>
      <c r="D2054" t="s">
        <v>3809</v>
      </c>
      <c r="E2054" t="str">
        <f>"7704340969"</f>
        <v>7704340969</v>
      </c>
      <c r="F2054" t="s">
        <v>76</v>
      </c>
      <c r="G2054" t="s">
        <v>3841</v>
      </c>
      <c r="H2054" t="s">
        <v>3842</v>
      </c>
      <c r="I2054" t="s">
        <v>17</v>
      </c>
      <c r="J2054" t="s">
        <v>18</v>
      </c>
    </row>
    <row r="2055" spans="1:10" hidden="1" x14ac:dyDescent="0.25">
      <c r="A2055" t="s">
        <v>11</v>
      </c>
      <c r="B2055" t="str">
        <f>"2320/8174422807"</f>
        <v>2320/8174422807</v>
      </c>
      <c r="C2055" t="s">
        <v>65</v>
      </c>
      <c r="D2055" t="s">
        <v>3809</v>
      </c>
      <c r="E2055" t="str">
        <f>"5032260402"</f>
        <v>5032260402</v>
      </c>
      <c r="F2055" t="s">
        <v>341</v>
      </c>
      <c r="G2055" t="s">
        <v>3843</v>
      </c>
      <c r="H2055" t="s">
        <v>3844</v>
      </c>
      <c r="I2055" t="s">
        <v>17</v>
      </c>
      <c r="J2055" t="s">
        <v>18</v>
      </c>
    </row>
    <row r="2056" spans="1:10" hidden="1" x14ac:dyDescent="0.25">
      <c r="A2056" t="s">
        <v>11</v>
      </c>
      <c r="B2056" t="str">
        <f>"2320/8174435683"</f>
        <v>2320/8174435683</v>
      </c>
      <c r="C2056" t="s">
        <v>65</v>
      </c>
      <c r="D2056" t="s">
        <v>3809</v>
      </c>
      <c r="E2056" t="str">
        <f>"5032260402"</f>
        <v>5032260402</v>
      </c>
      <c r="F2056" t="s">
        <v>341</v>
      </c>
      <c r="G2056" t="s">
        <v>3845</v>
      </c>
      <c r="H2056" t="s">
        <v>3846</v>
      </c>
      <c r="I2056" t="s">
        <v>17</v>
      </c>
      <c r="J2056" t="s">
        <v>18</v>
      </c>
    </row>
    <row r="2057" spans="1:10" hidden="1" x14ac:dyDescent="0.25">
      <c r="A2057" t="s">
        <v>11</v>
      </c>
      <c r="B2057" t="str">
        <f>"104"</f>
        <v>104</v>
      </c>
      <c r="C2057" t="s">
        <v>49</v>
      </c>
      <c r="D2057" t="s">
        <v>3809</v>
      </c>
      <c r="E2057" t="str">
        <f>"7743128596"</f>
        <v>7743128596</v>
      </c>
      <c r="F2057" t="s">
        <v>351</v>
      </c>
      <c r="G2057" t="s">
        <v>352</v>
      </c>
      <c r="H2057" t="s">
        <v>3847</v>
      </c>
      <c r="I2057" t="s">
        <v>17</v>
      </c>
      <c r="J2057" t="s">
        <v>18</v>
      </c>
    </row>
    <row r="2058" spans="1:10" x14ac:dyDescent="0.25">
      <c r="A2058" t="s">
        <v>3848</v>
      </c>
      <c r="B2058" t="s">
        <v>847</v>
      </c>
      <c r="C2058" t="s">
        <v>847</v>
      </c>
      <c r="D2058" t="s">
        <v>3809</v>
      </c>
      <c r="E2058" t="str">
        <f>"2309144675"</f>
        <v>2309144675</v>
      </c>
      <c r="F2058" t="s">
        <v>3849</v>
      </c>
      <c r="G2058" t="s">
        <v>847</v>
      </c>
      <c r="H2058" t="s">
        <v>3850</v>
      </c>
      <c r="I2058" t="s">
        <v>17</v>
      </c>
      <c r="J2058" t="s">
        <v>166</v>
      </c>
    </row>
    <row r="2059" spans="1:10" x14ac:dyDescent="0.25">
      <c r="A2059" t="s">
        <v>3848</v>
      </c>
      <c r="B2059" t="s">
        <v>847</v>
      </c>
      <c r="C2059" t="s">
        <v>847</v>
      </c>
      <c r="D2059" t="s">
        <v>3809</v>
      </c>
      <c r="E2059" t="str">
        <f>"2309144675"</f>
        <v>2309144675</v>
      </c>
      <c r="F2059" t="s">
        <v>3849</v>
      </c>
      <c r="G2059" t="s">
        <v>847</v>
      </c>
      <c r="H2059" t="s">
        <v>3851</v>
      </c>
      <c r="I2059" t="s">
        <v>17</v>
      </c>
      <c r="J2059" t="s">
        <v>166</v>
      </c>
    </row>
    <row r="2060" spans="1:10" hidden="1" x14ac:dyDescent="0.25">
      <c r="A2060" t="s">
        <v>11</v>
      </c>
      <c r="B2060" t="str">
        <f>"173"</f>
        <v>173</v>
      </c>
      <c r="C2060" t="s">
        <v>49</v>
      </c>
      <c r="D2060" t="s">
        <v>3809</v>
      </c>
      <c r="E2060" t="str">
        <f>"7702392168"</f>
        <v>7702392168</v>
      </c>
      <c r="F2060" t="s">
        <v>97</v>
      </c>
      <c r="G2060" t="s">
        <v>3852</v>
      </c>
      <c r="H2060" t="s">
        <v>3853</v>
      </c>
      <c r="I2060" t="s">
        <v>17</v>
      </c>
      <c r="J2060" t="s">
        <v>18</v>
      </c>
    </row>
    <row r="2061" spans="1:10" hidden="1" x14ac:dyDescent="0.25">
      <c r="A2061" t="s">
        <v>11</v>
      </c>
      <c r="B2061" t="str">
        <f>"92651/230E"</f>
        <v>92651/230E</v>
      </c>
      <c r="C2061" t="s">
        <v>100</v>
      </c>
      <c r="D2061" t="s">
        <v>3809</v>
      </c>
      <c r="E2061" t="str">
        <f>"5003052454"</f>
        <v>5003052454</v>
      </c>
      <c r="F2061" t="s">
        <v>14</v>
      </c>
      <c r="G2061" t="s">
        <v>3854</v>
      </c>
      <c r="H2061" t="s">
        <v>3855</v>
      </c>
      <c r="I2061" t="s">
        <v>17</v>
      </c>
      <c r="J2061" t="s">
        <v>18</v>
      </c>
    </row>
    <row r="2062" spans="1:10" hidden="1" x14ac:dyDescent="0.25">
      <c r="A2062" t="s">
        <v>11</v>
      </c>
      <c r="B2062" t="str">
        <f>"92653/230E"</f>
        <v>92653/230E</v>
      </c>
      <c r="C2062" t="s">
        <v>100</v>
      </c>
      <c r="D2062" t="s">
        <v>3809</v>
      </c>
      <c r="E2062" t="str">
        <f>"5003052454"</f>
        <v>5003052454</v>
      </c>
      <c r="F2062" t="s">
        <v>14</v>
      </c>
      <c r="G2062" t="s">
        <v>3856</v>
      </c>
      <c r="H2062" t="s">
        <v>3857</v>
      </c>
      <c r="I2062" t="s">
        <v>17</v>
      </c>
      <c r="J2062" t="s">
        <v>18</v>
      </c>
    </row>
    <row r="2063" spans="1:10" hidden="1" x14ac:dyDescent="0.25">
      <c r="A2063" t="s">
        <v>11</v>
      </c>
      <c r="B2063" t="str">
        <f>"92652/230E"</f>
        <v>92652/230E</v>
      </c>
      <c r="C2063" t="s">
        <v>100</v>
      </c>
      <c r="D2063" t="s">
        <v>3809</v>
      </c>
      <c r="E2063" t="str">
        <f>"5003052454"</f>
        <v>5003052454</v>
      </c>
      <c r="F2063" t="s">
        <v>14</v>
      </c>
      <c r="G2063" t="s">
        <v>3858</v>
      </c>
      <c r="H2063" t="s">
        <v>3859</v>
      </c>
      <c r="I2063" t="s">
        <v>17</v>
      </c>
      <c r="J2063" t="s">
        <v>18</v>
      </c>
    </row>
    <row r="2064" spans="1:10" hidden="1" x14ac:dyDescent="0.25">
      <c r="A2064" t="s">
        <v>11</v>
      </c>
      <c r="B2064" t="str">
        <f>"92654/230E"</f>
        <v>92654/230E</v>
      </c>
      <c r="C2064" t="s">
        <v>100</v>
      </c>
      <c r="D2064" t="s">
        <v>3809</v>
      </c>
      <c r="E2064" t="str">
        <f>"5003052454"</f>
        <v>5003052454</v>
      </c>
      <c r="F2064" t="s">
        <v>14</v>
      </c>
      <c r="G2064" t="s">
        <v>3860</v>
      </c>
      <c r="H2064" t="s">
        <v>3861</v>
      </c>
      <c r="I2064" t="s">
        <v>17</v>
      </c>
      <c r="J2064" t="s">
        <v>18</v>
      </c>
    </row>
    <row r="2065" spans="1:10" hidden="1" x14ac:dyDescent="0.25">
      <c r="A2065" t="s">
        <v>11</v>
      </c>
      <c r="B2065" t="str">
        <f>"UT-98341"</f>
        <v>UT-98341</v>
      </c>
      <c r="C2065" t="s">
        <v>1916</v>
      </c>
      <c r="D2065" t="s">
        <v>3809</v>
      </c>
      <c r="E2065" t="str">
        <f>"7806385951"</f>
        <v>7806385951</v>
      </c>
      <c r="F2065" t="s">
        <v>26</v>
      </c>
      <c r="G2065" t="s">
        <v>3862</v>
      </c>
      <c r="H2065" t="s">
        <v>3863</v>
      </c>
      <c r="I2065" t="s">
        <v>17</v>
      </c>
      <c r="J2065" t="s">
        <v>21</v>
      </c>
    </row>
    <row r="2066" spans="1:10" hidden="1" x14ac:dyDescent="0.25">
      <c r="A2066" t="s">
        <v>11</v>
      </c>
      <c r="B2066" t="str">
        <f>"93843/230E"</f>
        <v>93843/230E</v>
      </c>
      <c r="C2066" t="s">
        <v>106</v>
      </c>
      <c r="D2066" t="s">
        <v>3809</v>
      </c>
      <c r="E2066" t="str">
        <f>"5003052454"</f>
        <v>5003052454</v>
      </c>
      <c r="F2066" t="s">
        <v>14</v>
      </c>
      <c r="G2066" t="s">
        <v>3864</v>
      </c>
      <c r="H2066" t="s">
        <v>3865</v>
      </c>
      <c r="I2066" t="s">
        <v>17</v>
      </c>
      <c r="J2066" t="s">
        <v>18</v>
      </c>
    </row>
    <row r="2067" spans="1:10" hidden="1" x14ac:dyDescent="0.25">
      <c r="A2067" t="s">
        <v>11</v>
      </c>
      <c r="B2067" t="str">
        <f>"93844/230E"</f>
        <v>93844/230E</v>
      </c>
      <c r="C2067" t="s">
        <v>106</v>
      </c>
      <c r="D2067" t="s">
        <v>3809</v>
      </c>
      <c r="E2067" t="str">
        <f>"5003052454"</f>
        <v>5003052454</v>
      </c>
      <c r="F2067" t="s">
        <v>14</v>
      </c>
      <c r="G2067" t="s">
        <v>3866</v>
      </c>
      <c r="H2067" t="s">
        <v>3867</v>
      </c>
      <c r="I2067" t="s">
        <v>17</v>
      </c>
      <c r="J2067" t="s">
        <v>18</v>
      </c>
    </row>
    <row r="2068" spans="1:10" hidden="1" x14ac:dyDescent="0.25">
      <c r="A2068" t="s">
        <v>11</v>
      </c>
      <c r="B2068" t="str">
        <f>"2320/8174511894"</f>
        <v>2320/8174511894</v>
      </c>
      <c r="C2068" t="s">
        <v>106</v>
      </c>
      <c r="D2068" t="s">
        <v>3809</v>
      </c>
      <c r="E2068" t="str">
        <f>"5032260402"</f>
        <v>5032260402</v>
      </c>
      <c r="F2068" t="s">
        <v>341</v>
      </c>
      <c r="G2068" t="s">
        <v>3868</v>
      </c>
      <c r="H2068" t="s">
        <v>3869</v>
      </c>
      <c r="I2068" t="s">
        <v>17</v>
      </c>
      <c r="J2068" t="s">
        <v>18</v>
      </c>
    </row>
    <row r="2069" spans="1:10" hidden="1" x14ac:dyDescent="0.25">
      <c r="A2069" t="s">
        <v>11</v>
      </c>
      <c r="B2069" t="str">
        <f>"1137"</f>
        <v>1137</v>
      </c>
      <c r="C2069" t="s">
        <v>100</v>
      </c>
      <c r="D2069" t="s">
        <v>3809</v>
      </c>
      <c r="E2069" t="str">
        <f>"9729019493"</f>
        <v>9729019493</v>
      </c>
      <c r="F2069" t="s">
        <v>560</v>
      </c>
      <c r="G2069" t="s">
        <v>1337</v>
      </c>
      <c r="H2069" t="s">
        <v>3870</v>
      </c>
      <c r="I2069" t="s">
        <v>17</v>
      </c>
      <c r="J2069" t="s">
        <v>21</v>
      </c>
    </row>
    <row r="2070" spans="1:10" hidden="1" x14ac:dyDescent="0.25">
      <c r="A2070" t="s">
        <v>11</v>
      </c>
      <c r="B2070" t="str">
        <f>"1136"</f>
        <v>1136</v>
      </c>
      <c r="C2070" t="s">
        <v>53</v>
      </c>
      <c r="D2070" t="s">
        <v>3809</v>
      </c>
      <c r="E2070" t="str">
        <f>"9729019493"</f>
        <v>9729019493</v>
      </c>
      <c r="F2070" t="s">
        <v>560</v>
      </c>
      <c r="G2070" t="s">
        <v>2491</v>
      </c>
      <c r="H2070" t="s">
        <v>3871</v>
      </c>
      <c r="I2070" t="s">
        <v>17</v>
      </c>
      <c r="J2070" t="s">
        <v>21</v>
      </c>
    </row>
    <row r="2071" spans="1:10" hidden="1" x14ac:dyDescent="0.25">
      <c r="A2071" t="s">
        <v>11</v>
      </c>
      <c r="B2071" t="str">
        <f>"UT-105397"</f>
        <v>UT-105397</v>
      </c>
      <c r="C2071" t="s">
        <v>12</v>
      </c>
      <c r="D2071" t="s">
        <v>3872</v>
      </c>
      <c r="E2071" t="str">
        <f>"7806385951"</f>
        <v>7806385951</v>
      </c>
      <c r="F2071" t="s">
        <v>26</v>
      </c>
      <c r="G2071" t="s">
        <v>3873</v>
      </c>
      <c r="H2071" t="s">
        <v>3874</v>
      </c>
      <c r="I2071" t="s">
        <v>17</v>
      </c>
      <c r="J2071" t="s">
        <v>18</v>
      </c>
    </row>
    <row r="2072" spans="1:10" hidden="1" x14ac:dyDescent="0.25">
      <c r="A2072" t="s">
        <v>11</v>
      </c>
      <c r="B2072" t="str">
        <f>"UT-105406"</f>
        <v>UT-105406</v>
      </c>
      <c r="C2072" t="s">
        <v>12</v>
      </c>
      <c r="D2072" t="s">
        <v>3872</v>
      </c>
      <c r="E2072" t="str">
        <f>"7806385951"</f>
        <v>7806385951</v>
      </c>
      <c r="F2072" t="s">
        <v>26</v>
      </c>
      <c r="G2072" t="s">
        <v>1707</v>
      </c>
      <c r="H2072" t="s">
        <v>3875</v>
      </c>
      <c r="I2072" t="s">
        <v>17</v>
      </c>
      <c r="J2072" t="s">
        <v>18</v>
      </c>
    </row>
    <row r="2073" spans="1:10" hidden="1" x14ac:dyDescent="0.25">
      <c r="A2073" t="s">
        <v>11</v>
      </c>
      <c r="B2073" t="str">
        <f>"UT-105414"</f>
        <v>UT-105414</v>
      </c>
      <c r="C2073" t="s">
        <v>12</v>
      </c>
      <c r="D2073" t="s">
        <v>3872</v>
      </c>
      <c r="E2073" t="str">
        <f>"7806385951"</f>
        <v>7806385951</v>
      </c>
      <c r="F2073" t="s">
        <v>26</v>
      </c>
      <c r="G2073" t="s">
        <v>3876</v>
      </c>
      <c r="H2073" t="s">
        <v>3877</v>
      </c>
      <c r="I2073" t="s">
        <v>17</v>
      </c>
      <c r="J2073" t="s">
        <v>18</v>
      </c>
    </row>
    <row r="2074" spans="1:10" hidden="1" x14ac:dyDescent="0.25">
      <c r="A2074" t="s">
        <v>11</v>
      </c>
      <c r="B2074" t="str">
        <f>"UT-105419"</f>
        <v>UT-105419</v>
      </c>
      <c r="C2074" t="s">
        <v>12</v>
      </c>
      <c r="D2074" t="s">
        <v>3872</v>
      </c>
      <c r="E2074" t="str">
        <f>"7806385951"</f>
        <v>7806385951</v>
      </c>
      <c r="F2074" t="s">
        <v>26</v>
      </c>
      <c r="G2074" t="s">
        <v>3878</v>
      </c>
      <c r="H2074" t="s">
        <v>3879</v>
      </c>
      <c r="I2074" t="s">
        <v>17</v>
      </c>
      <c r="J2074" t="s">
        <v>18</v>
      </c>
    </row>
    <row r="2075" spans="1:10" hidden="1" x14ac:dyDescent="0.25">
      <c r="A2075" t="s">
        <v>11</v>
      </c>
      <c r="B2075" t="str">
        <f>"UT-105421"</f>
        <v>UT-105421</v>
      </c>
      <c r="C2075" t="s">
        <v>12</v>
      </c>
      <c r="D2075" t="s">
        <v>3872</v>
      </c>
      <c r="E2075" t="str">
        <f>"7806385951"</f>
        <v>7806385951</v>
      </c>
      <c r="F2075" t="s">
        <v>26</v>
      </c>
      <c r="G2075" t="s">
        <v>3880</v>
      </c>
      <c r="H2075" t="s">
        <v>3881</v>
      </c>
      <c r="I2075" t="s">
        <v>17</v>
      </c>
      <c r="J2075" t="s">
        <v>18</v>
      </c>
    </row>
    <row r="2076" spans="1:10" hidden="1" x14ac:dyDescent="0.25">
      <c r="A2076" t="s">
        <v>11</v>
      </c>
      <c r="B2076" t="str">
        <f>"ИгДМ0502/01"</f>
        <v>ИгДМ0502/01</v>
      </c>
      <c r="C2076" t="s">
        <v>12</v>
      </c>
      <c r="D2076" t="s">
        <v>3872</v>
      </c>
      <c r="E2076" t="str">
        <f>"7735126034"</f>
        <v>7735126034</v>
      </c>
      <c r="F2076" t="s">
        <v>131</v>
      </c>
      <c r="G2076" t="s">
        <v>3882</v>
      </c>
      <c r="H2076" t="s">
        <v>3883</v>
      </c>
      <c r="I2076" t="s">
        <v>17</v>
      </c>
      <c r="J2076" t="s">
        <v>18</v>
      </c>
    </row>
    <row r="2077" spans="1:10" hidden="1" x14ac:dyDescent="0.25">
      <c r="A2077" t="s">
        <v>11</v>
      </c>
      <c r="B2077" t="str">
        <f>"7110/8174360824"</f>
        <v>7110/8174360824</v>
      </c>
      <c r="C2077" t="s">
        <v>12</v>
      </c>
      <c r="D2077" t="s">
        <v>3872</v>
      </c>
      <c r="E2077" t="str">
        <f>"5032260402"</f>
        <v>5032260402</v>
      </c>
      <c r="F2077" t="s">
        <v>341</v>
      </c>
      <c r="G2077" t="s">
        <v>3884</v>
      </c>
      <c r="H2077" t="s">
        <v>3885</v>
      </c>
      <c r="I2077" t="s">
        <v>17</v>
      </c>
      <c r="J2077" t="s">
        <v>18</v>
      </c>
    </row>
    <row r="2078" spans="1:10" hidden="1" x14ac:dyDescent="0.25">
      <c r="A2078" t="s">
        <v>11</v>
      </c>
      <c r="B2078" t="str">
        <f>"7110/8174360865"</f>
        <v>7110/8174360865</v>
      </c>
      <c r="C2078" t="s">
        <v>12</v>
      </c>
      <c r="D2078" t="s">
        <v>3872</v>
      </c>
      <c r="E2078" t="str">
        <f>"5032260402"</f>
        <v>5032260402</v>
      </c>
      <c r="F2078" t="s">
        <v>341</v>
      </c>
      <c r="G2078" t="s">
        <v>3886</v>
      </c>
      <c r="H2078" t="s">
        <v>3887</v>
      </c>
      <c r="I2078" t="s">
        <v>17</v>
      </c>
      <c r="J2078" t="s">
        <v>18</v>
      </c>
    </row>
    <row r="2079" spans="1:10" hidden="1" x14ac:dyDescent="0.25">
      <c r="A2079" t="s">
        <v>11</v>
      </c>
      <c r="B2079" t="str">
        <f>"SR110022929"</f>
        <v>SR110022929</v>
      </c>
      <c r="C2079" t="s">
        <v>65</v>
      </c>
      <c r="D2079" t="s">
        <v>3872</v>
      </c>
      <c r="E2079" t="str">
        <f>"4725006920"</f>
        <v>4725006920</v>
      </c>
      <c r="F2079" t="s">
        <v>101</v>
      </c>
      <c r="G2079" t="s">
        <v>3888</v>
      </c>
      <c r="H2079" t="s">
        <v>3889</v>
      </c>
      <c r="I2079" t="s">
        <v>17</v>
      </c>
      <c r="J2079" t="s">
        <v>18</v>
      </c>
    </row>
    <row r="2080" spans="1:10" hidden="1" x14ac:dyDescent="0.25">
      <c r="A2080" t="s">
        <v>11</v>
      </c>
      <c r="B2080" t="str">
        <f>"SR110022926"</f>
        <v>SR110022926</v>
      </c>
      <c r="C2080" t="s">
        <v>65</v>
      </c>
      <c r="D2080" t="s">
        <v>3872</v>
      </c>
      <c r="E2080" t="str">
        <f>"4725006920"</f>
        <v>4725006920</v>
      </c>
      <c r="F2080" t="s">
        <v>101</v>
      </c>
      <c r="G2080" t="s">
        <v>3890</v>
      </c>
      <c r="H2080" t="s">
        <v>3891</v>
      </c>
      <c r="I2080" t="s">
        <v>17</v>
      </c>
      <c r="J2080" t="s">
        <v>18</v>
      </c>
    </row>
    <row r="2081" spans="1:10" hidden="1" x14ac:dyDescent="0.25">
      <c r="A2081" t="s">
        <v>11</v>
      </c>
      <c r="B2081" t="str">
        <f>"SR110022921"</f>
        <v>SR110022921</v>
      </c>
      <c r="C2081" t="s">
        <v>65</v>
      </c>
      <c r="D2081" t="s">
        <v>3872</v>
      </c>
      <c r="E2081" t="str">
        <f>"4725006920"</f>
        <v>4725006920</v>
      </c>
      <c r="F2081" t="s">
        <v>101</v>
      </c>
      <c r="G2081" t="s">
        <v>3892</v>
      </c>
      <c r="H2081" t="s">
        <v>3893</v>
      </c>
      <c r="I2081" t="s">
        <v>17</v>
      </c>
      <c r="J2081" t="s">
        <v>18</v>
      </c>
    </row>
    <row r="2082" spans="1:10" hidden="1" x14ac:dyDescent="0.25">
      <c r="A2082" t="s">
        <v>11</v>
      </c>
      <c r="B2082" t="str">
        <f>"SR110022914"</f>
        <v>SR110022914</v>
      </c>
      <c r="C2082" t="s">
        <v>65</v>
      </c>
      <c r="D2082" t="s">
        <v>3872</v>
      </c>
      <c r="E2082" t="str">
        <f>"4725006920"</f>
        <v>4725006920</v>
      </c>
      <c r="F2082" t="s">
        <v>101</v>
      </c>
      <c r="G2082" t="s">
        <v>3894</v>
      </c>
      <c r="H2082" t="s">
        <v>3895</v>
      </c>
      <c r="I2082" t="s">
        <v>17</v>
      </c>
      <c r="J2082" t="s">
        <v>18</v>
      </c>
    </row>
    <row r="2083" spans="1:10" hidden="1" x14ac:dyDescent="0.25">
      <c r="A2083" t="s">
        <v>11</v>
      </c>
      <c r="B2083" t="str">
        <f>"16653/480E"</f>
        <v>16653/480E</v>
      </c>
      <c r="C2083" t="s">
        <v>65</v>
      </c>
      <c r="D2083" t="s">
        <v>3872</v>
      </c>
      <c r="E2083" t="str">
        <f t="shared" ref="E2083:E2091" si="86">"5003052454"</f>
        <v>5003052454</v>
      </c>
      <c r="F2083" t="s">
        <v>14</v>
      </c>
      <c r="G2083" t="s">
        <v>3896</v>
      </c>
      <c r="H2083" t="s">
        <v>3897</v>
      </c>
      <c r="I2083" t="s">
        <v>17</v>
      </c>
      <c r="J2083" t="s">
        <v>18</v>
      </c>
    </row>
    <row r="2084" spans="1:10" hidden="1" x14ac:dyDescent="0.25">
      <c r="A2084" t="s">
        <v>11</v>
      </c>
      <c r="B2084" t="str">
        <f>"16654/480E"</f>
        <v>16654/480E</v>
      </c>
      <c r="C2084" t="s">
        <v>65</v>
      </c>
      <c r="D2084" t="s">
        <v>3872</v>
      </c>
      <c r="E2084" t="str">
        <f t="shared" si="86"/>
        <v>5003052454</v>
      </c>
      <c r="F2084" t="s">
        <v>14</v>
      </c>
      <c r="G2084" t="s">
        <v>3898</v>
      </c>
      <c r="H2084" t="s">
        <v>3899</v>
      </c>
      <c r="I2084" t="s">
        <v>17</v>
      </c>
      <c r="J2084" t="s">
        <v>18</v>
      </c>
    </row>
    <row r="2085" spans="1:10" hidden="1" x14ac:dyDescent="0.25">
      <c r="A2085" t="s">
        <v>11</v>
      </c>
      <c r="B2085" t="str">
        <f>"16655/480E"</f>
        <v>16655/480E</v>
      </c>
      <c r="C2085" t="s">
        <v>65</v>
      </c>
      <c r="D2085" t="s">
        <v>3872</v>
      </c>
      <c r="E2085" t="str">
        <f t="shared" si="86"/>
        <v>5003052454</v>
      </c>
      <c r="F2085" t="s">
        <v>14</v>
      </c>
      <c r="G2085" t="s">
        <v>3900</v>
      </c>
      <c r="H2085" t="s">
        <v>3901</v>
      </c>
      <c r="I2085" t="s">
        <v>17</v>
      </c>
      <c r="J2085" t="s">
        <v>18</v>
      </c>
    </row>
    <row r="2086" spans="1:10" hidden="1" x14ac:dyDescent="0.25">
      <c r="A2086" t="s">
        <v>11</v>
      </c>
      <c r="B2086" t="str">
        <f>"49090/710E"</f>
        <v>49090/710E</v>
      </c>
      <c r="C2086" t="s">
        <v>65</v>
      </c>
      <c r="D2086" t="s">
        <v>3872</v>
      </c>
      <c r="E2086" t="str">
        <f t="shared" si="86"/>
        <v>5003052454</v>
      </c>
      <c r="F2086" t="s">
        <v>14</v>
      </c>
      <c r="G2086" t="s">
        <v>3902</v>
      </c>
      <c r="H2086" t="s">
        <v>3903</v>
      </c>
      <c r="I2086" t="s">
        <v>17</v>
      </c>
      <c r="J2086" t="s">
        <v>18</v>
      </c>
    </row>
    <row r="2087" spans="1:10" hidden="1" x14ac:dyDescent="0.25">
      <c r="A2087" t="s">
        <v>11</v>
      </c>
      <c r="B2087" t="str">
        <f>"49091/710E"</f>
        <v>49091/710E</v>
      </c>
      <c r="C2087" t="s">
        <v>65</v>
      </c>
      <c r="D2087" t="s">
        <v>3872</v>
      </c>
      <c r="E2087" t="str">
        <f t="shared" si="86"/>
        <v>5003052454</v>
      </c>
      <c r="F2087" t="s">
        <v>14</v>
      </c>
      <c r="G2087" t="s">
        <v>3904</v>
      </c>
      <c r="H2087" t="s">
        <v>3905</v>
      </c>
      <c r="I2087" t="s">
        <v>17</v>
      </c>
      <c r="J2087" t="s">
        <v>18</v>
      </c>
    </row>
    <row r="2088" spans="1:10" hidden="1" x14ac:dyDescent="0.25">
      <c r="A2088" t="s">
        <v>11</v>
      </c>
      <c r="B2088" t="str">
        <f>"49092/710E"</f>
        <v>49092/710E</v>
      </c>
      <c r="C2088" t="s">
        <v>65</v>
      </c>
      <c r="D2088" t="s">
        <v>3872</v>
      </c>
      <c r="E2088" t="str">
        <f t="shared" si="86"/>
        <v>5003052454</v>
      </c>
      <c r="F2088" t="s">
        <v>14</v>
      </c>
      <c r="G2088" t="s">
        <v>3906</v>
      </c>
      <c r="H2088" t="s">
        <v>3907</v>
      </c>
      <c r="I2088" t="s">
        <v>17</v>
      </c>
      <c r="J2088" t="s">
        <v>18</v>
      </c>
    </row>
    <row r="2089" spans="1:10" hidden="1" x14ac:dyDescent="0.25">
      <c r="A2089" t="s">
        <v>11</v>
      </c>
      <c r="B2089" t="str">
        <f>"49093/710E"</f>
        <v>49093/710E</v>
      </c>
      <c r="C2089" t="s">
        <v>65</v>
      </c>
      <c r="D2089" t="s">
        <v>3872</v>
      </c>
      <c r="E2089" t="str">
        <f t="shared" si="86"/>
        <v>5003052454</v>
      </c>
      <c r="F2089" t="s">
        <v>14</v>
      </c>
      <c r="G2089" t="s">
        <v>3908</v>
      </c>
      <c r="H2089" t="s">
        <v>3909</v>
      </c>
      <c r="I2089" t="s">
        <v>17</v>
      </c>
      <c r="J2089" t="s">
        <v>18</v>
      </c>
    </row>
    <row r="2090" spans="1:10" hidden="1" x14ac:dyDescent="0.25">
      <c r="A2090" t="s">
        <v>11</v>
      </c>
      <c r="B2090" t="str">
        <f>"49094/710E"</f>
        <v>49094/710E</v>
      </c>
      <c r="C2090" t="s">
        <v>65</v>
      </c>
      <c r="D2090" t="s">
        <v>3872</v>
      </c>
      <c r="E2090" t="str">
        <f t="shared" si="86"/>
        <v>5003052454</v>
      </c>
      <c r="F2090" t="s">
        <v>14</v>
      </c>
      <c r="G2090" t="s">
        <v>3910</v>
      </c>
      <c r="H2090" t="s">
        <v>3911</v>
      </c>
      <c r="I2090" t="s">
        <v>17</v>
      </c>
      <c r="J2090" t="s">
        <v>18</v>
      </c>
    </row>
    <row r="2091" spans="1:10" hidden="1" x14ac:dyDescent="0.25">
      <c r="A2091" t="s">
        <v>11</v>
      </c>
      <c r="B2091" t="str">
        <f>"49095/710E"</f>
        <v>49095/710E</v>
      </c>
      <c r="C2091" t="s">
        <v>65</v>
      </c>
      <c r="D2091" t="s">
        <v>3872</v>
      </c>
      <c r="E2091" t="str">
        <f t="shared" si="86"/>
        <v>5003052454</v>
      </c>
      <c r="F2091" t="s">
        <v>14</v>
      </c>
      <c r="G2091" t="s">
        <v>3912</v>
      </c>
      <c r="H2091" t="s">
        <v>3913</v>
      </c>
      <c r="I2091" t="s">
        <v>17</v>
      </c>
      <c r="J2091" t="s">
        <v>18</v>
      </c>
    </row>
    <row r="2092" spans="1:10" hidden="1" x14ac:dyDescent="0.25">
      <c r="A2092" t="s">
        <v>11</v>
      </c>
      <c r="B2092" t="str">
        <f>"UT-106716"</f>
        <v>UT-106716</v>
      </c>
      <c r="C2092" t="s">
        <v>65</v>
      </c>
      <c r="D2092" t="s">
        <v>3872</v>
      </c>
      <c r="E2092" t="str">
        <f t="shared" ref="E2092:E2099" si="87">"7806385951"</f>
        <v>7806385951</v>
      </c>
      <c r="F2092" t="s">
        <v>26</v>
      </c>
      <c r="G2092" t="s">
        <v>3914</v>
      </c>
      <c r="H2092" t="s">
        <v>3915</v>
      </c>
      <c r="I2092" t="s">
        <v>17</v>
      </c>
      <c r="J2092" t="s">
        <v>18</v>
      </c>
    </row>
    <row r="2093" spans="1:10" hidden="1" x14ac:dyDescent="0.25">
      <c r="A2093" t="s">
        <v>11</v>
      </c>
      <c r="B2093" t="str">
        <f>"UT-106717"</f>
        <v>UT-106717</v>
      </c>
      <c r="C2093" t="s">
        <v>65</v>
      </c>
      <c r="D2093" t="s">
        <v>3872</v>
      </c>
      <c r="E2093" t="str">
        <f t="shared" si="87"/>
        <v>7806385951</v>
      </c>
      <c r="F2093" t="s">
        <v>26</v>
      </c>
      <c r="G2093" t="s">
        <v>3916</v>
      </c>
      <c r="H2093" t="s">
        <v>3917</v>
      </c>
      <c r="I2093" t="s">
        <v>17</v>
      </c>
      <c r="J2093" t="s">
        <v>18</v>
      </c>
    </row>
    <row r="2094" spans="1:10" hidden="1" x14ac:dyDescent="0.25">
      <c r="A2094" t="s">
        <v>11</v>
      </c>
      <c r="B2094" t="str">
        <f>"UT-106718"</f>
        <v>UT-106718</v>
      </c>
      <c r="C2094" t="s">
        <v>65</v>
      </c>
      <c r="D2094" t="s">
        <v>3872</v>
      </c>
      <c r="E2094" t="str">
        <f t="shared" si="87"/>
        <v>7806385951</v>
      </c>
      <c r="F2094" t="s">
        <v>26</v>
      </c>
      <c r="G2094" t="s">
        <v>3918</v>
      </c>
      <c r="H2094" t="s">
        <v>3919</v>
      </c>
      <c r="I2094" t="s">
        <v>17</v>
      </c>
      <c r="J2094" t="s">
        <v>18</v>
      </c>
    </row>
    <row r="2095" spans="1:10" hidden="1" x14ac:dyDescent="0.25">
      <c r="A2095" t="s">
        <v>11</v>
      </c>
      <c r="B2095" t="str">
        <f>"UT-106720"</f>
        <v>UT-106720</v>
      </c>
      <c r="C2095" t="s">
        <v>65</v>
      </c>
      <c r="D2095" t="s">
        <v>3872</v>
      </c>
      <c r="E2095" t="str">
        <f t="shared" si="87"/>
        <v>7806385951</v>
      </c>
      <c r="F2095" t="s">
        <v>26</v>
      </c>
      <c r="G2095" t="s">
        <v>3920</v>
      </c>
      <c r="H2095" t="s">
        <v>3921</v>
      </c>
      <c r="I2095" t="s">
        <v>17</v>
      </c>
      <c r="J2095" t="s">
        <v>18</v>
      </c>
    </row>
    <row r="2096" spans="1:10" hidden="1" x14ac:dyDescent="0.25">
      <c r="A2096" t="s">
        <v>11</v>
      </c>
      <c r="B2096" t="str">
        <f>"UT-106721"</f>
        <v>UT-106721</v>
      </c>
      <c r="C2096" t="s">
        <v>65</v>
      </c>
      <c r="D2096" t="s">
        <v>3872</v>
      </c>
      <c r="E2096" t="str">
        <f t="shared" si="87"/>
        <v>7806385951</v>
      </c>
      <c r="F2096" t="s">
        <v>26</v>
      </c>
      <c r="G2096" t="s">
        <v>3922</v>
      </c>
      <c r="H2096" t="s">
        <v>3923</v>
      </c>
      <c r="I2096" t="s">
        <v>17</v>
      </c>
      <c r="J2096" t="s">
        <v>18</v>
      </c>
    </row>
    <row r="2097" spans="1:10" hidden="1" x14ac:dyDescent="0.25">
      <c r="A2097" t="s">
        <v>11</v>
      </c>
      <c r="B2097" t="str">
        <f>"UT-107033"</f>
        <v>UT-107033</v>
      </c>
      <c r="C2097" t="s">
        <v>65</v>
      </c>
      <c r="D2097" t="s">
        <v>3872</v>
      </c>
      <c r="E2097" t="str">
        <f t="shared" si="87"/>
        <v>7806385951</v>
      </c>
      <c r="F2097" t="s">
        <v>26</v>
      </c>
      <c r="G2097" t="s">
        <v>3924</v>
      </c>
      <c r="H2097" t="s">
        <v>3925</v>
      </c>
      <c r="I2097" t="s">
        <v>17</v>
      </c>
      <c r="J2097" t="s">
        <v>18</v>
      </c>
    </row>
    <row r="2098" spans="1:10" hidden="1" x14ac:dyDescent="0.25">
      <c r="A2098" t="s">
        <v>11</v>
      </c>
      <c r="B2098" t="str">
        <f>"UT-107034"</f>
        <v>UT-107034</v>
      </c>
      <c r="C2098" t="s">
        <v>65</v>
      </c>
      <c r="D2098" t="s">
        <v>3872</v>
      </c>
      <c r="E2098" t="str">
        <f t="shared" si="87"/>
        <v>7806385951</v>
      </c>
      <c r="F2098" t="s">
        <v>26</v>
      </c>
      <c r="G2098" t="s">
        <v>3663</v>
      </c>
      <c r="H2098" t="s">
        <v>3926</v>
      </c>
      <c r="I2098" t="s">
        <v>17</v>
      </c>
      <c r="J2098" t="s">
        <v>18</v>
      </c>
    </row>
    <row r="2099" spans="1:10" hidden="1" x14ac:dyDescent="0.25">
      <c r="A2099" t="s">
        <v>11</v>
      </c>
      <c r="B2099" t="str">
        <f>"UT-107052"</f>
        <v>UT-107052</v>
      </c>
      <c r="C2099" t="s">
        <v>65</v>
      </c>
      <c r="D2099" t="s">
        <v>3872</v>
      </c>
      <c r="E2099" t="str">
        <f t="shared" si="87"/>
        <v>7806385951</v>
      </c>
      <c r="F2099" t="s">
        <v>26</v>
      </c>
      <c r="G2099" t="s">
        <v>3927</v>
      </c>
      <c r="H2099" t="s">
        <v>3928</v>
      </c>
      <c r="I2099" t="s">
        <v>17</v>
      </c>
      <c r="J2099" t="s">
        <v>18</v>
      </c>
    </row>
    <row r="2100" spans="1:10" hidden="1" x14ac:dyDescent="0.25">
      <c r="A2100" t="s">
        <v>11</v>
      </c>
      <c r="B2100" t="str">
        <f>"УТ-305-000128"</f>
        <v>УТ-305-000128</v>
      </c>
      <c r="C2100" t="s">
        <v>65</v>
      </c>
      <c r="D2100" t="s">
        <v>3872</v>
      </c>
      <c r="E2100" t="str">
        <f>"7839454551"</f>
        <v>7839454551</v>
      </c>
      <c r="F2100" t="s">
        <v>57</v>
      </c>
      <c r="G2100" t="s">
        <v>3929</v>
      </c>
      <c r="H2100" t="s">
        <v>3930</v>
      </c>
      <c r="I2100" t="s">
        <v>17</v>
      </c>
      <c r="J2100" t="s">
        <v>18</v>
      </c>
    </row>
    <row r="2101" spans="1:10" hidden="1" x14ac:dyDescent="0.25">
      <c r="A2101" t="s">
        <v>11</v>
      </c>
      <c r="B2101" t="str">
        <f>"УТ-305-000123"</f>
        <v>УТ-305-000123</v>
      </c>
      <c r="C2101" t="s">
        <v>65</v>
      </c>
      <c r="D2101" t="s">
        <v>3872</v>
      </c>
      <c r="E2101" t="str">
        <f>"7839454551"</f>
        <v>7839454551</v>
      </c>
      <c r="F2101" t="s">
        <v>57</v>
      </c>
      <c r="G2101" t="s">
        <v>3931</v>
      </c>
      <c r="H2101" t="s">
        <v>3932</v>
      </c>
      <c r="I2101" t="s">
        <v>17</v>
      </c>
      <c r="J2101" t="s">
        <v>18</v>
      </c>
    </row>
    <row r="2102" spans="1:10" hidden="1" x14ac:dyDescent="0.25">
      <c r="A2102" t="s">
        <v>11</v>
      </c>
      <c r="B2102" t="str">
        <f>"УТ-305-000121"</f>
        <v>УТ-305-000121</v>
      </c>
      <c r="C2102" t="s">
        <v>65</v>
      </c>
      <c r="D2102" t="s">
        <v>3872</v>
      </c>
      <c r="E2102" t="str">
        <f>"7839454551"</f>
        <v>7839454551</v>
      </c>
      <c r="F2102" t="s">
        <v>57</v>
      </c>
      <c r="G2102" t="s">
        <v>3929</v>
      </c>
      <c r="H2102" t="s">
        <v>3933</v>
      </c>
      <c r="I2102" t="s">
        <v>17</v>
      </c>
      <c r="J2102" t="s">
        <v>18</v>
      </c>
    </row>
    <row r="2103" spans="1:10" hidden="1" x14ac:dyDescent="0.25">
      <c r="A2103" t="s">
        <v>11</v>
      </c>
      <c r="B2103" t="str">
        <f>"УТ-305-000117"</f>
        <v>УТ-305-000117</v>
      </c>
      <c r="C2103" t="s">
        <v>65</v>
      </c>
      <c r="D2103" t="s">
        <v>3872</v>
      </c>
      <c r="E2103" t="str">
        <f>"7839454551"</f>
        <v>7839454551</v>
      </c>
      <c r="F2103" t="s">
        <v>57</v>
      </c>
      <c r="G2103" t="s">
        <v>3934</v>
      </c>
      <c r="H2103" t="s">
        <v>3935</v>
      </c>
      <c r="I2103" t="s">
        <v>17</v>
      </c>
      <c r="J2103" t="s">
        <v>18</v>
      </c>
    </row>
    <row r="2104" spans="1:10" hidden="1" x14ac:dyDescent="0.25">
      <c r="A2104" t="s">
        <v>11</v>
      </c>
      <c r="B2104" t="str">
        <f>"870"</f>
        <v>870</v>
      </c>
      <c r="C2104" t="s">
        <v>49</v>
      </c>
      <c r="D2104" t="s">
        <v>3872</v>
      </c>
      <c r="E2104" t="str">
        <f>"7704340969"</f>
        <v>7704340969</v>
      </c>
      <c r="F2104" t="s">
        <v>76</v>
      </c>
      <c r="G2104" t="s">
        <v>3936</v>
      </c>
      <c r="H2104" t="s">
        <v>3937</v>
      </c>
      <c r="I2104" t="s">
        <v>17</v>
      </c>
      <c r="J2104" t="s">
        <v>18</v>
      </c>
    </row>
    <row r="2105" spans="1:10" hidden="1" x14ac:dyDescent="0.25">
      <c r="A2105" t="s">
        <v>11</v>
      </c>
      <c r="B2105" t="str">
        <f>"885"</f>
        <v>885</v>
      </c>
      <c r="C2105" t="s">
        <v>49</v>
      </c>
      <c r="D2105" t="s">
        <v>3872</v>
      </c>
      <c r="E2105" t="str">
        <f>"7704340969"</f>
        <v>7704340969</v>
      </c>
      <c r="F2105" t="s">
        <v>76</v>
      </c>
      <c r="G2105" t="s">
        <v>3938</v>
      </c>
      <c r="H2105" t="s">
        <v>3939</v>
      </c>
      <c r="I2105" t="s">
        <v>17</v>
      </c>
      <c r="J2105" t="s">
        <v>18</v>
      </c>
    </row>
    <row r="2106" spans="1:10" hidden="1" x14ac:dyDescent="0.25">
      <c r="A2106" t="s">
        <v>11</v>
      </c>
      <c r="B2106" t="str">
        <f>"4810/8174445262"</f>
        <v>4810/8174445262</v>
      </c>
      <c r="C2106" t="s">
        <v>65</v>
      </c>
      <c r="D2106" t="s">
        <v>3872</v>
      </c>
      <c r="E2106" t="str">
        <f>"5032260402"</f>
        <v>5032260402</v>
      </c>
      <c r="F2106" t="s">
        <v>341</v>
      </c>
      <c r="G2106" t="s">
        <v>3940</v>
      </c>
      <c r="H2106" t="s">
        <v>3941</v>
      </c>
      <c r="I2106" t="s">
        <v>17</v>
      </c>
      <c r="J2106" t="s">
        <v>18</v>
      </c>
    </row>
    <row r="2107" spans="1:10" hidden="1" x14ac:dyDescent="0.25">
      <c r="A2107" t="s">
        <v>11</v>
      </c>
      <c r="B2107" t="str">
        <f>"4810/8174436134"</f>
        <v>4810/8174436134</v>
      </c>
      <c r="C2107" t="s">
        <v>65</v>
      </c>
      <c r="D2107" t="s">
        <v>3872</v>
      </c>
      <c r="E2107" t="str">
        <f>"5032260402"</f>
        <v>5032260402</v>
      </c>
      <c r="F2107" t="s">
        <v>341</v>
      </c>
      <c r="G2107" t="s">
        <v>3942</v>
      </c>
      <c r="H2107" t="s">
        <v>3943</v>
      </c>
      <c r="I2107" t="s">
        <v>17</v>
      </c>
      <c r="J2107" t="s">
        <v>18</v>
      </c>
    </row>
    <row r="2108" spans="1:10" hidden="1" x14ac:dyDescent="0.25">
      <c r="A2108" t="s">
        <v>11</v>
      </c>
      <c r="B2108" t="str">
        <f>"4810/8174436199"</f>
        <v>4810/8174436199</v>
      </c>
      <c r="C2108" t="s">
        <v>65</v>
      </c>
      <c r="D2108" t="s">
        <v>3872</v>
      </c>
      <c r="E2108" t="str">
        <f>"5032260402"</f>
        <v>5032260402</v>
      </c>
      <c r="F2108" t="s">
        <v>341</v>
      </c>
      <c r="G2108" t="s">
        <v>3944</v>
      </c>
      <c r="H2108" t="s">
        <v>3945</v>
      </c>
      <c r="I2108" t="s">
        <v>17</v>
      </c>
      <c r="J2108" t="s">
        <v>18</v>
      </c>
    </row>
    <row r="2109" spans="1:10" hidden="1" x14ac:dyDescent="0.25">
      <c r="A2109" t="s">
        <v>11</v>
      </c>
      <c r="B2109" t="str">
        <f>"929"</f>
        <v>929</v>
      </c>
      <c r="C2109" t="s">
        <v>49</v>
      </c>
      <c r="D2109" t="s">
        <v>3872</v>
      </c>
      <c r="E2109" t="str">
        <f>"7704340969"</f>
        <v>7704340969</v>
      </c>
      <c r="F2109" t="s">
        <v>76</v>
      </c>
      <c r="G2109" t="s">
        <v>3946</v>
      </c>
      <c r="H2109" t="s">
        <v>3947</v>
      </c>
      <c r="I2109" t="s">
        <v>17</v>
      </c>
      <c r="J2109" t="s">
        <v>18</v>
      </c>
    </row>
    <row r="2110" spans="1:10" hidden="1" x14ac:dyDescent="0.25">
      <c r="A2110" t="s">
        <v>11</v>
      </c>
      <c r="B2110" t="str">
        <f>"973"</f>
        <v>973</v>
      </c>
      <c r="C2110" t="s">
        <v>49</v>
      </c>
      <c r="D2110" t="s">
        <v>3872</v>
      </c>
      <c r="E2110" t="str">
        <f>"7704340969"</f>
        <v>7704340969</v>
      </c>
      <c r="F2110" t="s">
        <v>76</v>
      </c>
      <c r="G2110" t="s">
        <v>3948</v>
      </c>
      <c r="H2110" t="s">
        <v>3949</v>
      </c>
      <c r="I2110" t="s">
        <v>17</v>
      </c>
      <c r="J2110" t="s">
        <v>18</v>
      </c>
    </row>
    <row r="2111" spans="1:10" hidden="1" x14ac:dyDescent="0.25">
      <c r="A2111" t="s">
        <v>11</v>
      </c>
      <c r="B2111" t="str">
        <f>"4810/8174436088"</f>
        <v>4810/8174436088</v>
      </c>
      <c r="C2111" t="s">
        <v>65</v>
      </c>
      <c r="D2111" t="s">
        <v>3872</v>
      </c>
      <c r="E2111" t="str">
        <f>"5032260402"</f>
        <v>5032260402</v>
      </c>
      <c r="F2111" t="s">
        <v>341</v>
      </c>
      <c r="G2111" t="s">
        <v>3950</v>
      </c>
      <c r="H2111" t="s">
        <v>3951</v>
      </c>
      <c r="I2111" t="s">
        <v>17</v>
      </c>
      <c r="J2111" t="s">
        <v>18</v>
      </c>
    </row>
    <row r="2112" spans="1:10" hidden="1" x14ac:dyDescent="0.25">
      <c r="A2112" t="s">
        <v>290</v>
      </c>
      <c r="B2112" t="s">
        <v>847</v>
      </c>
      <c r="C2112" t="s">
        <v>65</v>
      </c>
      <c r="D2112" t="s">
        <v>3872</v>
      </c>
      <c r="E2112" t="str">
        <f>"7103518598"</f>
        <v>7103518598</v>
      </c>
      <c r="F2112" t="s">
        <v>3952</v>
      </c>
      <c r="G2112" t="s">
        <v>847</v>
      </c>
      <c r="H2112" t="s">
        <v>3953</v>
      </c>
      <c r="I2112" t="s">
        <v>17</v>
      </c>
      <c r="J2112" t="s">
        <v>18</v>
      </c>
    </row>
    <row r="2113" spans="1:10" hidden="1" x14ac:dyDescent="0.25">
      <c r="A2113" t="s">
        <v>11</v>
      </c>
      <c r="B2113" t="str">
        <f>"27273"</f>
        <v>27273</v>
      </c>
      <c r="C2113" t="s">
        <v>12</v>
      </c>
      <c r="D2113" t="s">
        <v>3872</v>
      </c>
      <c r="E2113" t="str">
        <f t="shared" ref="E2113:E2119" si="88">"7729488999"</f>
        <v>7729488999</v>
      </c>
      <c r="F2113" t="s">
        <v>85</v>
      </c>
      <c r="G2113" t="s">
        <v>3954</v>
      </c>
      <c r="H2113" t="s">
        <v>3955</v>
      </c>
      <c r="I2113" t="s">
        <v>17</v>
      </c>
      <c r="J2113" t="s">
        <v>18</v>
      </c>
    </row>
    <row r="2114" spans="1:10" hidden="1" x14ac:dyDescent="0.25">
      <c r="A2114" t="s">
        <v>11</v>
      </c>
      <c r="B2114" t="str">
        <f>"27261"</f>
        <v>27261</v>
      </c>
      <c r="C2114" t="s">
        <v>12</v>
      </c>
      <c r="D2114" t="s">
        <v>3872</v>
      </c>
      <c r="E2114" t="str">
        <f t="shared" si="88"/>
        <v>7729488999</v>
      </c>
      <c r="F2114" t="s">
        <v>85</v>
      </c>
      <c r="G2114" t="s">
        <v>3956</v>
      </c>
      <c r="H2114" t="s">
        <v>3957</v>
      </c>
      <c r="I2114" t="s">
        <v>17</v>
      </c>
      <c r="J2114" t="s">
        <v>18</v>
      </c>
    </row>
    <row r="2115" spans="1:10" hidden="1" x14ac:dyDescent="0.25">
      <c r="A2115" t="s">
        <v>11</v>
      </c>
      <c r="B2115" t="str">
        <f>"27241"</f>
        <v>27241</v>
      </c>
      <c r="C2115" t="s">
        <v>12</v>
      </c>
      <c r="D2115" t="s">
        <v>3872</v>
      </c>
      <c r="E2115" t="str">
        <f t="shared" si="88"/>
        <v>7729488999</v>
      </c>
      <c r="F2115" t="s">
        <v>85</v>
      </c>
      <c r="G2115" t="s">
        <v>3958</v>
      </c>
      <c r="H2115" t="s">
        <v>3959</v>
      </c>
      <c r="I2115" t="s">
        <v>17</v>
      </c>
      <c r="J2115" t="s">
        <v>18</v>
      </c>
    </row>
    <row r="2116" spans="1:10" hidden="1" x14ac:dyDescent="0.25">
      <c r="A2116" t="s">
        <v>11</v>
      </c>
      <c r="B2116" t="str">
        <f>"25943"</f>
        <v>25943</v>
      </c>
      <c r="C2116" t="s">
        <v>12</v>
      </c>
      <c r="D2116" t="s">
        <v>3872</v>
      </c>
      <c r="E2116" t="str">
        <f t="shared" si="88"/>
        <v>7729488999</v>
      </c>
      <c r="F2116" t="s">
        <v>85</v>
      </c>
      <c r="G2116" t="s">
        <v>3960</v>
      </c>
      <c r="H2116" t="s">
        <v>3961</v>
      </c>
      <c r="I2116" t="s">
        <v>17</v>
      </c>
      <c r="J2116" t="s">
        <v>18</v>
      </c>
    </row>
    <row r="2117" spans="1:10" hidden="1" x14ac:dyDescent="0.25">
      <c r="A2117" t="s">
        <v>11</v>
      </c>
      <c r="B2117" t="str">
        <f>"25939"</f>
        <v>25939</v>
      </c>
      <c r="C2117" t="s">
        <v>12</v>
      </c>
      <c r="D2117" t="s">
        <v>3872</v>
      </c>
      <c r="E2117" t="str">
        <f t="shared" si="88"/>
        <v>7729488999</v>
      </c>
      <c r="F2117" t="s">
        <v>85</v>
      </c>
      <c r="G2117" t="s">
        <v>3962</v>
      </c>
      <c r="H2117" t="s">
        <v>3963</v>
      </c>
      <c r="I2117" t="s">
        <v>17</v>
      </c>
      <c r="J2117" t="s">
        <v>18</v>
      </c>
    </row>
    <row r="2118" spans="1:10" hidden="1" x14ac:dyDescent="0.25">
      <c r="A2118" t="s">
        <v>11</v>
      </c>
      <c r="B2118" t="str">
        <f>"25935"</f>
        <v>25935</v>
      </c>
      <c r="C2118" t="s">
        <v>12</v>
      </c>
      <c r="D2118" t="s">
        <v>3872</v>
      </c>
      <c r="E2118" t="str">
        <f t="shared" si="88"/>
        <v>7729488999</v>
      </c>
      <c r="F2118" t="s">
        <v>85</v>
      </c>
      <c r="G2118" t="s">
        <v>2406</v>
      </c>
      <c r="H2118" t="s">
        <v>3964</v>
      </c>
      <c r="I2118" t="s">
        <v>17</v>
      </c>
      <c r="J2118" t="s">
        <v>18</v>
      </c>
    </row>
    <row r="2119" spans="1:10" hidden="1" x14ac:dyDescent="0.25">
      <c r="A2119" t="s">
        <v>11</v>
      </c>
      <c r="B2119" t="str">
        <f>"25933"</f>
        <v>25933</v>
      </c>
      <c r="C2119" t="s">
        <v>12</v>
      </c>
      <c r="D2119" t="s">
        <v>3872</v>
      </c>
      <c r="E2119" t="str">
        <f t="shared" si="88"/>
        <v>7729488999</v>
      </c>
      <c r="F2119" t="s">
        <v>85</v>
      </c>
      <c r="G2119" t="s">
        <v>3965</v>
      </c>
      <c r="H2119" t="s">
        <v>3966</v>
      </c>
      <c r="I2119" t="s">
        <v>17</v>
      </c>
      <c r="J2119" t="s">
        <v>18</v>
      </c>
    </row>
    <row r="2120" spans="1:10" hidden="1" x14ac:dyDescent="0.25">
      <c r="A2120" t="s">
        <v>11</v>
      </c>
      <c r="B2120" t="str">
        <f>"28312131"</f>
        <v>28312131</v>
      </c>
      <c r="C2120" t="s">
        <v>65</v>
      </c>
      <c r="D2120" t="s">
        <v>3872</v>
      </c>
      <c r="E2120" t="str">
        <f>"7721793895"</f>
        <v>7721793895</v>
      </c>
      <c r="F2120" t="s">
        <v>109</v>
      </c>
      <c r="G2120" t="s">
        <v>3967</v>
      </c>
      <c r="H2120" t="s">
        <v>3968</v>
      </c>
      <c r="I2120" t="s">
        <v>17</v>
      </c>
      <c r="J2120" t="s">
        <v>18</v>
      </c>
    </row>
    <row r="2121" spans="1:10" hidden="1" x14ac:dyDescent="0.25">
      <c r="A2121" t="s">
        <v>11</v>
      </c>
      <c r="B2121" t="str">
        <f>"174"</f>
        <v>174</v>
      </c>
      <c r="C2121" t="s">
        <v>49</v>
      </c>
      <c r="D2121" t="s">
        <v>3872</v>
      </c>
      <c r="E2121" t="str">
        <f>"7702392168"</f>
        <v>7702392168</v>
      </c>
      <c r="F2121" t="s">
        <v>97</v>
      </c>
      <c r="G2121" t="s">
        <v>3969</v>
      </c>
      <c r="H2121" t="s">
        <v>3970</v>
      </c>
      <c r="I2121" t="s">
        <v>17</v>
      </c>
      <c r="J2121" t="s">
        <v>18</v>
      </c>
    </row>
    <row r="2122" spans="1:10" hidden="1" x14ac:dyDescent="0.25">
      <c r="A2122" t="s">
        <v>11</v>
      </c>
      <c r="B2122" t="str">
        <f>"4020/480F"</f>
        <v>4020/480F</v>
      </c>
      <c r="C2122" t="s">
        <v>100</v>
      </c>
      <c r="D2122" t="s">
        <v>3872</v>
      </c>
      <c r="E2122" t="str">
        <f t="shared" ref="E2122:E2128" si="89">"5003052454"</f>
        <v>5003052454</v>
      </c>
      <c r="F2122" t="s">
        <v>14</v>
      </c>
      <c r="G2122" t="s">
        <v>3971</v>
      </c>
      <c r="H2122" t="s">
        <v>3972</v>
      </c>
      <c r="I2122" t="s">
        <v>17</v>
      </c>
      <c r="J2122" t="s">
        <v>18</v>
      </c>
    </row>
    <row r="2123" spans="1:10" hidden="1" x14ac:dyDescent="0.25">
      <c r="A2123" t="s">
        <v>11</v>
      </c>
      <c r="B2123" t="str">
        <f>"16858/480E"</f>
        <v>16858/480E</v>
      </c>
      <c r="C2123" t="s">
        <v>100</v>
      </c>
      <c r="D2123" t="s">
        <v>3872</v>
      </c>
      <c r="E2123" t="str">
        <f t="shared" si="89"/>
        <v>5003052454</v>
      </c>
      <c r="F2123" t="s">
        <v>14</v>
      </c>
      <c r="G2123" t="s">
        <v>3973</v>
      </c>
      <c r="H2123" t="s">
        <v>3974</v>
      </c>
      <c r="I2123" t="s">
        <v>17</v>
      </c>
      <c r="J2123" t="s">
        <v>18</v>
      </c>
    </row>
    <row r="2124" spans="1:10" hidden="1" x14ac:dyDescent="0.25">
      <c r="A2124" t="s">
        <v>11</v>
      </c>
      <c r="B2124" t="str">
        <f>"16859/480E"</f>
        <v>16859/480E</v>
      </c>
      <c r="C2124" t="s">
        <v>100</v>
      </c>
      <c r="D2124" t="s">
        <v>3872</v>
      </c>
      <c r="E2124" t="str">
        <f t="shared" si="89"/>
        <v>5003052454</v>
      </c>
      <c r="F2124" t="s">
        <v>14</v>
      </c>
      <c r="G2124" t="s">
        <v>3975</v>
      </c>
      <c r="H2124" t="s">
        <v>3976</v>
      </c>
      <c r="I2124" t="s">
        <v>17</v>
      </c>
      <c r="J2124" t="s">
        <v>18</v>
      </c>
    </row>
    <row r="2125" spans="1:10" hidden="1" x14ac:dyDescent="0.25">
      <c r="A2125" t="s">
        <v>11</v>
      </c>
      <c r="B2125" t="str">
        <f>"16860/480E"</f>
        <v>16860/480E</v>
      </c>
      <c r="C2125" t="s">
        <v>100</v>
      </c>
      <c r="D2125" t="s">
        <v>3872</v>
      </c>
      <c r="E2125" t="str">
        <f t="shared" si="89"/>
        <v>5003052454</v>
      </c>
      <c r="F2125" t="s">
        <v>14</v>
      </c>
      <c r="G2125" t="s">
        <v>3977</v>
      </c>
      <c r="H2125" t="s">
        <v>3978</v>
      </c>
      <c r="I2125" t="s">
        <v>17</v>
      </c>
      <c r="J2125" t="s">
        <v>18</v>
      </c>
    </row>
    <row r="2126" spans="1:10" hidden="1" x14ac:dyDescent="0.25">
      <c r="A2126" t="s">
        <v>11</v>
      </c>
      <c r="B2126" t="str">
        <f>"16861/480E"</f>
        <v>16861/480E</v>
      </c>
      <c r="C2126" t="s">
        <v>100</v>
      </c>
      <c r="D2126" t="s">
        <v>3872</v>
      </c>
      <c r="E2126" t="str">
        <f t="shared" si="89"/>
        <v>5003052454</v>
      </c>
      <c r="F2126" t="s">
        <v>14</v>
      </c>
      <c r="G2126" t="s">
        <v>3979</v>
      </c>
      <c r="H2126" t="s">
        <v>3980</v>
      </c>
      <c r="I2126" t="s">
        <v>17</v>
      </c>
      <c r="J2126" t="s">
        <v>18</v>
      </c>
    </row>
    <row r="2127" spans="1:10" hidden="1" x14ac:dyDescent="0.25">
      <c r="A2127" t="s">
        <v>11</v>
      </c>
      <c r="B2127" t="str">
        <f>"49798/710E"</f>
        <v>49798/710E</v>
      </c>
      <c r="C2127" t="s">
        <v>100</v>
      </c>
      <c r="D2127" t="s">
        <v>3872</v>
      </c>
      <c r="E2127" t="str">
        <f t="shared" si="89"/>
        <v>5003052454</v>
      </c>
      <c r="F2127" t="s">
        <v>14</v>
      </c>
      <c r="G2127" t="s">
        <v>1306</v>
      </c>
      <c r="H2127" t="s">
        <v>3981</v>
      </c>
      <c r="I2127" t="s">
        <v>17</v>
      </c>
      <c r="J2127" t="s">
        <v>18</v>
      </c>
    </row>
    <row r="2128" spans="1:10" hidden="1" x14ac:dyDescent="0.25">
      <c r="A2128" t="s">
        <v>11</v>
      </c>
      <c r="B2128" t="str">
        <f>"49800/710E"</f>
        <v>49800/710E</v>
      </c>
      <c r="C2128" t="s">
        <v>100</v>
      </c>
      <c r="D2128" t="s">
        <v>3872</v>
      </c>
      <c r="E2128" t="str">
        <f t="shared" si="89"/>
        <v>5003052454</v>
      </c>
      <c r="F2128" t="s">
        <v>14</v>
      </c>
      <c r="G2128" t="s">
        <v>3982</v>
      </c>
      <c r="H2128" t="s">
        <v>3983</v>
      </c>
      <c r="I2128" t="s">
        <v>17</v>
      </c>
      <c r="J2128" t="s">
        <v>18</v>
      </c>
    </row>
    <row r="2129" spans="1:10" hidden="1" x14ac:dyDescent="0.25">
      <c r="A2129" t="s">
        <v>11</v>
      </c>
      <c r="B2129" t="str">
        <f>"UT-108221"</f>
        <v>UT-108221</v>
      </c>
      <c r="C2129" t="s">
        <v>100</v>
      </c>
      <c r="D2129" t="s">
        <v>3872</v>
      </c>
      <c r="E2129" t="str">
        <f t="shared" ref="E2129:E2137" si="90">"7806385951"</f>
        <v>7806385951</v>
      </c>
      <c r="F2129" t="s">
        <v>26</v>
      </c>
      <c r="G2129" t="s">
        <v>3984</v>
      </c>
      <c r="H2129" t="s">
        <v>3985</v>
      </c>
      <c r="I2129" t="s">
        <v>17</v>
      </c>
      <c r="J2129" t="s">
        <v>18</v>
      </c>
    </row>
    <row r="2130" spans="1:10" hidden="1" x14ac:dyDescent="0.25">
      <c r="A2130" t="s">
        <v>11</v>
      </c>
      <c r="B2130" t="str">
        <f>"UT-108223"</f>
        <v>UT-108223</v>
      </c>
      <c r="C2130" t="s">
        <v>100</v>
      </c>
      <c r="D2130" t="s">
        <v>3872</v>
      </c>
      <c r="E2130" t="str">
        <f t="shared" si="90"/>
        <v>7806385951</v>
      </c>
      <c r="F2130" t="s">
        <v>26</v>
      </c>
      <c r="G2130" t="s">
        <v>3986</v>
      </c>
      <c r="H2130" t="s">
        <v>3987</v>
      </c>
      <c r="I2130" t="s">
        <v>17</v>
      </c>
      <c r="J2130" t="s">
        <v>18</v>
      </c>
    </row>
    <row r="2131" spans="1:10" hidden="1" x14ac:dyDescent="0.25">
      <c r="A2131" t="s">
        <v>11</v>
      </c>
      <c r="B2131" t="str">
        <f>"UT-108225"</f>
        <v>UT-108225</v>
      </c>
      <c r="C2131" t="s">
        <v>100</v>
      </c>
      <c r="D2131" t="s">
        <v>3872</v>
      </c>
      <c r="E2131" t="str">
        <f t="shared" si="90"/>
        <v>7806385951</v>
      </c>
      <c r="F2131" t="s">
        <v>26</v>
      </c>
      <c r="G2131" t="s">
        <v>3988</v>
      </c>
      <c r="H2131" t="s">
        <v>3989</v>
      </c>
      <c r="I2131" t="s">
        <v>17</v>
      </c>
      <c r="J2131" t="s">
        <v>18</v>
      </c>
    </row>
    <row r="2132" spans="1:10" hidden="1" x14ac:dyDescent="0.25">
      <c r="A2132" t="s">
        <v>11</v>
      </c>
      <c r="B2132" t="str">
        <f>"UT-108219"</f>
        <v>UT-108219</v>
      </c>
      <c r="C2132" t="s">
        <v>100</v>
      </c>
      <c r="D2132" t="s">
        <v>3872</v>
      </c>
      <c r="E2132" t="str">
        <f t="shared" si="90"/>
        <v>7806385951</v>
      </c>
      <c r="F2132" t="s">
        <v>26</v>
      </c>
      <c r="G2132" t="s">
        <v>1871</v>
      </c>
      <c r="H2132" t="s">
        <v>3990</v>
      </c>
      <c r="I2132" t="s">
        <v>17</v>
      </c>
      <c r="J2132" t="s">
        <v>18</v>
      </c>
    </row>
    <row r="2133" spans="1:10" hidden="1" x14ac:dyDescent="0.25">
      <c r="A2133" t="s">
        <v>11</v>
      </c>
      <c r="B2133" t="str">
        <f>"UT-108220"</f>
        <v>UT-108220</v>
      </c>
      <c r="C2133" t="s">
        <v>100</v>
      </c>
      <c r="D2133" t="s">
        <v>3872</v>
      </c>
      <c r="E2133" t="str">
        <f t="shared" si="90"/>
        <v>7806385951</v>
      </c>
      <c r="F2133" t="s">
        <v>26</v>
      </c>
      <c r="G2133" t="s">
        <v>1724</v>
      </c>
      <c r="H2133" t="s">
        <v>3991</v>
      </c>
      <c r="I2133" t="s">
        <v>17</v>
      </c>
      <c r="J2133" t="s">
        <v>18</v>
      </c>
    </row>
    <row r="2134" spans="1:10" hidden="1" x14ac:dyDescent="0.25">
      <c r="A2134" t="s">
        <v>11</v>
      </c>
      <c r="B2134" t="str">
        <f>"UT-108222"</f>
        <v>UT-108222</v>
      </c>
      <c r="C2134" t="s">
        <v>100</v>
      </c>
      <c r="D2134" t="s">
        <v>3872</v>
      </c>
      <c r="E2134" t="str">
        <f t="shared" si="90"/>
        <v>7806385951</v>
      </c>
      <c r="F2134" t="s">
        <v>26</v>
      </c>
      <c r="G2134" t="s">
        <v>3992</v>
      </c>
      <c r="H2134" t="s">
        <v>3993</v>
      </c>
      <c r="I2134" t="s">
        <v>17</v>
      </c>
      <c r="J2134" t="s">
        <v>18</v>
      </c>
    </row>
    <row r="2135" spans="1:10" hidden="1" x14ac:dyDescent="0.25">
      <c r="A2135" t="s">
        <v>11</v>
      </c>
      <c r="B2135" t="str">
        <f>"UT-108224"</f>
        <v>UT-108224</v>
      </c>
      <c r="C2135" t="s">
        <v>100</v>
      </c>
      <c r="D2135" t="s">
        <v>3872</v>
      </c>
      <c r="E2135" t="str">
        <f t="shared" si="90"/>
        <v>7806385951</v>
      </c>
      <c r="F2135" t="s">
        <v>26</v>
      </c>
      <c r="G2135" t="s">
        <v>3994</v>
      </c>
      <c r="H2135" t="s">
        <v>3995</v>
      </c>
      <c r="I2135" t="s">
        <v>17</v>
      </c>
      <c r="J2135" t="s">
        <v>18</v>
      </c>
    </row>
    <row r="2136" spans="1:10" hidden="1" x14ac:dyDescent="0.25">
      <c r="A2136" t="s">
        <v>11</v>
      </c>
      <c r="B2136" t="str">
        <f>"UT-108368"</f>
        <v>UT-108368</v>
      </c>
      <c r="C2136" t="s">
        <v>100</v>
      </c>
      <c r="D2136" t="s">
        <v>3872</v>
      </c>
      <c r="E2136" t="str">
        <f t="shared" si="90"/>
        <v>7806385951</v>
      </c>
      <c r="F2136" t="s">
        <v>26</v>
      </c>
      <c r="G2136" t="s">
        <v>3996</v>
      </c>
      <c r="H2136" t="s">
        <v>3997</v>
      </c>
      <c r="I2136" t="s">
        <v>17</v>
      </c>
      <c r="J2136" t="s">
        <v>18</v>
      </c>
    </row>
    <row r="2137" spans="1:10" hidden="1" x14ac:dyDescent="0.25">
      <c r="A2137" t="s">
        <v>11</v>
      </c>
      <c r="B2137" t="str">
        <f>"UT-108437"</f>
        <v>UT-108437</v>
      </c>
      <c r="C2137" t="s">
        <v>100</v>
      </c>
      <c r="D2137" t="s">
        <v>3872</v>
      </c>
      <c r="E2137" t="str">
        <f t="shared" si="90"/>
        <v>7806385951</v>
      </c>
      <c r="F2137" t="s">
        <v>26</v>
      </c>
      <c r="G2137" t="s">
        <v>3998</v>
      </c>
      <c r="H2137" t="s">
        <v>3999</v>
      </c>
      <c r="I2137" t="s">
        <v>17</v>
      </c>
      <c r="J2137" t="s">
        <v>18</v>
      </c>
    </row>
    <row r="2138" spans="1:10" hidden="1" x14ac:dyDescent="0.25">
      <c r="A2138" t="s">
        <v>11</v>
      </c>
      <c r="B2138" t="str">
        <f>"28309611"</f>
        <v>28309611</v>
      </c>
      <c r="C2138" t="s">
        <v>12</v>
      </c>
      <c r="D2138" t="s">
        <v>3872</v>
      </c>
      <c r="E2138" t="str">
        <f>"7721793895"</f>
        <v>7721793895</v>
      </c>
      <c r="F2138" t="s">
        <v>109</v>
      </c>
      <c r="G2138" t="s">
        <v>4000</v>
      </c>
      <c r="H2138" t="s">
        <v>4001</v>
      </c>
      <c r="I2138" t="s">
        <v>17</v>
      </c>
      <c r="J2138" t="s">
        <v>18</v>
      </c>
    </row>
    <row r="2139" spans="1:10" x14ac:dyDescent="0.25">
      <c r="A2139" t="s">
        <v>290</v>
      </c>
      <c r="B2139" t="str">
        <f>"1800000986"</f>
        <v>1800000986</v>
      </c>
      <c r="C2139" t="s">
        <v>100</v>
      </c>
      <c r="D2139" t="s">
        <v>3872</v>
      </c>
      <c r="E2139" t="str">
        <f>"5032260402"</f>
        <v>5032260402</v>
      </c>
      <c r="F2139" t="s">
        <v>341</v>
      </c>
      <c r="G2139" t="s">
        <v>847</v>
      </c>
      <c r="H2139" t="s">
        <v>4002</v>
      </c>
      <c r="I2139" t="s">
        <v>17</v>
      </c>
      <c r="J2139" t="s">
        <v>166</v>
      </c>
    </row>
    <row r="2140" spans="1:10" hidden="1" x14ac:dyDescent="0.25">
      <c r="A2140" t="s">
        <v>11</v>
      </c>
      <c r="B2140" t="str">
        <f>"7110/8174454570"</f>
        <v>7110/8174454570</v>
      </c>
      <c r="C2140" t="s">
        <v>100</v>
      </c>
      <c r="D2140" t="s">
        <v>3872</v>
      </c>
      <c r="E2140" t="str">
        <f>"5032260402"</f>
        <v>5032260402</v>
      </c>
      <c r="F2140" t="s">
        <v>341</v>
      </c>
      <c r="G2140" t="s">
        <v>4003</v>
      </c>
      <c r="H2140" t="s">
        <v>4004</v>
      </c>
      <c r="I2140" t="s">
        <v>17</v>
      </c>
      <c r="J2140" t="s">
        <v>18</v>
      </c>
    </row>
    <row r="2141" spans="1:10" hidden="1" x14ac:dyDescent="0.25">
      <c r="A2141" t="s">
        <v>11</v>
      </c>
      <c r="B2141" t="str">
        <f>"28335430"</f>
        <v>28335430</v>
      </c>
      <c r="C2141" t="s">
        <v>65</v>
      </c>
      <c r="D2141" t="s">
        <v>3872</v>
      </c>
      <c r="E2141" t="str">
        <f>"7721793895"</f>
        <v>7721793895</v>
      </c>
      <c r="F2141" t="s">
        <v>109</v>
      </c>
      <c r="G2141" t="s">
        <v>4005</v>
      </c>
      <c r="H2141" t="s">
        <v>4006</v>
      </c>
      <c r="I2141" t="s">
        <v>17</v>
      </c>
      <c r="J2141" t="s">
        <v>18</v>
      </c>
    </row>
    <row r="2142" spans="1:10" hidden="1" x14ac:dyDescent="0.25">
      <c r="A2142" t="s">
        <v>11</v>
      </c>
      <c r="B2142" t="str">
        <f>"28337034"</f>
        <v>28337034</v>
      </c>
      <c r="C2142" t="s">
        <v>65</v>
      </c>
      <c r="D2142" t="s">
        <v>3872</v>
      </c>
      <c r="E2142" t="str">
        <f>"7721793895"</f>
        <v>7721793895</v>
      </c>
      <c r="F2142" t="s">
        <v>109</v>
      </c>
      <c r="G2142" t="s">
        <v>4007</v>
      </c>
      <c r="H2142" t="s">
        <v>4008</v>
      </c>
      <c r="I2142" t="s">
        <v>17</v>
      </c>
      <c r="J2142" t="s">
        <v>18</v>
      </c>
    </row>
    <row r="2143" spans="1:10" hidden="1" x14ac:dyDescent="0.25">
      <c r="A2143" t="s">
        <v>11</v>
      </c>
      <c r="B2143" t="str">
        <f>"4061/480F"</f>
        <v>4061/480F</v>
      </c>
      <c r="C2143" t="s">
        <v>106</v>
      </c>
      <c r="D2143" t="s">
        <v>3872</v>
      </c>
      <c r="E2143" t="str">
        <f>"5003052454"</f>
        <v>5003052454</v>
      </c>
      <c r="F2143" t="s">
        <v>14</v>
      </c>
      <c r="G2143" t="s">
        <v>4009</v>
      </c>
      <c r="H2143" t="s">
        <v>4010</v>
      </c>
      <c r="I2143" t="s">
        <v>17</v>
      </c>
      <c r="J2143" t="s">
        <v>18</v>
      </c>
    </row>
    <row r="2144" spans="1:10" hidden="1" x14ac:dyDescent="0.25">
      <c r="A2144" t="s">
        <v>11</v>
      </c>
      <c r="B2144" t="str">
        <f>"4062/480F"</f>
        <v>4062/480F</v>
      </c>
      <c r="C2144" t="s">
        <v>106</v>
      </c>
      <c r="D2144" t="s">
        <v>3872</v>
      </c>
      <c r="E2144" t="str">
        <f>"5003052454"</f>
        <v>5003052454</v>
      </c>
      <c r="F2144" t="s">
        <v>14</v>
      </c>
      <c r="G2144" t="s">
        <v>4011</v>
      </c>
      <c r="H2144" t="s">
        <v>4012</v>
      </c>
      <c r="I2144" t="s">
        <v>17</v>
      </c>
      <c r="J2144" t="s">
        <v>18</v>
      </c>
    </row>
    <row r="2145" spans="1:10" hidden="1" x14ac:dyDescent="0.25">
      <c r="A2145" t="s">
        <v>11</v>
      </c>
      <c r="B2145" t="str">
        <f>"4063/480F"</f>
        <v>4063/480F</v>
      </c>
      <c r="C2145" t="s">
        <v>106</v>
      </c>
      <c r="D2145" t="s">
        <v>3872</v>
      </c>
      <c r="E2145" t="str">
        <f>"5003052454"</f>
        <v>5003052454</v>
      </c>
      <c r="F2145" t="s">
        <v>14</v>
      </c>
      <c r="G2145" t="s">
        <v>4013</v>
      </c>
      <c r="H2145" t="s">
        <v>4014</v>
      </c>
      <c r="I2145" t="s">
        <v>17</v>
      </c>
      <c r="J2145" t="s">
        <v>18</v>
      </c>
    </row>
    <row r="2146" spans="1:10" hidden="1" x14ac:dyDescent="0.25">
      <c r="A2146" t="s">
        <v>11</v>
      </c>
      <c r="B2146" t="str">
        <f>"17061/480E"</f>
        <v>17061/480E</v>
      </c>
      <c r="C2146" t="s">
        <v>106</v>
      </c>
      <c r="D2146" t="s">
        <v>3872</v>
      </c>
      <c r="E2146" t="str">
        <f>"5003052454"</f>
        <v>5003052454</v>
      </c>
      <c r="F2146" t="s">
        <v>14</v>
      </c>
      <c r="G2146" t="s">
        <v>4015</v>
      </c>
      <c r="H2146" t="s">
        <v>4016</v>
      </c>
      <c r="I2146" t="s">
        <v>17</v>
      </c>
      <c r="J2146" t="s">
        <v>18</v>
      </c>
    </row>
    <row r="2147" spans="1:10" hidden="1" x14ac:dyDescent="0.25">
      <c r="A2147" t="s">
        <v>11</v>
      </c>
      <c r="B2147" t="str">
        <f>"17062/480E"</f>
        <v>17062/480E</v>
      </c>
      <c r="C2147" t="s">
        <v>106</v>
      </c>
      <c r="D2147" t="s">
        <v>3872</v>
      </c>
      <c r="E2147" t="str">
        <f>"5003052454"</f>
        <v>5003052454</v>
      </c>
      <c r="F2147" t="s">
        <v>14</v>
      </c>
      <c r="G2147" t="s">
        <v>4017</v>
      </c>
      <c r="H2147" t="s">
        <v>4018</v>
      </c>
      <c r="I2147" t="s">
        <v>17</v>
      </c>
      <c r="J2147" t="s">
        <v>18</v>
      </c>
    </row>
    <row r="2148" spans="1:10" hidden="1" x14ac:dyDescent="0.25">
      <c r="A2148" t="s">
        <v>11</v>
      </c>
      <c r="B2148" t="str">
        <f>"UT-109666"</f>
        <v>UT-109666</v>
      </c>
      <c r="C2148" t="s">
        <v>106</v>
      </c>
      <c r="D2148" t="s">
        <v>3872</v>
      </c>
      <c r="E2148" t="str">
        <f>"7806385951"</f>
        <v>7806385951</v>
      </c>
      <c r="F2148" t="s">
        <v>26</v>
      </c>
      <c r="G2148" t="s">
        <v>4019</v>
      </c>
      <c r="H2148" t="s">
        <v>4020</v>
      </c>
      <c r="I2148" t="s">
        <v>17</v>
      </c>
      <c r="J2148" t="s">
        <v>18</v>
      </c>
    </row>
    <row r="2149" spans="1:10" hidden="1" x14ac:dyDescent="0.25">
      <c r="A2149" t="s">
        <v>11</v>
      </c>
      <c r="B2149" t="str">
        <f>"UT-109665"</f>
        <v>UT-109665</v>
      </c>
      <c r="C2149" t="s">
        <v>106</v>
      </c>
      <c r="D2149" t="s">
        <v>3872</v>
      </c>
      <c r="E2149" t="str">
        <f>"7806385951"</f>
        <v>7806385951</v>
      </c>
      <c r="F2149" t="s">
        <v>26</v>
      </c>
      <c r="G2149" t="s">
        <v>3581</v>
      </c>
      <c r="H2149" t="s">
        <v>4021</v>
      </c>
      <c r="I2149" t="s">
        <v>17</v>
      </c>
      <c r="J2149" t="s">
        <v>18</v>
      </c>
    </row>
    <row r="2150" spans="1:10" hidden="1" x14ac:dyDescent="0.25">
      <c r="A2150" t="s">
        <v>11</v>
      </c>
      <c r="B2150" t="str">
        <f>"UT-109667"</f>
        <v>UT-109667</v>
      </c>
      <c r="C2150" t="s">
        <v>106</v>
      </c>
      <c r="D2150" t="s">
        <v>3872</v>
      </c>
      <c r="E2150" t="str">
        <f>"7806385951"</f>
        <v>7806385951</v>
      </c>
      <c r="F2150" t="s">
        <v>26</v>
      </c>
      <c r="G2150" t="s">
        <v>2214</v>
      </c>
      <c r="H2150" t="s">
        <v>4022</v>
      </c>
      <c r="I2150" t="s">
        <v>17</v>
      </c>
      <c r="J2150" t="s">
        <v>18</v>
      </c>
    </row>
    <row r="2151" spans="1:10" hidden="1" x14ac:dyDescent="0.25">
      <c r="A2151" t="s">
        <v>11</v>
      </c>
      <c r="B2151" t="str">
        <f>"88/00018537-23"</f>
        <v>88/00018537-23</v>
      </c>
      <c r="C2151" t="s">
        <v>106</v>
      </c>
      <c r="D2151" t="s">
        <v>3872</v>
      </c>
      <c r="E2151" t="str">
        <f>"7705034202"</f>
        <v>7705034202</v>
      </c>
      <c r="F2151" t="s">
        <v>407</v>
      </c>
      <c r="G2151" t="s">
        <v>4023</v>
      </c>
      <c r="H2151" t="s">
        <v>4024</v>
      </c>
      <c r="I2151" t="s">
        <v>17</v>
      </c>
      <c r="J2151" t="s">
        <v>18</v>
      </c>
    </row>
    <row r="2152" spans="1:10" hidden="1" x14ac:dyDescent="0.25">
      <c r="A2152" t="s">
        <v>11</v>
      </c>
      <c r="B2152" t="str">
        <f>"4810/8174505865"</f>
        <v>4810/8174505865</v>
      </c>
      <c r="C2152" t="s">
        <v>106</v>
      </c>
      <c r="D2152" t="s">
        <v>3872</v>
      </c>
      <c r="E2152" t="str">
        <f>"5032260402"</f>
        <v>5032260402</v>
      </c>
      <c r="F2152" t="s">
        <v>341</v>
      </c>
      <c r="G2152" t="s">
        <v>4025</v>
      </c>
      <c r="H2152" t="s">
        <v>4026</v>
      </c>
      <c r="I2152" t="s">
        <v>17</v>
      </c>
      <c r="J2152" t="s">
        <v>18</v>
      </c>
    </row>
    <row r="2153" spans="1:10" hidden="1" x14ac:dyDescent="0.25">
      <c r="A2153" t="s">
        <v>11</v>
      </c>
      <c r="B2153" t="str">
        <f>"4810/8174505878"</f>
        <v>4810/8174505878</v>
      </c>
      <c r="C2153" t="s">
        <v>106</v>
      </c>
      <c r="D2153" t="s">
        <v>3872</v>
      </c>
      <c r="E2153" t="str">
        <f>"5032260402"</f>
        <v>5032260402</v>
      </c>
      <c r="F2153" t="s">
        <v>341</v>
      </c>
      <c r="G2153" t="s">
        <v>4027</v>
      </c>
      <c r="H2153" t="s">
        <v>4028</v>
      </c>
      <c r="I2153" t="s">
        <v>17</v>
      </c>
      <c r="J2153" t="s">
        <v>18</v>
      </c>
    </row>
    <row r="2154" spans="1:10" hidden="1" x14ac:dyDescent="0.25">
      <c r="A2154" t="s">
        <v>290</v>
      </c>
      <c r="B2154" t="str">
        <f>"М4761"</f>
        <v>М4761</v>
      </c>
      <c r="C2154" t="s">
        <v>100</v>
      </c>
      <c r="D2154" t="s">
        <v>3872</v>
      </c>
      <c r="E2154" t="str">
        <f>"4823003043"</f>
        <v>4823003043</v>
      </c>
      <c r="F2154" t="s">
        <v>4029</v>
      </c>
      <c r="G2154" t="s">
        <v>4030</v>
      </c>
      <c r="H2154" t="s">
        <v>4031</v>
      </c>
      <c r="I2154" t="s">
        <v>17</v>
      </c>
      <c r="J2154" t="s">
        <v>18</v>
      </c>
    </row>
    <row r="2155" spans="1:10" hidden="1" x14ac:dyDescent="0.25">
      <c r="A2155" t="s">
        <v>11</v>
      </c>
      <c r="B2155" t="str">
        <f>"4810/8174500523"</f>
        <v>4810/8174500523</v>
      </c>
      <c r="C2155" t="s">
        <v>106</v>
      </c>
      <c r="D2155" t="s">
        <v>3872</v>
      </c>
      <c r="E2155" t="str">
        <f t="shared" ref="E2155:E2161" si="91">"5032260402"</f>
        <v>5032260402</v>
      </c>
      <c r="F2155" t="s">
        <v>341</v>
      </c>
      <c r="G2155" t="s">
        <v>4032</v>
      </c>
      <c r="H2155" t="s">
        <v>4033</v>
      </c>
      <c r="I2155" t="s">
        <v>17</v>
      </c>
      <c r="J2155" t="s">
        <v>18</v>
      </c>
    </row>
    <row r="2156" spans="1:10" hidden="1" x14ac:dyDescent="0.25">
      <c r="A2156" t="s">
        <v>11</v>
      </c>
      <c r="B2156" t="str">
        <f>"4810/8174500608"</f>
        <v>4810/8174500608</v>
      </c>
      <c r="C2156" t="s">
        <v>106</v>
      </c>
      <c r="D2156" t="s">
        <v>3872</v>
      </c>
      <c r="E2156" t="str">
        <f t="shared" si="91"/>
        <v>5032260402</v>
      </c>
      <c r="F2156" t="s">
        <v>341</v>
      </c>
      <c r="G2156" t="s">
        <v>4034</v>
      </c>
      <c r="H2156" t="s">
        <v>4035</v>
      </c>
      <c r="I2156" t="s">
        <v>17</v>
      </c>
      <c r="J2156" t="s">
        <v>18</v>
      </c>
    </row>
    <row r="2157" spans="1:10" hidden="1" x14ac:dyDescent="0.25">
      <c r="A2157" t="s">
        <v>11</v>
      </c>
      <c r="B2157" t="str">
        <f>"4810/8174500587"</f>
        <v>4810/8174500587</v>
      </c>
      <c r="C2157" t="s">
        <v>106</v>
      </c>
      <c r="D2157" t="s">
        <v>3872</v>
      </c>
      <c r="E2157" t="str">
        <f t="shared" si="91"/>
        <v>5032260402</v>
      </c>
      <c r="F2157" t="s">
        <v>341</v>
      </c>
      <c r="G2157" t="s">
        <v>4036</v>
      </c>
      <c r="H2157" t="s">
        <v>4037</v>
      </c>
      <c r="I2157" t="s">
        <v>17</v>
      </c>
      <c r="J2157" t="s">
        <v>18</v>
      </c>
    </row>
    <row r="2158" spans="1:10" hidden="1" x14ac:dyDescent="0.25">
      <c r="A2158" t="s">
        <v>11</v>
      </c>
      <c r="B2158" t="str">
        <f>"4810/8174505677"</f>
        <v>4810/8174505677</v>
      </c>
      <c r="C2158" t="s">
        <v>106</v>
      </c>
      <c r="D2158" t="s">
        <v>3872</v>
      </c>
      <c r="E2158" t="str">
        <f t="shared" si="91"/>
        <v>5032260402</v>
      </c>
      <c r="F2158" t="s">
        <v>341</v>
      </c>
      <c r="G2158" t="s">
        <v>4038</v>
      </c>
      <c r="H2158" t="s">
        <v>4039</v>
      </c>
      <c r="I2158" t="s">
        <v>17</v>
      </c>
      <c r="J2158" t="s">
        <v>18</v>
      </c>
    </row>
    <row r="2159" spans="1:10" hidden="1" x14ac:dyDescent="0.25">
      <c r="A2159" t="s">
        <v>11</v>
      </c>
      <c r="B2159" t="str">
        <f>"4810/8174505739"</f>
        <v>4810/8174505739</v>
      </c>
      <c r="C2159" t="s">
        <v>106</v>
      </c>
      <c r="D2159" t="s">
        <v>3872</v>
      </c>
      <c r="E2159" t="str">
        <f t="shared" si="91"/>
        <v>5032260402</v>
      </c>
      <c r="F2159" t="s">
        <v>341</v>
      </c>
      <c r="G2159" t="s">
        <v>4040</v>
      </c>
      <c r="H2159" t="s">
        <v>4041</v>
      </c>
      <c r="I2159" t="s">
        <v>17</v>
      </c>
      <c r="J2159" t="s">
        <v>18</v>
      </c>
    </row>
    <row r="2160" spans="1:10" hidden="1" x14ac:dyDescent="0.25">
      <c r="A2160" t="s">
        <v>11</v>
      </c>
      <c r="B2160" t="str">
        <f>"4810/8174505661"</f>
        <v>4810/8174505661</v>
      </c>
      <c r="C2160" t="s">
        <v>106</v>
      </c>
      <c r="D2160" t="s">
        <v>3872</v>
      </c>
      <c r="E2160" t="str">
        <f t="shared" si="91"/>
        <v>5032260402</v>
      </c>
      <c r="F2160" t="s">
        <v>341</v>
      </c>
      <c r="G2160" t="s">
        <v>4042</v>
      </c>
      <c r="H2160" t="s">
        <v>4043</v>
      </c>
      <c r="I2160" t="s">
        <v>17</v>
      </c>
      <c r="J2160" t="s">
        <v>18</v>
      </c>
    </row>
    <row r="2161" spans="1:10" hidden="1" x14ac:dyDescent="0.25">
      <c r="A2161" t="s">
        <v>11</v>
      </c>
      <c r="B2161" t="str">
        <f>"4810/8174505767"</f>
        <v>4810/8174505767</v>
      </c>
      <c r="C2161" t="s">
        <v>106</v>
      </c>
      <c r="D2161" t="s">
        <v>3872</v>
      </c>
      <c r="E2161" t="str">
        <f t="shared" si="91"/>
        <v>5032260402</v>
      </c>
      <c r="F2161" t="s">
        <v>341</v>
      </c>
      <c r="G2161" t="s">
        <v>4044</v>
      </c>
      <c r="H2161" t="s">
        <v>4045</v>
      </c>
      <c r="I2161" t="s">
        <v>17</v>
      </c>
      <c r="J2161" t="s">
        <v>18</v>
      </c>
    </row>
    <row r="2162" spans="1:10" hidden="1" x14ac:dyDescent="0.25">
      <c r="A2162" t="s">
        <v>11</v>
      </c>
      <c r="B2162" t="str">
        <f>"28365694"</f>
        <v>28365694</v>
      </c>
      <c r="C2162" t="s">
        <v>100</v>
      </c>
      <c r="D2162" t="s">
        <v>3872</v>
      </c>
      <c r="E2162" t="str">
        <f>"7721793895"</f>
        <v>7721793895</v>
      </c>
      <c r="F2162" t="s">
        <v>109</v>
      </c>
      <c r="G2162" t="s">
        <v>4046</v>
      </c>
      <c r="H2162" t="s">
        <v>4047</v>
      </c>
      <c r="I2162" t="s">
        <v>17</v>
      </c>
      <c r="J2162" t="s">
        <v>18</v>
      </c>
    </row>
    <row r="2163" spans="1:10" hidden="1" x14ac:dyDescent="0.25">
      <c r="A2163" t="s">
        <v>11</v>
      </c>
      <c r="B2163" t="str">
        <f>"28367837"</f>
        <v>28367837</v>
      </c>
      <c r="C2163" t="s">
        <v>100</v>
      </c>
      <c r="D2163" t="s">
        <v>3872</v>
      </c>
      <c r="E2163" t="str">
        <f>"7721793895"</f>
        <v>7721793895</v>
      </c>
      <c r="F2163" t="s">
        <v>109</v>
      </c>
      <c r="G2163" t="s">
        <v>4048</v>
      </c>
      <c r="H2163" t="s">
        <v>4049</v>
      </c>
      <c r="I2163" t="s">
        <v>17</v>
      </c>
      <c r="J2163" t="s">
        <v>18</v>
      </c>
    </row>
    <row r="2164" spans="1:10" hidden="1" x14ac:dyDescent="0.25">
      <c r="A2164" t="s">
        <v>4050</v>
      </c>
      <c r="B2164" t="s">
        <v>847</v>
      </c>
      <c r="C2164" t="s">
        <v>106</v>
      </c>
      <c r="D2164" t="s">
        <v>3872</v>
      </c>
      <c r="E2164" t="str">
        <f t="shared" ref="E2164:E2181" si="92">"7805326030"</f>
        <v>7805326030</v>
      </c>
      <c r="F2164" t="s">
        <v>4051</v>
      </c>
      <c r="G2164" t="s">
        <v>847</v>
      </c>
      <c r="H2164" t="s">
        <v>4052</v>
      </c>
      <c r="I2164" t="s">
        <v>17</v>
      </c>
      <c r="J2164" t="s">
        <v>18</v>
      </c>
    </row>
    <row r="2165" spans="1:10" hidden="1" x14ac:dyDescent="0.25">
      <c r="A2165" t="s">
        <v>4050</v>
      </c>
      <c r="B2165" t="s">
        <v>847</v>
      </c>
      <c r="C2165" t="s">
        <v>106</v>
      </c>
      <c r="D2165" t="s">
        <v>3872</v>
      </c>
      <c r="E2165" t="str">
        <f t="shared" si="92"/>
        <v>7805326030</v>
      </c>
      <c r="F2165" t="s">
        <v>4051</v>
      </c>
      <c r="G2165" t="s">
        <v>847</v>
      </c>
      <c r="H2165" t="s">
        <v>4053</v>
      </c>
      <c r="I2165" t="s">
        <v>17</v>
      </c>
      <c r="J2165" t="s">
        <v>18</v>
      </c>
    </row>
    <row r="2166" spans="1:10" hidden="1" x14ac:dyDescent="0.25">
      <c r="A2166" t="s">
        <v>4050</v>
      </c>
      <c r="B2166" t="s">
        <v>847</v>
      </c>
      <c r="C2166" t="s">
        <v>106</v>
      </c>
      <c r="D2166" t="s">
        <v>3872</v>
      </c>
      <c r="E2166" t="str">
        <f t="shared" si="92"/>
        <v>7805326030</v>
      </c>
      <c r="F2166" t="s">
        <v>4051</v>
      </c>
      <c r="G2166" t="s">
        <v>847</v>
      </c>
      <c r="H2166" t="s">
        <v>4054</v>
      </c>
      <c r="I2166" t="s">
        <v>17</v>
      </c>
      <c r="J2166" t="s">
        <v>18</v>
      </c>
    </row>
    <row r="2167" spans="1:10" hidden="1" x14ac:dyDescent="0.25">
      <c r="A2167" t="s">
        <v>4050</v>
      </c>
      <c r="B2167" t="s">
        <v>847</v>
      </c>
      <c r="C2167" t="s">
        <v>106</v>
      </c>
      <c r="D2167" t="s">
        <v>3872</v>
      </c>
      <c r="E2167" t="str">
        <f t="shared" si="92"/>
        <v>7805326030</v>
      </c>
      <c r="F2167" t="s">
        <v>4051</v>
      </c>
      <c r="G2167" t="s">
        <v>847</v>
      </c>
      <c r="H2167" t="s">
        <v>4055</v>
      </c>
      <c r="I2167" t="s">
        <v>17</v>
      </c>
      <c r="J2167" t="s">
        <v>18</v>
      </c>
    </row>
    <row r="2168" spans="1:10" hidden="1" x14ac:dyDescent="0.25">
      <c r="A2168" t="s">
        <v>4050</v>
      </c>
      <c r="B2168" t="s">
        <v>847</v>
      </c>
      <c r="C2168" t="s">
        <v>106</v>
      </c>
      <c r="D2168" t="s">
        <v>3872</v>
      </c>
      <c r="E2168" t="str">
        <f t="shared" si="92"/>
        <v>7805326030</v>
      </c>
      <c r="F2168" t="s">
        <v>4051</v>
      </c>
      <c r="G2168" t="s">
        <v>847</v>
      </c>
      <c r="H2168" t="s">
        <v>4056</v>
      </c>
      <c r="I2168" t="s">
        <v>17</v>
      </c>
      <c r="J2168" t="s">
        <v>18</v>
      </c>
    </row>
    <row r="2169" spans="1:10" hidden="1" x14ac:dyDescent="0.25">
      <c r="A2169" t="s">
        <v>4050</v>
      </c>
      <c r="B2169" t="s">
        <v>847</v>
      </c>
      <c r="C2169" t="s">
        <v>106</v>
      </c>
      <c r="D2169" t="s">
        <v>3872</v>
      </c>
      <c r="E2169" t="str">
        <f t="shared" si="92"/>
        <v>7805326030</v>
      </c>
      <c r="F2169" t="s">
        <v>4051</v>
      </c>
      <c r="G2169" t="s">
        <v>847</v>
      </c>
      <c r="H2169" t="s">
        <v>4057</v>
      </c>
      <c r="I2169" t="s">
        <v>17</v>
      </c>
      <c r="J2169" t="s">
        <v>18</v>
      </c>
    </row>
    <row r="2170" spans="1:10" hidden="1" x14ac:dyDescent="0.25">
      <c r="A2170" t="s">
        <v>4050</v>
      </c>
      <c r="B2170" t="s">
        <v>847</v>
      </c>
      <c r="C2170" t="s">
        <v>106</v>
      </c>
      <c r="D2170" t="s">
        <v>3872</v>
      </c>
      <c r="E2170" t="str">
        <f t="shared" si="92"/>
        <v>7805326030</v>
      </c>
      <c r="F2170" t="s">
        <v>4051</v>
      </c>
      <c r="G2170" t="s">
        <v>847</v>
      </c>
      <c r="H2170" t="s">
        <v>4058</v>
      </c>
      <c r="I2170" t="s">
        <v>17</v>
      </c>
      <c r="J2170" t="s">
        <v>18</v>
      </c>
    </row>
    <row r="2171" spans="1:10" hidden="1" x14ac:dyDescent="0.25">
      <c r="A2171" t="s">
        <v>4050</v>
      </c>
      <c r="B2171" t="s">
        <v>847</v>
      </c>
      <c r="C2171" t="s">
        <v>106</v>
      </c>
      <c r="D2171" t="s">
        <v>3872</v>
      </c>
      <c r="E2171" t="str">
        <f t="shared" si="92"/>
        <v>7805326030</v>
      </c>
      <c r="F2171" t="s">
        <v>4051</v>
      </c>
      <c r="G2171" t="s">
        <v>847</v>
      </c>
      <c r="H2171" t="s">
        <v>4059</v>
      </c>
      <c r="I2171" t="s">
        <v>17</v>
      </c>
      <c r="J2171" t="s">
        <v>18</v>
      </c>
    </row>
    <row r="2172" spans="1:10" hidden="1" x14ac:dyDescent="0.25">
      <c r="A2172" t="s">
        <v>4050</v>
      </c>
      <c r="B2172" t="s">
        <v>847</v>
      </c>
      <c r="C2172" t="s">
        <v>106</v>
      </c>
      <c r="D2172" t="s">
        <v>3872</v>
      </c>
      <c r="E2172" t="str">
        <f t="shared" si="92"/>
        <v>7805326030</v>
      </c>
      <c r="F2172" t="s">
        <v>4051</v>
      </c>
      <c r="G2172" t="s">
        <v>847</v>
      </c>
      <c r="H2172" t="s">
        <v>4060</v>
      </c>
      <c r="I2172" t="s">
        <v>17</v>
      </c>
      <c r="J2172" t="s">
        <v>18</v>
      </c>
    </row>
    <row r="2173" spans="1:10" hidden="1" x14ac:dyDescent="0.25">
      <c r="A2173" t="s">
        <v>4050</v>
      </c>
      <c r="B2173" t="s">
        <v>847</v>
      </c>
      <c r="C2173" t="s">
        <v>106</v>
      </c>
      <c r="D2173" t="s">
        <v>3872</v>
      </c>
      <c r="E2173" t="str">
        <f t="shared" si="92"/>
        <v>7805326030</v>
      </c>
      <c r="F2173" t="s">
        <v>4051</v>
      </c>
      <c r="G2173" t="s">
        <v>847</v>
      </c>
      <c r="H2173" t="s">
        <v>4061</v>
      </c>
      <c r="I2173" t="s">
        <v>17</v>
      </c>
      <c r="J2173" t="s">
        <v>18</v>
      </c>
    </row>
    <row r="2174" spans="1:10" hidden="1" x14ac:dyDescent="0.25">
      <c r="A2174" t="s">
        <v>4050</v>
      </c>
      <c r="B2174" t="s">
        <v>847</v>
      </c>
      <c r="C2174" t="s">
        <v>106</v>
      </c>
      <c r="D2174" t="s">
        <v>3872</v>
      </c>
      <c r="E2174" t="str">
        <f t="shared" si="92"/>
        <v>7805326030</v>
      </c>
      <c r="F2174" t="s">
        <v>4051</v>
      </c>
      <c r="G2174" t="s">
        <v>847</v>
      </c>
      <c r="H2174" t="s">
        <v>4062</v>
      </c>
      <c r="I2174" t="s">
        <v>17</v>
      </c>
      <c r="J2174" t="s">
        <v>18</v>
      </c>
    </row>
    <row r="2175" spans="1:10" hidden="1" x14ac:dyDescent="0.25">
      <c r="A2175" t="s">
        <v>4050</v>
      </c>
      <c r="B2175" t="s">
        <v>847</v>
      </c>
      <c r="C2175" t="s">
        <v>106</v>
      </c>
      <c r="D2175" t="s">
        <v>3872</v>
      </c>
      <c r="E2175" t="str">
        <f t="shared" si="92"/>
        <v>7805326030</v>
      </c>
      <c r="F2175" t="s">
        <v>4051</v>
      </c>
      <c r="G2175" t="s">
        <v>847</v>
      </c>
      <c r="H2175" t="s">
        <v>4063</v>
      </c>
      <c r="I2175" t="s">
        <v>17</v>
      </c>
      <c r="J2175" t="s">
        <v>18</v>
      </c>
    </row>
    <row r="2176" spans="1:10" hidden="1" x14ac:dyDescent="0.25">
      <c r="A2176" t="s">
        <v>4050</v>
      </c>
      <c r="B2176" t="s">
        <v>847</v>
      </c>
      <c r="C2176" t="s">
        <v>106</v>
      </c>
      <c r="D2176" t="s">
        <v>3872</v>
      </c>
      <c r="E2176" t="str">
        <f t="shared" si="92"/>
        <v>7805326030</v>
      </c>
      <c r="F2176" t="s">
        <v>4051</v>
      </c>
      <c r="G2176" t="s">
        <v>847</v>
      </c>
      <c r="H2176" t="s">
        <v>4064</v>
      </c>
      <c r="I2176" t="s">
        <v>17</v>
      </c>
      <c r="J2176" t="s">
        <v>18</v>
      </c>
    </row>
    <row r="2177" spans="1:10" hidden="1" x14ac:dyDescent="0.25">
      <c r="A2177" t="s">
        <v>4050</v>
      </c>
      <c r="B2177" t="s">
        <v>847</v>
      </c>
      <c r="C2177" t="s">
        <v>106</v>
      </c>
      <c r="D2177" t="s">
        <v>3872</v>
      </c>
      <c r="E2177" t="str">
        <f t="shared" si="92"/>
        <v>7805326030</v>
      </c>
      <c r="F2177" t="s">
        <v>4051</v>
      </c>
      <c r="G2177" t="s">
        <v>847</v>
      </c>
      <c r="H2177" t="s">
        <v>4065</v>
      </c>
      <c r="I2177" t="s">
        <v>17</v>
      </c>
      <c r="J2177" t="s">
        <v>18</v>
      </c>
    </row>
    <row r="2178" spans="1:10" hidden="1" x14ac:dyDescent="0.25">
      <c r="A2178" t="s">
        <v>4050</v>
      </c>
      <c r="B2178" t="s">
        <v>847</v>
      </c>
      <c r="C2178" t="s">
        <v>106</v>
      </c>
      <c r="D2178" t="s">
        <v>3872</v>
      </c>
      <c r="E2178" t="str">
        <f t="shared" si="92"/>
        <v>7805326030</v>
      </c>
      <c r="F2178" t="s">
        <v>4051</v>
      </c>
      <c r="G2178" t="s">
        <v>847</v>
      </c>
      <c r="H2178" t="s">
        <v>4066</v>
      </c>
      <c r="I2178" t="s">
        <v>17</v>
      </c>
      <c r="J2178" t="s">
        <v>18</v>
      </c>
    </row>
    <row r="2179" spans="1:10" hidden="1" x14ac:dyDescent="0.25">
      <c r="A2179" t="s">
        <v>4050</v>
      </c>
      <c r="B2179" t="s">
        <v>847</v>
      </c>
      <c r="C2179" t="s">
        <v>106</v>
      </c>
      <c r="D2179" t="s">
        <v>3872</v>
      </c>
      <c r="E2179" t="str">
        <f t="shared" si="92"/>
        <v>7805326030</v>
      </c>
      <c r="F2179" t="s">
        <v>4051</v>
      </c>
      <c r="G2179" t="s">
        <v>847</v>
      </c>
      <c r="H2179" t="s">
        <v>4067</v>
      </c>
      <c r="I2179" t="s">
        <v>17</v>
      </c>
      <c r="J2179" t="s">
        <v>18</v>
      </c>
    </row>
    <row r="2180" spans="1:10" hidden="1" x14ac:dyDescent="0.25">
      <c r="A2180" t="s">
        <v>4050</v>
      </c>
      <c r="B2180" t="s">
        <v>847</v>
      </c>
      <c r="C2180" t="s">
        <v>106</v>
      </c>
      <c r="D2180" t="s">
        <v>3872</v>
      </c>
      <c r="E2180" t="str">
        <f t="shared" si="92"/>
        <v>7805326030</v>
      </c>
      <c r="F2180" t="s">
        <v>4051</v>
      </c>
      <c r="G2180" t="s">
        <v>847</v>
      </c>
      <c r="H2180" t="s">
        <v>4068</v>
      </c>
      <c r="I2180" t="s">
        <v>17</v>
      </c>
      <c r="J2180" t="s">
        <v>18</v>
      </c>
    </row>
    <row r="2181" spans="1:10" hidden="1" x14ac:dyDescent="0.25">
      <c r="A2181" t="s">
        <v>4050</v>
      </c>
      <c r="B2181" t="s">
        <v>847</v>
      </c>
      <c r="C2181" t="s">
        <v>106</v>
      </c>
      <c r="D2181" t="s">
        <v>3872</v>
      </c>
      <c r="E2181" t="str">
        <f t="shared" si="92"/>
        <v>7805326030</v>
      </c>
      <c r="F2181" t="s">
        <v>4051</v>
      </c>
      <c r="G2181" t="s">
        <v>847</v>
      </c>
      <c r="H2181" t="s">
        <v>4069</v>
      </c>
      <c r="I2181" t="s">
        <v>17</v>
      </c>
      <c r="J2181" t="s">
        <v>18</v>
      </c>
    </row>
    <row r="2182" spans="1:10" hidden="1" x14ac:dyDescent="0.25">
      <c r="A2182" t="s">
        <v>11</v>
      </c>
      <c r="B2182" t="str">
        <f>"7110/8174498994"</f>
        <v>7110/8174498994</v>
      </c>
      <c r="C2182" t="s">
        <v>106</v>
      </c>
      <c r="D2182" t="s">
        <v>3872</v>
      </c>
      <c r="E2182" t="str">
        <f>"5032260402"</f>
        <v>5032260402</v>
      </c>
      <c r="F2182" t="s">
        <v>341</v>
      </c>
      <c r="G2182" t="s">
        <v>4070</v>
      </c>
      <c r="H2182" t="s">
        <v>4071</v>
      </c>
      <c r="I2182" t="s">
        <v>17</v>
      </c>
      <c r="J2182" t="s">
        <v>18</v>
      </c>
    </row>
    <row r="2183" spans="1:10" hidden="1" x14ac:dyDescent="0.25">
      <c r="A2183" t="s">
        <v>11</v>
      </c>
      <c r="B2183" t="str">
        <f>"28371385"</f>
        <v>28371385</v>
      </c>
      <c r="C2183" t="s">
        <v>100</v>
      </c>
      <c r="D2183" t="s">
        <v>3872</v>
      </c>
      <c r="E2183" t="str">
        <f>"7721793895"</f>
        <v>7721793895</v>
      </c>
      <c r="F2183" t="s">
        <v>109</v>
      </c>
      <c r="G2183" t="s">
        <v>4072</v>
      </c>
      <c r="H2183" t="s">
        <v>4073</v>
      </c>
      <c r="I2183" t="s">
        <v>17</v>
      </c>
      <c r="J2183" t="s">
        <v>18</v>
      </c>
    </row>
    <row r="2184" spans="1:10" hidden="1" x14ac:dyDescent="0.25">
      <c r="A2184" t="s">
        <v>11</v>
      </c>
      <c r="B2184" t="str">
        <f>"04-422962"</f>
        <v>04-422962</v>
      </c>
      <c r="C2184" t="s">
        <v>49</v>
      </c>
      <c r="D2184" t="s">
        <v>3872</v>
      </c>
      <c r="E2184" t="str">
        <f>"7710668349"</f>
        <v>7710668349</v>
      </c>
      <c r="F2184" t="s">
        <v>1749</v>
      </c>
      <c r="G2184" t="s">
        <v>4074</v>
      </c>
      <c r="H2184" t="s">
        <v>4075</v>
      </c>
      <c r="I2184" t="s">
        <v>17</v>
      </c>
      <c r="J2184" t="s">
        <v>18</v>
      </c>
    </row>
    <row r="2185" spans="1:10" hidden="1" x14ac:dyDescent="0.25">
      <c r="A2185" t="s">
        <v>11</v>
      </c>
      <c r="B2185" t="str">
        <f>"SR110023803"</f>
        <v>SR110023803</v>
      </c>
      <c r="C2185" t="s">
        <v>420</v>
      </c>
      <c r="D2185" t="s">
        <v>3872</v>
      </c>
      <c r="E2185" t="str">
        <f>"4725006920"</f>
        <v>4725006920</v>
      </c>
      <c r="F2185" t="s">
        <v>101</v>
      </c>
      <c r="G2185" t="s">
        <v>4076</v>
      </c>
      <c r="H2185" t="s">
        <v>4077</v>
      </c>
      <c r="I2185" t="s">
        <v>17</v>
      </c>
      <c r="J2185" t="s">
        <v>18</v>
      </c>
    </row>
    <row r="2186" spans="1:10" hidden="1" x14ac:dyDescent="0.25">
      <c r="A2186" t="s">
        <v>11</v>
      </c>
      <c r="B2186" t="str">
        <f>"SR110023805"</f>
        <v>SR110023805</v>
      </c>
      <c r="C2186" t="s">
        <v>420</v>
      </c>
      <c r="D2186" t="s">
        <v>3872</v>
      </c>
      <c r="E2186" t="str">
        <f>"4725006920"</f>
        <v>4725006920</v>
      </c>
      <c r="F2186" t="s">
        <v>101</v>
      </c>
      <c r="G2186" t="s">
        <v>4078</v>
      </c>
      <c r="H2186" t="s">
        <v>4079</v>
      </c>
      <c r="I2186" t="s">
        <v>17</v>
      </c>
      <c r="J2186" t="s">
        <v>18</v>
      </c>
    </row>
    <row r="2187" spans="1:10" hidden="1" x14ac:dyDescent="0.25">
      <c r="A2187" t="s">
        <v>11</v>
      </c>
      <c r="B2187" t="str">
        <f>"SR110023886"</f>
        <v>SR110023886</v>
      </c>
      <c r="C2187" t="s">
        <v>420</v>
      </c>
      <c r="D2187" t="s">
        <v>3872</v>
      </c>
      <c r="E2187" t="str">
        <f>"4725006920"</f>
        <v>4725006920</v>
      </c>
      <c r="F2187" t="s">
        <v>101</v>
      </c>
      <c r="G2187" t="s">
        <v>4080</v>
      </c>
      <c r="H2187" t="s">
        <v>4081</v>
      </c>
      <c r="I2187" t="s">
        <v>17</v>
      </c>
      <c r="J2187" t="s">
        <v>18</v>
      </c>
    </row>
    <row r="2188" spans="1:10" hidden="1" x14ac:dyDescent="0.25">
      <c r="A2188" t="s">
        <v>11</v>
      </c>
      <c r="B2188" t="str">
        <f>"SR110022794"</f>
        <v>SR110022794</v>
      </c>
      <c r="C2188" t="s">
        <v>12</v>
      </c>
      <c r="D2188" t="s">
        <v>4082</v>
      </c>
      <c r="E2188" t="str">
        <f>"4725006920"</f>
        <v>4725006920</v>
      </c>
      <c r="F2188" t="s">
        <v>101</v>
      </c>
      <c r="G2188" t="s">
        <v>4083</v>
      </c>
      <c r="H2188" t="s">
        <v>4084</v>
      </c>
      <c r="I2188" t="s">
        <v>17</v>
      </c>
      <c r="J2188" t="s">
        <v>18</v>
      </c>
    </row>
    <row r="2189" spans="1:10" hidden="1" x14ac:dyDescent="0.25">
      <c r="A2189" t="s">
        <v>11</v>
      </c>
      <c r="B2189" t="str">
        <f>"SR110022792"</f>
        <v>SR110022792</v>
      </c>
      <c r="C2189" t="s">
        <v>12</v>
      </c>
      <c r="D2189" t="s">
        <v>4082</v>
      </c>
      <c r="E2189" t="str">
        <f>"4725006920"</f>
        <v>4725006920</v>
      </c>
      <c r="F2189" t="s">
        <v>101</v>
      </c>
      <c r="G2189" t="s">
        <v>4085</v>
      </c>
      <c r="H2189" t="s">
        <v>4086</v>
      </c>
      <c r="I2189" t="s">
        <v>17</v>
      </c>
      <c r="J2189" t="s">
        <v>18</v>
      </c>
    </row>
    <row r="2190" spans="1:10" x14ac:dyDescent="0.25">
      <c r="A2190" t="s">
        <v>11</v>
      </c>
      <c r="B2190" t="str">
        <f>"2023/40/03/0033310/06"</f>
        <v>2023/40/03/0033310/06</v>
      </c>
      <c r="C2190" t="s">
        <v>49</v>
      </c>
      <c r="D2190" t="s">
        <v>4082</v>
      </c>
      <c r="E2190" t="str">
        <f>"7718151150"</f>
        <v>7718151150</v>
      </c>
      <c r="F2190" t="s">
        <v>54</v>
      </c>
      <c r="G2190" t="s">
        <v>164</v>
      </c>
      <c r="H2190" t="s">
        <v>4087</v>
      </c>
      <c r="I2190" t="s">
        <v>17</v>
      </c>
      <c r="J2190" t="s">
        <v>166</v>
      </c>
    </row>
    <row r="2191" spans="1:10" hidden="1" x14ac:dyDescent="0.25">
      <c r="A2191" t="s">
        <v>11</v>
      </c>
      <c r="B2191" t="str">
        <f>"1099"</f>
        <v>1099</v>
      </c>
      <c r="C2191" t="s">
        <v>12</v>
      </c>
      <c r="D2191" t="s">
        <v>4082</v>
      </c>
      <c r="E2191" t="str">
        <f>"5310015486"</f>
        <v>5310015486</v>
      </c>
      <c r="F2191" t="s">
        <v>4088</v>
      </c>
      <c r="G2191" t="s">
        <v>4089</v>
      </c>
      <c r="H2191" t="s">
        <v>4090</v>
      </c>
      <c r="I2191" t="s">
        <v>17</v>
      </c>
      <c r="J2191" t="s">
        <v>18</v>
      </c>
    </row>
    <row r="2192" spans="1:10" hidden="1" x14ac:dyDescent="0.25">
      <c r="A2192" t="s">
        <v>11</v>
      </c>
      <c r="B2192" t="str">
        <f>"UT-106678"</f>
        <v>UT-106678</v>
      </c>
      <c r="C2192" t="s">
        <v>65</v>
      </c>
      <c r="D2192" t="s">
        <v>4082</v>
      </c>
      <c r="E2192" t="str">
        <f>"7806385951"</f>
        <v>7806385951</v>
      </c>
      <c r="F2192" t="s">
        <v>26</v>
      </c>
      <c r="G2192" t="s">
        <v>4091</v>
      </c>
      <c r="H2192" t="s">
        <v>4092</v>
      </c>
      <c r="I2192" t="s">
        <v>17</v>
      </c>
      <c r="J2192" t="s">
        <v>18</v>
      </c>
    </row>
    <row r="2193" spans="1:10" hidden="1" x14ac:dyDescent="0.25">
      <c r="A2193" t="s">
        <v>11</v>
      </c>
      <c r="B2193" t="str">
        <f>"UT-106757"</f>
        <v>UT-106757</v>
      </c>
      <c r="C2193" t="s">
        <v>65</v>
      </c>
      <c r="D2193" t="s">
        <v>4082</v>
      </c>
      <c r="E2193" t="str">
        <f>"7806385951"</f>
        <v>7806385951</v>
      </c>
      <c r="F2193" t="s">
        <v>26</v>
      </c>
      <c r="G2193" t="s">
        <v>4093</v>
      </c>
      <c r="H2193" t="s">
        <v>4094</v>
      </c>
      <c r="I2193" t="s">
        <v>17</v>
      </c>
      <c r="J2193" t="s">
        <v>18</v>
      </c>
    </row>
    <row r="2194" spans="1:10" hidden="1" x14ac:dyDescent="0.25">
      <c r="A2194" t="s">
        <v>11</v>
      </c>
      <c r="B2194" t="str">
        <f>"UT-107032"</f>
        <v>UT-107032</v>
      </c>
      <c r="C2194" t="s">
        <v>65</v>
      </c>
      <c r="D2194" t="s">
        <v>4082</v>
      </c>
      <c r="E2194" t="str">
        <f>"7806385951"</f>
        <v>7806385951</v>
      </c>
      <c r="F2194" t="s">
        <v>26</v>
      </c>
      <c r="G2194" t="s">
        <v>4095</v>
      </c>
      <c r="H2194" t="s">
        <v>4096</v>
      </c>
      <c r="I2194" t="s">
        <v>17</v>
      </c>
      <c r="J2194" t="s">
        <v>18</v>
      </c>
    </row>
    <row r="2195" spans="1:10" hidden="1" x14ac:dyDescent="0.25">
      <c r="A2195" t="s">
        <v>11</v>
      </c>
      <c r="B2195" t="str">
        <f>"МФ00-072429"</f>
        <v>МФ00-072429</v>
      </c>
      <c r="C2195" t="s">
        <v>65</v>
      </c>
      <c r="D2195" t="s">
        <v>4082</v>
      </c>
      <c r="E2195" t="str">
        <f>"6950015687"</f>
        <v>6950015687</v>
      </c>
      <c r="F2195" t="s">
        <v>3625</v>
      </c>
      <c r="G2195" t="s">
        <v>4097</v>
      </c>
      <c r="H2195" t="s">
        <v>4098</v>
      </c>
      <c r="I2195" t="s">
        <v>17</v>
      </c>
      <c r="J2195" t="s">
        <v>21</v>
      </c>
    </row>
    <row r="2196" spans="1:10" hidden="1" x14ac:dyDescent="0.25">
      <c r="A2196" t="s">
        <v>11</v>
      </c>
      <c r="B2196" t="str">
        <f>"МФ00-072431"</f>
        <v>МФ00-072431</v>
      </c>
      <c r="C2196" t="s">
        <v>65</v>
      </c>
      <c r="D2196" t="s">
        <v>4082</v>
      </c>
      <c r="E2196" t="str">
        <f>"6950015687"</f>
        <v>6950015687</v>
      </c>
      <c r="F2196" t="s">
        <v>3625</v>
      </c>
      <c r="G2196" t="s">
        <v>4099</v>
      </c>
      <c r="H2196" t="s">
        <v>4100</v>
      </c>
      <c r="I2196" t="s">
        <v>17</v>
      </c>
      <c r="J2196" t="s">
        <v>21</v>
      </c>
    </row>
    <row r="2197" spans="1:10" hidden="1" x14ac:dyDescent="0.25">
      <c r="A2197" t="s">
        <v>11</v>
      </c>
      <c r="B2197" t="str">
        <f>"МФ00-072437"</f>
        <v>МФ00-072437</v>
      </c>
      <c r="C2197" t="s">
        <v>65</v>
      </c>
      <c r="D2197" t="s">
        <v>4082</v>
      </c>
      <c r="E2197" t="str">
        <f>"6950015687"</f>
        <v>6950015687</v>
      </c>
      <c r="F2197" t="s">
        <v>3625</v>
      </c>
      <c r="G2197" t="s">
        <v>4101</v>
      </c>
      <c r="H2197" t="s">
        <v>4102</v>
      </c>
      <c r="I2197" t="s">
        <v>17</v>
      </c>
      <c r="J2197" t="s">
        <v>21</v>
      </c>
    </row>
    <row r="2198" spans="1:10" hidden="1" x14ac:dyDescent="0.25">
      <c r="A2198" t="s">
        <v>11</v>
      </c>
      <c r="B2198" t="str">
        <f>"869"</f>
        <v>869</v>
      </c>
      <c r="C2198" t="s">
        <v>49</v>
      </c>
      <c r="D2198" t="s">
        <v>4082</v>
      </c>
      <c r="E2198" t="str">
        <f>"7704340969"</f>
        <v>7704340969</v>
      </c>
      <c r="F2198" t="s">
        <v>76</v>
      </c>
      <c r="G2198" t="s">
        <v>1392</v>
      </c>
      <c r="H2198" t="s">
        <v>4103</v>
      </c>
      <c r="I2198" t="s">
        <v>17</v>
      </c>
      <c r="J2198" t="s">
        <v>18</v>
      </c>
    </row>
    <row r="2199" spans="1:10" hidden="1" x14ac:dyDescent="0.25">
      <c r="A2199" t="s">
        <v>11</v>
      </c>
      <c r="B2199" t="str">
        <f>"901"</f>
        <v>901</v>
      </c>
      <c r="C2199" t="s">
        <v>49</v>
      </c>
      <c r="D2199" t="s">
        <v>4082</v>
      </c>
      <c r="E2199" t="str">
        <f>"7704340969"</f>
        <v>7704340969</v>
      </c>
      <c r="F2199" t="s">
        <v>76</v>
      </c>
      <c r="G2199" t="s">
        <v>3149</v>
      </c>
      <c r="H2199" t="s">
        <v>4104</v>
      </c>
      <c r="I2199" t="s">
        <v>17</v>
      </c>
      <c r="J2199" t="s">
        <v>18</v>
      </c>
    </row>
    <row r="2200" spans="1:10" hidden="1" x14ac:dyDescent="0.25">
      <c r="A2200" t="s">
        <v>11</v>
      </c>
      <c r="B2200" t="str">
        <f>"928"</f>
        <v>928</v>
      </c>
      <c r="C2200" t="s">
        <v>49</v>
      </c>
      <c r="D2200" t="s">
        <v>4082</v>
      </c>
      <c r="E2200" t="str">
        <f>"7704340969"</f>
        <v>7704340969</v>
      </c>
      <c r="F2200" t="s">
        <v>76</v>
      </c>
      <c r="G2200" t="s">
        <v>3151</v>
      </c>
      <c r="H2200" t="s">
        <v>4105</v>
      </c>
      <c r="I2200" t="s">
        <v>17</v>
      </c>
      <c r="J2200" t="s">
        <v>18</v>
      </c>
    </row>
    <row r="2201" spans="1:10" hidden="1" x14ac:dyDescent="0.25">
      <c r="A2201" t="s">
        <v>11</v>
      </c>
      <c r="B2201" t="str">
        <f>"972"</f>
        <v>972</v>
      </c>
      <c r="C2201" t="s">
        <v>49</v>
      </c>
      <c r="D2201" t="s">
        <v>4082</v>
      </c>
      <c r="E2201" t="str">
        <f>"7704340969"</f>
        <v>7704340969</v>
      </c>
      <c r="F2201" t="s">
        <v>76</v>
      </c>
      <c r="G2201" t="s">
        <v>3153</v>
      </c>
      <c r="H2201" t="s">
        <v>4106</v>
      </c>
      <c r="I2201" t="s">
        <v>17</v>
      </c>
      <c r="J2201" t="s">
        <v>18</v>
      </c>
    </row>
    <row r="2202" spans="1:10" hidden="1" x14ac:dyDescent="0.25">
      <c r="A2202" t="s">
        <v>11</v>
      </c>
      <c r="B2202" t="str">
        <f>"25818"</f>
        <v>25818</v>
      </c>
      <c r="C2202" t="s">
        <v>53</v>
      </c>
      <c r="D2202" t="s">
        <v>4082</v>
      </c>
      <c r="E2202" t="str">
        <f>"7729488999"</f>
        <v>7729488999</v>
      </c>
      <c r="F2202" t="s">
        <v>85</v>
      </c>
      <c r="G2202" t="s">
        <v>4107</v>
      </c>
      <c r="H2202" t="s">
        <v>4108</v>
      </c>
      <c r="I2202" t="s">
        <v>17</v>
      </c>
      <c r="J2202" t="s">
        <v>18</v>
      </c>
    </row>
    <row r="2203" spans="1:10" hidden="1" x14ac:dyDescent="0.25">
      <c r="A2203" t="s">
        <v>11</v>
      </c>
      <c r="B2203" t="str">
        <f>"25817"</f>
        <v>25817</v>
      </c>
      <c r="C2203" t="s">
        <v>53</v>
      </c>
      <c r="D2203" t="s">
        <v>4082</v>
      </c>
      <c r="E2203" t="str">
        <f>"7729488999"</f>
        <v>7729488999</v>
      </c>
      <c r="F2203" t="s">
        <v>85</v>
      </c>
      <c r="G2203" t="s">
        <v>4109</v>
      </c>
      <c r="H2203" t="s">
        <v>4110</v>
      </c>
      <c r="I2203" t="s">
        <v>17</v>
      </c>
      <c r="J2203" t="s">
        <v>18</v>
      </c>
    </row>
    <row r="2204" spans="1:10" hidden="1" x14ac:dyDescent="0.25">
      <c r="A2204" t="s">
        <v>11</v>
      </c>
      <c r="B2204" t="str">
        <f>"175"</f>
        <v>175</v>
      </c>
      <c r="C2204" t="s">
        <v>49</v>
      </c>
      <c r="D2204" t="s">
        <v>4082</v>
      </c>
      <c r="E2204" t="str">
        <f>"7702392168"</f>
        <v>7702392168</v>
      </c>
      <c r="F2204" t="s">
        <v>97</v>
      </c>
      <c r="G2204" t="s">
        <v>4111</v>
      </c>
      <c r="H2204" t="s">
        <v>4112</v>
      </c>
      <c r="I2204" t="s">
        <v>17</v>
      </c>
      <c r="J2204" t="s">
        <v>21</v>
      </c>
    </row>
    <row r="2205" spans="1:10" hidden="1" x14ac:dyDescent="0.25">
      <c r="A2205" t="s">
        <v>11</v>
      </c>
      <c r="B2205" t="str">
        <f>"28504"</f>
        <v>28504</v>
      </c>
      <c r="C2205" t="s">
        <v>100</v>
      </c>
      <c r="D2205" t="s">
        <v>4082</v>
      </c>
      <c r="E2205" t="str">
        <f>"7729488999"</f>
        <v>7729488999</v>
      </c>
      <c r="F2205" t="s">
        <v>85</v>
      </c>
      <c r="G2205" t="s">
        <v>4113</v>
      </c>
      <c r="H2205" t="s">
        <v>4114</v>
      </c>
      <c r="I2205" t="s">
        <v>17</v>
      </c>
      <c r="J2205" t="s">
        <v>18</v>
      </c>
    </row>
    <row r="2206" spans="1:10" hidden="1" x14ac:dyDescent="0.25">
      <c r="A2206" t="s">
        <v>11</v>
      </c>
      <c r="B2206" t="str">
        <f>"11282/600F"</f>
        <v>11282/600F</v>
      </c>
      <c r="C2206" t="s">
        <v>100</v>
      </c>
      <c r="D2206" t="s">
        <v>4082</v>
      </c>
      <c r="E2206" t="str">
        <f>"5003052454"</f>
        <v>5003052454</v>
      </c>
      <c r="F2206" t="s">
        <v>14</v>
      </c>
      <c r="G2206" t="s">
        <v>4115</v>
      </c>
      <c r="H2206" t="s">
        <v>4116</v>
      </c>
      <c r="I2206" t="s">
        <v>17</v>
      </c>
      <c r="J2206" t="s">
        <v>18</v>
      </c>
    </row>
    <row r="2207" spans="1:10" hidden="1" x14ac:dyDescent="0.25">
      <c r="A2207" t="s">
        <v>11</v>
      </c>
      <c r="B2207" t="str">
        <f>"11283/600F"</f>
        <v>11283/600F</v>
      </c>
      <c r="C2207" t="s">
        <v>100</v>
      </c>
      <c r="D2207" t="s">
        <v>4082</v>
      </c>
      <c r="E2207" t="str">
        <f>"5003052454"</f>
        <v>5003052454</v>
      </c>
      <c r="F2207" t="s">
        <v>14</v>
      </c>
      <c r="G2207" t="s">
        <v>1298</v>
      </c>
      <c r="H2207" t="s">
        <v>4117</v>
      </c>
      <c r="I2207" t="s">
        <v>17</v>
      </c>
      <c r="J2207" t="s">
        <v>21</v>
      </c>
    </row>
    <row r="2208" spans="1:10" hidden="1" x14ac:dyDescent="0.25">
      <c r="A2208" t="s">
        <v>11</v>
      </c>
      <c r="B2208" t="str">
        <f>"9267/780O"</f>
        <v>9267/780O</v>
      </c>
      <c r="C2208" t="s">
        <v>100</v>
      </c>
      <c r="D2208" t="s">
        <v>4082</v>
      </c>
      <c r="E2208" t="str">
        <f>"5003052454"</f>
        <v>5003052454</v>
      </c>
      <c r="F2208" t="s">
        <v>14</v>
      </c>
      <c r="G2208" t="s">
        <v>4118</v>
      </c>
      <c r="H2208" t="s">
        <v>4119</v>
      </c>
      <c r="I2208" t="s">
        <v>17</v>
      </c>
      <c r="J2208" t="s">
        <v>21</v>
      </c>
    </row>
    <row r="2209" spans="1:10" hidden="1" x14ac:dyDescent="0.25">
      <c r="A2209" t="s">
        <v>11</v>
      </c>
      <c r="B2209" t="str">
        <f>"UT-108409"</f>
        <v>UT-108409</v>
      </c>
      <c r="C2209" t="s">
        <v>100</v>
      </c>
      <c r="D2209" t="s">
        <v>4082</v>
      </c>
      <c r="E2209" t="str">
        <f>"7806385951"</f>
        <v>7806385951</v>
      </c>
      <c r="F2209" t="s">
        <v>26</v>
      </c>
      <c r="G2209" t="s">
        <v>4120</v>
      </c>
      <c r="H2209" t="s">
        <v>4121</v>
      </c>
      <c r="I2209" t="s">
        <v>17</v>
      </c>
      <c r="J2209" t="s">
        <v>18</v>
      </c>
    </row>
    <row r="2210" spans="1:10" hidden="1" x14ac:dyDescent="0.25">
      <c r="A2210" t="s">
        <v>11</v>
      </c>
      <c r="B2210" t="str">
        <f>"UT-108266"</f>
        <v>UT-108266</v>
      </c>
      <c r="C2210" t="s">
        <v>100</v>
      </c>
      <c r="D2210" t="s">
        <v>4082</v>
      </c>
      <c r="E2210" t="str">
        <f>"7806385951"</f>
        <v>7806385951</v>
      </c>
      <c r="F2210" t="s">
        <v>26</v>
      </c>
      <c r="G2210" t="s">
        <v>4122</v>
      </c>
      <c r="H2210" t="s">
        <v>4123</v>
      </c>
      <c r="I2210" t="s">
        <v>17</v>
      </c>
      <c r="J2210" t="s">
        <v>18</v>
      </c>
    </row>
    <row r="2211" spans="1:10" hidden="1" x14ac:dyDescent="0.25">
      <c r="A2211" t="s">
        <v>11</v>
      </c>
      <c r="B2211" t="str">
        <f>"UT-108337"</f>
        <v>UT-108337</v>
      </c>
      <c r="C2211" t="s">
        <v>100</v>
      </c>
      <c r="D2211" t="s">
        <v>4082</v>
      </c>
      <c r="E2211" t="str">
        <f>"7806385951"</f>
        <v>7806385951</v>
      </c>
      <c r="F2211" t="s">
        <v>26</v>
      </c>
      <c r="G2211" t="s">
        <v>4124</v>
      </c>
      <c r="H2211" t="s">
        <v>4125</v>
      </c>
      <c r="I2211" t="s">
        <v>17</v>
      </c>
      <c r="J2211" t="s">
        <v>21</v>
      </c>
    </row>
    <row r="2212" spans="1:10" hidden="1" x14ac:dyDescent="0.25">
      <c r="A2212" t="s">
        <v>11</v>
      </c>
      <c r="B2212" t="str">
        <f>"SR110023338"</f>
        <v>SR110023338</v>
      </c>
      <c r="C2212" t="s">
        <v>100</v>
      </c>
      <c r="D2212" t="s">
        <v>4082</v>
      </c>
      <c r="E2212" t="str">
        <f>"4725006920"</f>
        <v>4725006920</v>
      </c>
      <c r="F2212" t="s">
        <v>101</v>
      </c>
      <c r="G2212" t="s">
        <v>4126</v>
      </c>
      <c r="H2212" t="s">
        <v>4127</v>
      </c>
      <c r="I2212" t="s">
        <v>17</v>
      </c>
      <c r="J2212" t="s">
        <v>18</v>
      </c>
    </row>
    <row r="2213" spans="1:10" hidden="1" x14ac:dyDescent="0.25">
      <c r="A2213" t="s">
        <v>11</v>
      </c>
      <c r="B2213" t="str">
        <f>"SR110023337"</f>
        <v>SR110023337</v>
      </c>
      <c r="C2213" t="s">
        <v>100</v>
      </c>
      <c r="D2213" t="s">
        <v>4082</v>
      </c>
      <c r="E2213" t="str">
        <f>"4725006920"</f>
        <v>4725006920</v>
      </c>
      <c r="F2213" t="s">
        <v>101</v>
      </c>
      <c r="G2213" t="s">
        <v>4128</v>
      </c>
      <c r="H2213" t="s">
        <v>4129</v>
      </c>
      <c r="I2213" t="s">
        <v>17</v>
      </c>
      <c r="J2213" t="s">
        <v>18</v>
      </c>
    </row>
    <row r="2214" spans="1:10" hidden="1" x14ac:dyDescent="0.25">
      <c r="A2214" t="s">
        <v>11</v>
      </c>
      <c r="B2214" t="str">
        <f>"13900/690E"</f>
        <v>13900/690E</v>
      </c>
      <c r="C2214" t="s">
        <v>106</v>
      </c>
      <c r="D2214" t="s">
        <v>4082</v>
      </c>
      <c r="E2214" t="str">
        <f>"5003052454"</f>
        <v>5003052454</v>
      </c>
      <c r="F2214" t="s">
        <v>14</v>
      </c>
      <c r="G2214" t="s">
        <v>1298</v>
      </c>
      <c r="H2214" t="s">
        <v>4130</v>
      </c>
      <c r="I2214" t="s">
        <v>17</v>
      </c>
      <c r="J2214" t="s">
        <v>21</v>
      </c>
    </row>
    <row r="2215" spans="1:10" hidden="1" x14ac:dyDescent="0.25">
      <c r="A2215" t="s">
        <v>11</v>
      </c>
      <c r="B2215" t="str">
        <f>"13899/690E"</f>
        <v>13899/690E</v>
      </c>
      <c r="C2215" t="s">
        <v>106</v>
      </c>
      <c r="D2215" t="s">
        <v>4082</v>
      </c>
      <c r="E2215" t="str">
        <f>"5003052454"</f>
        <v>5003052454</v>
      </c>
      <c r="F2215" t="s">
        <v>14</v>
      </c>
      <c r="G2215" t="s">
        <v>4131</v>
      </c>
      <c r="H2215" t="s">
        <v>4132</v>
      </c>
      <c r="I2215" t="s">
        <v>17</v>
      </c>
      <c r="J2215" t="s">
        <v>21</v>
      </c>
    </row>
    <row r="2216" spans="1:10" hidden="1" x14ac:dyDescent="0.25">
      <c r="A2216" t="s">
        <v>11</v>
      </c>
      <c r="B2216" t="str">
        <f>"UT-109420"</f>
        <v>UT-109420</v>
      </c>
      <c r="C2216" t="s">
        <v>106</v>
      </c>
      <c r="D2216" t="s">
        <v>4082</v>
      </c>
      <c r="E2216" t="str">
        <f>"7806385951"</f>
        <v>7806385951</v>
      </c>
      <c r="F2216" t="s">
        <v>26</v>
      </c>
      <c r="G2216" t="s">
        <v>3914</v>
      </c>
      <c r="H2216" t="s">
        <v>4133</v>
      </c>
      <c r="I2216" t="s">
        <v>17</v>
      </c>
      <c r="J2216" t="s">
        <v>21</v>
      </c>
    </row>
    <row r="2217" spans="1:10" hidden="1" x14ac:dyDescent="0.25">
      <c r="A2217" t="s">
        <v>11</v>
      </c>
      <c r="B2217" t="str">
        <f>"UT-109421"</f>
        <v>UT-109421</v>
      </c>
      <c r="C2217" t="s">
        <v>106</v>
      </c>
      <c r="D2217" t="s">
        <v>4082</v>
      </c>
      <c r="E2217" t="str">
        <f>"7806385951"</f>
        <v>7806385951</v>
      </c>
      <c r="F2217" t="s">
        <v>26</v>
      </c>
      <c r="G2217" t="s">
        <v>4134</v>
      </c>
      <c r="H2217" t="s">
        <v>4135</v>
      </c>
      <c r="I2217" t="s">
        <v>17</v>
      </c>
      <c r="J2217" t="s">
        <v>21</v>
      </c>
    </row>
    <row r="2218" spans="1:10" hidden="1" x14ac:dyDescent="0.25">
      <c r="A2218" t="s">
        <v>11</v>
      </c>
      <c r="B2218" t="str">
        <f>"UT-109537"</f>
        <v>UT-109537</v>
      </c>
      <c r="C2218" t="s">
        <v>106</v>
      </c>
      <c r="D2218" t="s">
        <v>4082</v>
      </c>
      <c r="E2218" t="str">
        <f>"7806385951"</f>
        <v>7806385951</v>
      </c>
      <c r="F2218" t="s">
        <v>26</v>
      </c>
      <c r="G2218" t="s">
        <v>4136</v>
      </c>
      <c r="H2218" t="s">
        <v>4137</v>
      </c>
      <c r="I2218" t="s">
        <v>17</v>
      </c>
      <c r="J2218" t="s">
        <v>21</v>
      </c>
    </row>
    <row r="2219" spans="1:10" hidden="1" x14ac:dyDescent="0.25">
      <c r="A2219" t="s">
        <v>11</v>
      </c>
      <c r="B2219" t="str">
        <f>"SR110023591"</f>
        <v>SR110023591</v>
      </c>
      <c r="C2219" t="s">
        <v>106</v>
      </c>
      <c r="D2219" t="s">
        <v>4082</v>
      </c>
      <c r="E2219" t="str">
        <f>"4725006920"</f>
        <v>4725006920</v>
      </c>
      <c r="F2219" t="s">
        <v>101</v>
      </c>
      <c r="G2219" t="s">
        <v>4138</v>
      </c>
      <c r="H2219" t="s">
        <v>4139</v>
      </c>
      <c r="I2219" t="s">
        <v>17</v>
      </c>
      <c r="J2219" t="s">
        <v>18</v>
      </c>
    </row>
    <row r="2220" spans="1:10" hidden="1" x14ac:dyDescent="0.25">
      <c r="A2220" t="s">
        <v>11</v>
      </c>
      <c r="B2220" t="str">
        <f>"SR110023579"</f>
        <v>SR110023579</v>
      </c>
      <c r="C2220" t="s">
        <v>106</v>
      </c>
      <c r="D2220" t="s">
        <v>4082</v>
      </c>
      <c r="E2220" t="str">
        <f>"4725006920"</f>
        <v>4725006920</v>
      </c>
      <c r="F2220" t="s">
        <v>101</v>
      </c>
      <c r="G2220" t="s">
        <v>4140</v>
      </c>
      <c r="H2220" t="s">
        <v>4141</v>
      </c>
      <c r="I2220" t="s">
        <v>17</v>
      </c>
      <c r="J2220" t="s">
        <v>18</v>
      </c>
    </row>
    <row r="2221" spans="1:10" hidden="1" x14ac:dyDescent="0.25">
      <c r="A2221" t="s">
        <v>11</v>
      </c>
      <c r="B2221" t="str">
        <f>"21069"</f>
        <v>21069</v>
      </c>
      <c r="C2221" t="s">
        <v>100</v>
      </c>
      <c r="D2221" t="s">
        <v>4082</v>
      </c>
      <c r="E2221" t="str">
        <f>"5321137912"</f>
        <v>5321137912</v>
      </c>
      <c r="F2221" t="s">
        <v>4142</v>
      </c>
      <c r="G2221" t="s">
        <v>4143</v>
      </c>
      <c r="H2221" t="s">
        <v>4144</v>
      </c>
      <c r="I2221" t="s">
        <v>17</v>
      </c>
      <c r="J2221" t="s">
        <v>18</v>
      </c>
    </row>
    <row r="2222" spans="1:10" hidden="1" x14ac:dyDescent="0.25">
      <c r="A2222" t="s">
        <v>11</v>
      </c>
      <c r="B2222" t="str">
        <f>"8633"</f>
        <v>8633</v>
      </c>
      <c r="C2222" t="s">
        <v>53</v>
      </c>
      <c r="D2222" t="s">
        <v>4145</v>
      </c>
      <c r="E2222" t="str">
        <f>"7326022010"</f>
        <v>7326022010</v>
      </c>
      <c r="F2222" t="s">
        <v>4146</v>
      </c>
      <c r="G2222" t="s">
        <v>4147</v>
      </c>
      <c r="H2222" t="s">
        <v>4148</v>
      </c>
      <c r="I2222" t="s">
        <v>17</v>
      </c>
      <c r="J2222" t="s">
        <v>21</v>
      </c>
    </row>
    <row r="2223" spans="1:10" hidden="1" x14ac:dyDescent="0.25">
      <c r="A2223" t="s">
        <v>11</v>
      </c>
      <c r="B2223" t="str">
        <f>"UT-104338"</f>
        <v>UT-104338</v>
      </c>
      <c r="C2223" t="s">
        <v>12</v>
      </c>
      <c r="D2223" t="s">
        <v>4145</v>
      </c>
      <c r="E2223" t="str">
        <f t="shared" ref="E2223:E2236" si="93">"7806385951"</f>
        <v>7806385951</v>
      </c>
      <c r="F2223" t="s">
        <v>26</v>
      </c>
      <c r="G2223" t="s">
        <v>4149</v>
      </c>
      <c r="H2223" t="s">
        <v>4150</v>
      </c>
      <c r="I2223" t="s">
        <v>17</v>
      </c>
      <c r="J2223" t="s">
        <v>18</v>
      </c>
    </row>
    <row r="2224" spans="1:10" hidden="1" x14ac:dyDescent="0.25">
      <c r="A2224" t="s">
        <v>11</v>
      </c>
      <c r="B2224" t="str">
        <f>"UT-104340"</f>
        <v>UT-104340</v>
      </c>
      <c r="C2224" t="s">
        <v>12</v>
      </c>
      <c r="D2224" t="s">
        <v>4145</v>
      </c>
      <c r="E2224" t="str">
        <f t="shared" si="93"/>
        <v>7806385951</v>
      </c>
      <c r="F2224" t="s">
        <v>26</v>
      </c>
      <c r="G2224" t="s">
        <v>4151</v>
      </c>
      <c r="H2224" t="s">
        <v>4152</v>
      </c>
      <c r="I2224" t="s">
        <v>17</v>
      </c>
      <c r="J2224" t="s">
        <v>18</v>
      </c>
    </row>
    <row r="2225" spans="1:10" hidden="1" x14ac:dyDescent="0.25">
      <c r="A2225" t="s">
        <v>11</v>
      </c>
      <c r="B2225" t="str">
        <f>"UT-104341"</f>
        <v>UT-104341</v>
      </c>
      <c r="C2225" t="s">
        <v>12</v>
      </c>
      <c r="D2225" t="s">
        <v>4145</v>
      </c>
      <c r="E2225" t="str">
        <f t="shared" si="93"/>
        <v>7806385951</v>
      </c>
      <c r="F2225" t="s">
        <v>26</v>
      </c>
      <c r="G2225" t="s">
        <v>4153</v>
      </c>
      <c r="H2225" t="s">
        <v>4154</v>
      </c>
      <c r="I2225" t="s">
        <v>17</v>
      </c>
      <c r="J2225" t="s">
        <v>18</v>
      </c>
    </row>
    <row r="2226" spans="1:10" hidden="1" x14ac:dyDescent="0.25">
      <c r="A2226" t="s">
        <v>11</v>
      </c>
      <c r="B2226" t="str">
        <f>"UT-104342"</f>
        <v>UT-104342</v>
      </c>
      <c r="C2226" t="s">
        <v>12</v>
      </c>
      <c r="D2226" t="s">
        <v>4145</v>
      </c>
      <c r="E2226" t="str">
        <f t="shared" si="93"/>
        <v>7806385951</v>
      </c>
      <c r="F2226" t="s">
        <v>26</v>
      </c>
      <c r="G2226" t="s">
        <v>4155</v>
      </c>
      <c r="H2226" t="s">
        <v>4156</v>
      </c>
      <c r="I2226" t="s">
        <v>17</v>
      </c>
      <c r="J2226" t="s">
        <v>18</v>
      </c>
    </row>
    <row r="2227" spans="1:10" hidden="1" x14ac:dyDescent="0.25">
      <c r="A2227" t="s">
        <v>11</v>
      </c>
      <c r="B2227" t="str">
        <f>"UT-104502"</f>
        <v>UT-104502</v>
      </c>
      <c r="C2227" t="s">
        <v>12</v>
      </c>
      <c r="D2227" t="s">
        <v>4145</v>
      </c>
      <c r="E2227" t="str">
        <f t="shared" si="93"/>
        <v>7806385951</v>
      </c>
      <c r="F2227" t="s">
        <v>26</v>
      </c>
      <c r="G2227" t="s">
        <v>39</v>
      </c>
      <c r="H2227" t="s">
        <v>4157</v>
      </c>
      <c r="I2227" t="s">
        <v>17</v>
      </c>
      <c r="J2227" t="s">
        <v>18</v>
      </c>
    </row>
    <row r="2228" spans="1:10" hidden="1" x14ac:dyDescent="0.25">
      <c r="A2228" t="s">
        <v>11</v>
      </c>
      <c r="B2228" t="str">
        <f>"UT-104504"</f>
        <v>UT-104504</v>
      </c>
      <c r="C2228" t="s">
        <v>12</v>
      </c>
      <c r="D2228" t="s">
        <v>4145</v>
      </c>
      <c r="E2228" t="str">
        <f t="shared" si="93"/>
        <v>7806385951</v>
      </c>
      <c r="F2228" t="s">
        <v>26</v>
      </c>
      <c r="G2228" t="s">
        <v>4158</v>
      </c>
      <c r="H2228" t="s">
        <v>4159</v>
      </c>
      <c r="I2228" t="s">
        <v>17</v>
      </c>
      <c r="J2228" t="s">
        <v>18</v>
      </c>
    </row>
    <row r="2229" spans="1:10" hidden="1" x14ac:dyDescent="0.25">
      <c r="A2229" t="s">
        <v>11</v>
      </c>
      <c r="B2229" t="str">
        <f>"UT-104508"</f>
        <v>UT-104508</v>
      </c>
      <c r="C2229" t="s">
        <v>12</v>
      </c>
      <c r="D2229" t="s">
        <v>4145</v>
      </c>
      <c r="E2229" t="str">
        <f t="shared" si="93"/>
        <v>7806385951</v>
      </c>
      <c r="F2229" t="s">
        <v>26</v>
      </c>
      <c r="G2229" t="s">
        <v>4160</v>
      </c>
      <c r="H2229" t="s">
        <v>4161</v>
      </c>
      <c r="I2229" t="s">
        <v>17</v>
      </c>
      <c r="J2229" t="s">
        <v>18</v>
      </c>
    </row>
    <row r="2230" spans="1:10" hidden="1" x14ac:dyDescent="0.25">
      <c r="A2230" t="s">
        <v>11</v>
      </c>
      <c r="B2230" t="str">
        <f>"UT-104509"</f>
        <v>UT-104509</v>
      </c>
      <c r="C2230" t="s">
        <v>12</v>
      </c>
      <c r="D2230" t="s">
        <v>4145</v>
      </c>
      <c r="E2230" t="str">
        <f t="shared" si="93"/>
        <v>7806385951</v>
      </c>
      <c r="F2230" t="s">
        <v>26</v>
      </c>
      <c r="G2230" t="s">
        <v>4162</v>
      </c>
      <c r="H2230" t="s">
        <v>4163</v>
      </c>
      <c r="I2230" t="s">
        <v>17</v>
      </c>
      <c r="J2230" t="s">
        <v>18</v>
      </c>
    </row>
    <row r="2231" spans="1:10" hidden="1" x14ac:dyDescent="0.25">
      <c r="A2231" t="s">
        <v>11</v>
      </c>
      <c r="B2231" t="str">
        <f>"UT-104892"</f>
        <v>UT-104892</v>
      </c>
      <c r="C2231" t="s">
        <v>12</v>
      </c>
      <c r="D2231" t="s">
        <v>4145</v>
      </c>
      <c r="E2231" t="str">
        <f t="shared" si="93"/>
        <v>7806385951</v>
      </c>
      <c r="F2231" t="s">
        <v>26</v>
      </c>
      <c r="G2231" t="s">
        <v>4164</v>
      </c>
      <c r="H2231" t="s">
        <v>4165</v>
      </c>
      <c r="I2231" t="s">
        <v>17</v>
      </c>
      <c r="J2231" t="s">
        <v>18</v>
      </c>
    </row>
    <row r="2232" spans="1:10" hidden="1" x14ac:dyDescent="0.25">
      <c r="A2232" t="s">
        <v>11</v>
      </c>
      <c r="B2232" t="str">
        <f>"UT-105179"</f>
        <v>UT-105179</v>
      </c>
      <c r="C2232" t="s">
        <v>12</v>
      </c>
      <c r="D2232" t="s">
        <v>4145</v>
      </c>
      <c r="E2232" t="str">
        <f t="shared" si="93"/>
        <v>7806385951</v>
      </c>
      <c r="F2232" t="s">
        <v>26</v>
      </c>
      <c r="G2232" t="s">
        <v>4166</v>
      </c>
      <c r="H2232" t="s">
        <v>4167</v>
      </c>
      <c r="I2232" t="s">
        <v>17</v>
      </c>
      <c r="J2232" t="s">
        <v>18</v>
      </c>
    </row>
    <row r="2233" spans="1:10" hidden="1" x14ac:dyDescent="0.25">
      <c r="A2233" t="s">
        <v>11</v>
      </c>
      <c r="B2233" t="str">
        <f>"UT-105180"</f>
        <v>UT-105180</v>
      </c>
      <c r="C2233" t="s">
        <v>12</v>
      </c>
      <c r="D2233" t="s">
        <v>4145</v>
      </c>
      <c r="E2233" t="str">
        <f t="shared" si="93"/>
        <v>7806385951</v>
      </c>
      <c r="F2233" t="s">
        <v>26</v>
      </c>
      <c r="G2233" t="s">
        <v>4168</v>
      </c>
      <c r="H2233" t="s">
        <v>4169</v>
      </c>
      <c r="I2233" t="s">
        <v>17</v>
      </c>
      <c r="J2233" t="s">
        <v>18</v>
      </c>
    </row>
    <row r="2234" spans="1:10" hidden="1" x14ac:dyDescent="0.25">
      <c r="A2234" t="s">
        <v>11</v>
      </c>
      <c r="B2234" t="str">
        <f>"UT-105845"</f>
        <v>UT-105845</v>
      </c>
      <c r="C2234" t="s">
        <v>12</v>
      </c>
      <c r="D2234" t="s">
        <v>4145</v>
      </c>
      <c r="E2234" t="str">
        <f t="shared" si="93"/>
        <v>7806385951</v>
      </c>
      <c r="F2234" t="s">
        <v>26</v>
      </c>
      <c r="G2234" t="s">
        <v>4170</v>
      </c>
      <c r="H2234" t="s">
        <v>4171</v>
      </c>
      <c r="I2234" t="s">
        <v>17</v>
      </c>
      <c r="J2234" t="s">
        <v>18</v>
      </c>
    </row>
    <row r="2235" spans="1:10" x14ac:dyDescent="0.25">
      <c r="A2235" t="s">
        <v>11</v>
      </c>
      <c r="B2235" t="str">
        <f>"UT-105846"</f>
        <v>UT-105846</v>
      </c>
      <c r="C2235" t="s">
        <v>12</v>
      </c>
      <c r="D2235" t="s">
        <v>4145</v>
      </c>
      <c r="E2235" t="str">
        <f t="shared" si="93"/>
        <v>7806385951</v>
      </c>
      <c r="F2235" t="s">
        <v>26</v>
      </c>
      <c r="G2235" t="s">
        <v>220</v>
      </c>
      <c r="H2235" t="s">
        <v>4172</v>
      </c>
      <c r="I2235" t="s">
        <v>17</v>
      </c>
      <c r="J2235" t="s">
        <v>166</v>
      </c>
    </row>
    <row r="2236" spans="1:10" hidden="1" x14ac:dyDescent="0.25">
      <c r="A2236" t="s">
        <v>11</v>
      </c>
      <c r="B2236" t="str">
        <f>"UT-105847"</f>
        <v>UT-105847</v>
      </c>
      <c r="C2236" t="s">
        <v>12</v>
      </c>
      <c r="D2236" t="s">
        <v>4145</v>
      </c>
      <c r="E2236" t="str">
        <f t="shared" si="93"/>
        <v>7806385951</v>
      </c>
      <c r="F2236" t="s">
        <v>26</v>
      </c>
      <c r="G2236" t="s">
        <v>4173</v>
      </c>
      <c r="H2236" t="s">
        <v>4174</v>
      </c>
      <c r="I2236" t="s">
        <v>17</v>
      </c>
      <c r="J2236" t="s">
        <v>18</v>
      </c>
    </row>
    <row r="2237" spans="1:10" hidden="1" x14ac:dyDescent="0.25">
      <c r="A2237" t="s">
        <v>11</v>
      </c>
      <c r="B2237" t="str">
        <f>"6320/8174412985"</f>
        <v>6320/8174412985</v>
      </c>
      <c r="C2237" t="s">
        <v>12</v>
      </c>
      <c r="D2237" t="s">
        <v>4145</v>
      </c>
      <c r="E2237" t="str">
        <f>"5032260402"</f>
        <v>5032260402</v>
      </c>
      <c r="F2237" t="s">
        <v>341</v>
      </c>
      <c r="G2237" t="s">
        <v>4175</v>
      </c>
      <c r="H2237" t="s">
        <v>4176</v>
      </c>
      <c r="I2237" t="s">
        <v>17</v>
      </c>
      <c r="J2237" t="s">
        <v>18</v>
      </c>
    </row>
    <row r="2238" spans="1:10" hidden="1" x14ac:dyDescent="0.25">
      <c r="A2238" t="s">
        <v>11</v>
      </c>
      <c r="B2238" t="str">
        <f>"6310/8174354315"</f>
        <v>6310/8174354315</v>
      </c>
      <c r="C2238" t="s">
        <v>12</v>
      </c>
      <c r="D2238" t="s">
        <v>4145</v>
      </c>
      <c r="E2238" t="str">
        <f>"5032260402"</f>
        <v>5032260402</v>
      </c>
      <c r="F2238" t="s">
        <v>341</v>
      </c>
      <c r="G2238" t="s">
        <v>4177</v>
      </c>
      <c r="H2238" t="s">
        <v>4178</v>
      </c>
      <c r="I2238" t="s">
        <v>17</v>
      </c>
      <c r="J2238" t="s">
        <v>18</v>
      </c>
    </row>
    <row r="2239" spans="1:10" hidden="1" x14ac:dyDescent="0.25">
      <c r="A2239" t="s">
        <v>11</v>
      </c>
      <c r="B2239" t="str">
        <f>"4-10093"</f>
        <v>4-10093</v>
      </c>
      <c r="C2239" t="s">
        <v>12</v>
      </c>
      <c r="D2239" t="s">
        <v>4145</v>
      </c>
      <c r="E2239" t="str">
        <f>"6321153218"</f>
        <v>6321153218</v>
      </c>
      <c r="F2239" t="s">
        <v>4179</v>
      </c>
      <c r="G2239" t="s">
        <v>4180</v>
      </c>
      <c r="H2239" t="s">
        <v>4181</v>
      </c>
      <c r="I2239" t="s">
        <v>17</v>
      </c>
      <c r="J2239" t="s">
        <v>18</v>
      </c>
    </row>
    <row r="2240" spans="1:10" hidden="1" x14ac:dyDescent="0.25">
      <c r="A2240" t="s">
        <v>11</v>
      </c>
      <c r="B2240" t="str">
        <f>"4-10059"</f>
        <v>4-10059</v>
      </c>
      <c r="C2240" t="s">
        <v>12</v>
      </c>
      <c r="D2240" t="s">
        <v>4145</v>
      </c>
      <c r="E2240" t="str">
        <f>"6321153218"</f>
        <v>6321153218</v>
      </c>
      <c r="F2240" t="s">
        <v>4179</v>
      </c>
      <c r="G2240" t="s">
        <v>4182</v>
      </c>
      <c r="H2240" t="s">
        <v>4183</v>
      </c>
      <c r="I2240" t="s">
        <v>17</v>
      </c>
      <c r="J2240" t="s">
        <v>18</v>
      </c>
    </row>
    <row r="2241" spans="1:10" hidden="1" x14ac:dyDescent="0.25">
      <c r="A2241" t="s">
        <v>11</v>
      </c>
      <c r="B2241" t="str">
        <f>"4-10289"</f>
        <v>4-10289</v>
      </c>
      <c r="C2241" t="s">
        <v>65</v>
      </c>
      <c r="D2241" t="s">
        <v>4145</v>
      </c>
      <c r="E2241" t="str">
        <f>"6321153218"</f>
        <v>6321153218</v>
      </c>
      <c r="F2241" t="s">
        <v>4179</v>
      </c>
      <c r="G2241" t="s">
        <v>4184</v>
      </c>
      <c r="H2241" t="s">
        <v>4185</v>
      </c>
      <c r="I2241" t="s">
        <v>17</v>
      </c>
      <c r="J2241" t="s">
        <v>18</v>
      </c>
    </row>
    <row r="2242" spans="1:10" hidden="1" x14ac:dyDescent="0.25">
      <c r="A2242" t="s">
        <v>11</v>
      </c>
      <c r="B2242" t="str">
        <f>"4-10285"</f>
        <v>4-10285</v>
      </c>
      <c r="C2242" t="s">
        <v>65</v>
      </c>
      <c r="D2242" t="s">
        <v>4145</v>
      </c>
      <c r="E2242" t="str">
        <f>"6321153218"</f>
        <v>6321153218</v>
      </c>
      <c r="F2242" t="s">
        <v>4179</v>
      </c>
      <c r="G2242" t="s">
        <v>4186</v>
      </c>
      <c r="H2242" t="s">
        <v>4187</v>
      </c>
      <c r="I2242" t="s">
        <v>17</v>
      </c>
      <c r="J2242" t="s">
        <v>18</v>
      </c>
    </row>
    <row r="2243" spans="1:10" hidden="1" x14ac:dyDescent="0.25">
      <c r="A2243" t="s">
        <v>11</v>
      </c>
      <c r="B2243" t="str">
        <f>"22932/930E"</f>
        <v>22932/930E</v>
      </c>
      <c r="C2243" t="s">
        <v>65</v>
      </c>
      <c r="D2243" t="s">
        <v>4145</v>
      </c>
      <c r="E2243" t="str">
        <f>"5003052454"</f>
        <v>5003052454</v>
      </c>
      <c r="F2243" t="s">
        <v>14</v>
      </c>
      <c r="G2243" t="s">
        <v>4188</v>
      </c>
      <c r="H2243" t="s">
        <v>4189</v>
      </c>
      <c r="I2243" t="s">
        <v>17</v>
      </c>
      <c r="J2243" t="s">
        <v>18</v>
      </c>
    </row>
    <row r="2244" spans="1:10" hidden="1" x14ac:dyDescent="0.25">
      <c r="A2244" t="s">
        <v>11</v>
      </c>
      <c r="B2244" t="str">
        <f>"22931/930E"</f>
        <v>22931/930E</v>
      </c>
      <c r="C2244" t="s">
        <v>65</v>
      </c>
      <c r="D2244" t="s">
        <v>4145</v>
      </c>
      <c r="E2244" t="str">
        <f>"5003052454"</f>
        <v>5003052454</v>
      </c>
      <c r="F2244" t="s">
        <v>14</v>
      </c>
      <c r="G2244" t="s">
        <v>4190</v>
      </c>
      <c r="H2244" t="s">
        <v>4191</v>
      </c>
      <c r="I2244" t="s">
        <v>17</v>
      </c>
      <c r="J2244" t="s">
        <v>18</v>
      </c>
    </row>
    <row r="2245" spans="1:10" hidden="1" x14ac:dyDescent="0.25">
      <c r="A2245" t="s">
        <v>11</v>
      </c>
      <c r="B2245" t="str">
        <f>"22934/930E"</f>
        <v>22934/930E</v>
      </c>
      <c r="C2245" t="s">
        <v>65</v>
      </c>
      <c r="D2245" t="s">
        <v>4145</v>
      </c>
      <c r="E2245" t="str">
        <f>"5003052454"</f>
        <v>5003052454</v>
      </c>
      <c r="F2245" t="s">
        <v>14</v>
      </c>
      <c r="G2245" t="s">
        <v>4192</v>
      </c>
      <c r="H2245" t="s">
        <v>4193</v>
      </c>
      <c r="I2245" t="s">
        <v>17</v>
      </c>
      <c r="J2245" t="s">
        <v>18</v>
      </c>
    </row>
    <row r="2246" spans="1:10" hidden="1" x14ac:dyDescent="0.25">
      <c r="A2246" t="s">
        <v>11</v>
      </c>
      <c r="B2246" t="str">
        <f>"22933/930E"</f>
        <v>22933/930E</v>
      </c>
      <c r="C2246" t="s">
        <v>65</v>
      </c>
      <c r="D2246" t="s">
        <v>4145</v>
      </c>
      <c r="E2246" t="str">
        <f>"5003052454"</f>
        <v>5003052454</v>
      </c>
      <c r="F2246" t="s">
        <v>14</v>
      </c>
      <c r="G2246" t="s">
        <v>4194</v>
      </c>
      <c r="H2246" t="s">
        <v>4195</v>
      </c>
      <c r="I2246" t="s">
        <v>17</v>
      </c>
      <c r="J2246" t="s">
        <v>18</v>
      </c>
    </row>
    <row r="2247" spans="1:10" hidden="1" x14ac:dyDescent="0.25">
      <c r="A2247" t="s">
        <v>11</v>
      </c>
      <c r="B2247" t="str">
        <f>"848"</f>
        <v>848</v>
      </c>
      <c r="C2247" t="s">
        <v>49</v>
      </c>
      <c r="D2247" t="s">
        <v>4145</v>
      </c>
      <c r="E2247" t="str">
        <f>"7704340969"</f>
        <v>7704340969</v>
      </c>
      <c r="F2247" t="s">
        <v>76</v>
      </c>
      <c r="G2247" t="s">
        <v>242</v>
      </c>
      <c r="H2247" t="s">
        <v>4196</v>
      </c>
      <c r="I2247" t="s">
        <v>17</v>
      </c>
      <c r="J2247" t="s">
        <v>18</v>
      </c>
    </row>
    <row r="2248" spans="1:10" hidden="1" x14ac:dyDescent="0.25">
      <c r="A2248" t="s">
        <v>11</v>
      </c>
      <c r="B2248" t="str">
        <f>"887"</f>
        <v>887</v>
      </c>
      <c r="C2248" t="s">
        <v>49</v>
      </c>
      <c r="D2248" t="s">
        <v>4145</v>
      </c>
      <c r="E2248" t="str">
        <f>"7704340969"</f>
        <v>7704340969</v>
      </c>
      <c r="F2248" t="s">
        <v>76</v>
      </c>
      <c r="G2248" t="s">
        <v>244</v>
      </c>
      <c r="H2248" t="s">
        <v>4197</v>
      </c>
      <c r="I2248" t="s">
        <v>17</v>
      </c>
      <c r="J2248" t="s">
        <v>18</v>
      </c>
    </row>
    <row r="2249" spans="1:10" hidden="1" x14ac:dyDescent="0.25">
      <c r="A2249" t="s">
        <v>11</v>
      </c>
      <c r="B2249" t="str">
        <f>"913"</f>
        <v>913</v>
      </c>
      <c r="C2249" t="s">
        <v>49</v>
      </c>
      <c r="D2249" t="s">
        <v>4145</v>
      </c>
      <c r="E2249" t="str">
        <f>"7704340969"</f>
        <v>7704340969</v>
      </c>
      <c r="F2249" t="s">
        <v>76</v>
      </c>
      <c r="G2249" t="s">
        <v>246</v>
      </c>
      <c r="H2249" t="s">
        <v>4198</v>
      </c>
      <c r="I2249" t="s">
        <v>17</v>
      </c>
      <c r="J2249" t="s">
        <v>18</v>
      </c>
    </row>
    <row r="2250" spans="1:10" hidden="1" x14ac:dyDescent="0.25">
      <c r="A2250" t="s">
        <v>11</v>
      </c>
      <c r="B2250" t="str">
        <f>"956"</f>
        <v>956</v>
      </c>
      <c r="C2250" t="s">
        <v>49</v>
      </c>
      <c r="D2250" t="s">
        <v>4145</v>
      </c>
      <c r="E2250" t="str">
        <f>"7704340969"</f>
        <v>7704340969</v>
      </c>
      <c r="F2250" t="s">
        <v>76</v>
      </c>
      <c r="G2250" t="s">
        <v>248</v>
      </c>
      <c r="H2250" t="s">
        <v>4199</v>
      </c>
      <c r="I2250" t="s">
        <v>17</v>
      </c>
      <c r="J2250" t="s">
        <v>18</v>
      </c>
    </row>
    <row r="2251" spans="1:10" hidden="1" x14ac:dyDescent="0.25">
      <c r="A2251" t="s">
        <v>11</v>
      </c>
      <c r="B2251" t="str">
        <f>"6310/8174424259"</f>
        <v>6310/8174424259</v>
      </c>
      <c r="C2251" t="s">
        <v>65</v>
      </c>
      <c r="D2251" t="s">
        <v>4145</v>
      </c>
      <c r="E2251" t="str">
        <f>"5032260402"</f>
        <v>5032260402</v>
      </c>
      <c r="F2251" t="s">
        <v>341</v>
      </c>
      <c r="G2251" t="s">
        <v>4200</v>
      </c>
      <c r="H2251" t="s">
        <v>4201</v>
      </c>
      <c r="I2251" t="s">
        <v>17</v>
      </c>
      <c r="J2251" t="s">
        <v>18</v>
      </c>
    </row>
    <row r="2252" spans="1:10" hidden="1" x14ac:dyDescent="0.25">
      <c r="A2252" t="s">
        <v>11</v>
      </c>
      <c r="B2252" t="str">
        <f>"4-10448"</f>
        <v>4-10448</v>
      </c>
      <c r="C2252" t="s">
        <v>100</v>
      </c>
      <c r="D2252" t="s">
        <v>4145</v>
      </c>
      <c r="E2252" t="str">
        <f>"6321153218"</f>
        <v>6321153218</v>
      </c>
      <c r="F2252" t="s">
        <v>4179</v>
      </c>
      <c r="G2252" t="s">
        <v>4202</v>
      </c>
      <c r="H2252" t="s">
        <v>4203</v>
      </c>
      <c r="I2252" t="s">
        <v>17</v>
      </c>
      <c r="J2252" t="s">
        <v>18</v>
      </c>
    </row>
    <row r="2253" spans="1:10" hidden="1" x14ac:dyDescent="0.25">
      <c r="A2253" t="s">
        <v>11</v>
      </c>
      <c r="B2253" t="str">
        <f>"176"</f>
        <v>176</v>
      </c>
      <c r="C2253" t="s">
        <v>49</v>
      </c>
      <c r="D2253" t="s">
        <v>4145</v>
      </c>
      <c r="E2253" t="str">
        <f>"7702392168"</f>
        <v>7702392168</v>
      </c>
      <c r="F2253" t="s">
        <v>97</v>
      </c>
      <c r="G2253" t="s">
        <v>4204</v>
      </c>
      <c r="H2253" t="s">
        <v>4205</v>
      </c>
      <c r="I2253" t="s">
        <v>17</v>
      </c>
      <c r="J2253" t="s">
        <v>18</v>
      </c>
    </row>
    <row r="2254" spans="1:10" hidden="1" x14ac:dyDescent="0.25">
      <c r="A2254" t="s">
        <v>11</v>
      </c>
      <c r="B2254" t="str">
        <f>"31698/630E"</f>
        <v>31698/630E</v>
      </c>
      <c r="C2254" t="s">
        <v>100</v>
      </c>
      <c r="D2254" t="s">
        <v>4145</v>
      </c>
      <c r="E2254" t="str">
        <f>"5003052454"</f>
        <v>5003052454</v>
      </c>
      <c r="F2254" t="s">
        <v>14</v>
      </c>
      <c r="G2254" t="s">
        <v>4206</v>
      </c>
      <c r="H2254" t="s">
        <v>4207</v>
      </c>
      <c r="I2254" t="s">
        <v>17</v>
      </c>
      <c r="J2254" t="s">
        <v>18</v>
      </c>
    </row>
    <row r="2255" spans="1:10" hidden="1" x14ac:dyDescent="0.25">
      <c r="A2255" t="s">
        <v>11</v>
      </c>
      <c r="B2255" t="str">
        <f>"31699/630E"</f>
        <v>31699/630E</v>
      </c>
      <c r="C2255" t="s">
        <v>100</v>
      </c>
      <c r="D2255" t="s">
        <v>4145</v>
      </c>
      <c r="E2255" t="str">
        <f>"5003052454"</f>
        <v>5003052454</v>
      </c>
      <c r="F2255" t="s">
        <v>14</v>
      </c>
      <c r="G2255" t="s">
        <v>206</v>
      </c>
      <c r="H2255" t="s">
        <v>4208</v>
      </c>
      <c r="I2255" t="s">
        <v>17</v>
      </c>
      <c r="J2255" t="s">
        <v>18</v>
      </c>
    </row>
    <row r="2256" spans="1:10" hidden="1" x14ac:dyDescent="0.25">
      <c r="A2256" t="s">
        <v>11</v>
      </c>
      <c r="B2256" t="str">
        <f>"31786/630E"</f>
        <v>31786/630E</v>
      </c>
      <c r="C2256" t="s">
        <v>100</v>
      </c>
      <c r="D2256" t="s">
        <v>4145</v>
      </c>
      <c r="E2256" t="str">
        <f>"5003052454"</f>
        <v>5003052454</v>
      </c>
      <c r="F2256" t="s">
        <v>14</v>
      </c>
      <c r="G2256" t="s">
        <v>4209</v>
      </c>
      <c r="H2256" t="s">
        <v>4210</v>
      </c>
      <c r="I2256" t="s">
        <v>17</v>
      </c>
      <c r="J2256" t="s">
        <v>18</v>
      </c>
    </row>
    <row r="2257" spans="1:10" hidden="1" x14ac:dyDescent="0.25">
      <c r="A2257" t="s">
        <v>11</v>
      </c>
      <c r="B2257" t="str">
        <f>"31787/630E"</f>
        <v>31787/630E</v>
      </c>
      <c r="C2257" t="s">
        <v>100</v>
      </c>
      <c r="D2257" t="s">
        <v>4145</v>
      </c>
      <c r="E2257" t="str">
        <f>"5003052454"</f>
        <v>5003052454</v>
      </c>
      <c r="F2257" t="s">
        <v>14</v>
      </c>
      <c r="G2257" t="s">
        <v>4211</v>
      </c>
      <c r="H2257" t="s">
        <v>4212</v>
      </c>
      <c r="I2257" t="s">
        <v>17</v>
      </c>
      <c r="J2257" t="s">
        <v>18</v>
      </c>
    </row>
    <row r="2258" spans="1:10" x14ac:dyDescent="0.25">
      <c r="A2258" t="s">
        <v>290</v>
      </c>
      <c r="B2258" t="str">
        <f>"1800000742"</f>
        <v>1800000742</v>
      </c>
      <c r="C2258" t="s">
        <v>100</v>
      </c>
      <c r="D2258" t="s">
        <v>4145</v>
      </c>
      <c r="E2258" t="str">
        <f>"5032260402"</f>
        <v>5032260402</v>
      </c>
      <c r="F2258" t="s">
        <v>341</v>
      </c>
      <c r="G2258" t="s">
        <v>847</v>
      </c>
      <c r="H2258" t="s">
        <v>4213</v>
      </c>
      <c r="I2258" t="s">
        <v>17</v>
      </c>
      <c r="J2258" t="s">
        <v>166</v>
      </c>
    </row>
    <row r="2259" spans="1:10" hidden="1" x14ac:dyDescent="0.25">
      <c r="A2259" t="s">
        <v>11</v>
      </c>
      <c r="B2259" t="str">
        <f>"9105"</f>
        <v>9105</v>
      </c>
      <c r="C2259" t="s">
        <v>100</v>
      </c>
      <c r="D2259" t="s">
        <v>4145</v>
      </c>
      <c r="E2259" t="str">
        <f>"7326022010"</f>
        <v>7326022010</v>
      </c>
      <c r="F2259" t="s">
        <v>4146</v>
      </c>
      <c r="G2259" t="s">
        <v>4214</v>
      </c>
      <c r="H2259" t="s">
        <v>4215</v>
      </c>
      <c r="I2259" t="s">
        <v>17</v>
      </c>
      <c r="J2259" t="s">
        <v>18</v>
      </c>
    </row>
    <row r="2260" spans="1:10" hidden="1" x14ac:dyDescent="0.25">
      <c r="A2260" t="s">
        <v>11</v>
      </c>
      <c r="B2260" t="str">
        <f>"4-10645"</f>
        <v>4-10645</v>
      </c>
      <c r="C2260" t="s">
        <v>106</v>
      </c>
      <c r="D2260" t="s">
        <v>4145</v>
      </c>
      <c r="E2260" t="str">
        <f>"6321153218"</f>
        <v>6321153218</v>
      </c>
      <c r="F2260" t="s">
        <v>4179</v>
      </c>
      <c r="G2260" t="s">
        <v>4216</v>
      </c>
      <c r="H2260" t="s">
        <v>4217</v>
      </c>
      <c r="I2260" t="s">
        <v>17</v>
      </c>
      <c r="J2260" t="s">
        <v>18</v>
      </c>
    </row>
    <row r="2261" spans="1:10" hidden="1" x14ac:dyDescent="0.25">
      <c r="A2261" t="s">
        <v>11</v>
      </c>
      <c r="B2261" t="str">
        <f>"4-10624"</f>
        <v>4-10624</v>
      </c>
      <c r="C2261" t="s">
        <v>106</v>
      </c>
      <c r="D2261" t="s">
        <v>4145</v>
      </c>
      <c r="E2261" t="str">
        <f>"6321153218"</f>
        <v>6321153218</v>
      </c>
      <c r="F2261" t="s">
        <v>4179</v>
      </c>
      <c r="G2261" t="s">
        <v>4218</v>
      </c>
      <c r="H2261" t="s">
        <v>4219</v>
      </c>
      <c r="I2261" t="s">
        <v>17</v>
      </c>
      <c r="J2261" t="s">
        <v>18</v>
      </c>
    </row>
    <row r="2262" spans="1:10" hidden="1" x14ac:dyDescent="0.25">
      <c r="A2262" t="s">
        <v>11</v>
      </c>
      <c r="B2262" t="str">
        <f>"4-10614"</f>
        <v>4-10614</v>
      </c>
      <c r="C2262" t="s">
        <v>106</v>
      </c>
      <c r="D2262" t="s">
        <v>4145</v>
      </c>
      <c r="E2262" t="str">
        <f>"6321153218"</f>
        <v>6321153218</v>
      </c>
      <c r="F2262" t="s">
        <v>4179</v>
      </c>
      <c r="G2262" t="s">
        <v>4220</v>
      </c>
      <c r="H2262" t="s">
        <v>4221</v>
      </c>
      <c r="I2262" t="s">
        <v>17</v>
      </c>
      <c r="J2262" t="s">
        <v>18</v>
      </c>
    </row>
    <row r="2263" spans="1:10" hidden="1" x14ac:dyDescent="0.25">
      <c r="A2263" t="s">
        <v>11</v>
      </c>
      <c r="B2263" t="str">
        <f>"1130"</f>
        <v>1130</v>
      </c>
      <c r="C2263" t="s">
        <v>100</v>
      </c>
      <c r="D2263" t="s">
        <v>4145</v>
      </c>
      <c r="E2263" t="str">
        <f>"9729019493"</f>
        <v>9729019493</v>
      </c>
      <c r="F2263" t="s">
        <v>560</v>
      </c>
      <c r="G2263" t="s">
        <v>4222</v>
      </c>
      <c r="H2263" t="s">
        <v>4223</v>
      </c>
      <c r="I2263" t="s">
        <v>17</v>
      </c>
      <c r="J2263" t="s">
        <v>21</v>
      </c>
    </row>
    <row r="2264" spans="1:10" hidden="1" x14ac:dyDescent="0.25">
      <c r="A2264" t="s">
        <v>11</v>
      </c>
      <c r="B2264" t="str">
        <f>"4-10844"</f>
        <v>4-10844</v>
      </c>
      <c r="C2264" t="s">
        <v>1173</v>
      </c>
      <c r="D2264" t="s">
        <v>4145</v>
      </c>
      <c r="E2264" t="str">
        <f>"6321153218"</f>
        <v>6321153218</v>
      </c>
      <c r="F2264" t="s">
        <v>4179</v>
      </c>
      <c r="G2264" t="s">
        <v>4224</v>
      </c>
      <c r="H2264" t="s">
        <v>4225</v>
      </c>
      <c r="I2264" t="s">
        <v>17</v>
      </c>
      <c r="J2264" t="s">
        <v>18</v>
      </c>
    </row>
    <row r="2265" spans="1:10" hidden="1" x14ac:dyDescent="0.25">
      <c r="A2265" t="s">
        <v>11</v>
      </c>
      <c r="B2265" t="str">
        <f>"4-10827"</f>
        <v>4-10827</v>
      </c>
      <c r="C2265" t="s">
        <v>1173</v>
      </c>
      <c r="D2265" t="s">
        <v>4145</v>
      </c>
      <c r="E2265" t="str">
        <f>"6321153218"</f>
        <v>6321153218</v>
      </c>
      <c r="F2265" t="s">
        <v>4179</v>
      </c>
      <c r="G2265" t="s">
        <v>4202</v>
      </c>
      <c r="H2265" t="s">
        <v>4226</v>
      </c>
      <c r="I2265" t="s">
        <v>17</v>
      </c>
      <c r="J2265" t="s">
        <v>18</v>
      </c>
    </row>
    <row r="2266" spans="1:10" hidden="1" x14ac:dyDescent="0.25">
      <c r="A2266" t="s">
        <v>11</v>
      </c>
      <c r="B2266" t="str">
        <f>"ГОДМ0501/13"</f>
        <v>ГОДМ0501/13</v>
      </c>
      <c r="C2266" t="s">
        <v>53</v>
      </c>
      <c r="D2266" t="s">
        <v>4227</v>
      </c>
      <c r="E2266" t="str">
        <f>"7735126034"</f>
        <v>7735126034</v>
      </c>
      <c r="F2266" t="s">
        <v>131</v>
      </c>
      <c r="G2266" t="s">
        <v>4228</v>
      </c>
      <c r="H2266" t="s">
        <v>4229</v>
      </c>
      <c r="I2266" t="s">
        <v>17</v>
      </c>
      <c r="J2266" t="s">
        <v>18</v>
      </c>
    </row>
    <row r="2267" spans="1:10" hidden="1" x14ac:dyDescent="0.25">
      <c r="A2267" t="s">
        <v>11</v>
      </c>
      <c r="B2267" t="str">
        <f>"3410/8174346396"</f>
        <v>3410/8174346396</v>
      </c>
      <c r="C2267" t="s">
        <v>12</v>
      </c>
      <c r="D2267" t="s">
        <v>4227</v>
      </c>
      <c r="E2267" t="str">
        <f>"5032260402"</f>
        <v>5032260402</v>
      </c>
      <c r="F2267" t="s">
        <v>341</v>
      </c>
      <c r="G2267" t="s">
        <v>4230</v>
      </c>
      <c r="H2267" t="s">
        <v>4231</v>
      </c>
      <c r="I2267" t="s">
        <v>17</v>
      </c>
      <c r="J2267" t="s">
        <v>18</v>
      </c>
    </row>
    <row r="2268" spans="1:10" hidden="1" x14ac:dyDescent="0.25">
      <c r="A2268" t="s">
        <v>11</v>
      </c>
      <c r="B2268" t="str">
        <f>"9429/340P"</f>
        <v>9429/340P</v>
      </c>
      <c r="C2268" t="s">
        <v>65</v>
      </c>
      <c r="D2268" t="s">
        <v>4227</v>
      </c>
      <c r="E2268" t="str">
        <f t="shared" ref="E2268:E2273" si="94">"5003052454"</f>
        <v>5003052454</v>
      </c>
      <c r="F2268" t="s">
        <v>14</v>
      </c>
      <c r="G2268" t="s">
        <v>4232</v>
      </c>
      <c r="H2268" t="s">
        <v>4233</v>
      </c>
      <c r="I2268" t="s">
        <v>17</v>
      </c>
      <c r="J2268" t="s">
        <v>18</v>
      </c>
    </row>
    <row r="2269" spans="1:10" hidden="1" x14ac:dyDescent="0.25">
      <c r="A2269" t="s">
        <v>11</v>
      </c>
      <c r="B2269" t="str">
        <f>"9430/340P"</f>
        <v>9430/340P</v>
      </c>
      <c r="C2269" t="s">
        <v>65</v>
      </c>
      <c r="D2269" t="s">
        <v>4227</v>
      </c>
      <c r="E2269" t="str">
        <f t="shared" si="94"/>
        <v>5003052454</v>
      </c>
      <c r="F2269" t="s">
        <v>14</v>
      </c>
      <c r="G2269" t="s">
        <v>4234</v>
      </c>
      <c r="H2269" t="s">
        <v>4235</v>
      </c>
      <c r="I2269" t="s">
        <v>17</v>
      </c>
      <c r="J2269" t="s">
        <v>18</v>
      </c>
    </row>
    <row r="2270" spans="1:10" hidden="1" x14ac:dyDescent="0.25">
      <c r="A2270" t="s">
        <v>11</v>
      </c>
      <c r="B2270" t="str">
        <f>"32628/340E"</f>
        <v>32628/340E</v>
      </c>
      <c r="C2270" t="s">
        <v>65</v>
      </c>
      <c r="D2270" t="s">
        <v>4227</v>
      </c>
      <c r="E2270" t="str">
        <f t="shared" si="94"/>
        <v>5003052454</v>
      </c>
      <c r="F2270" t="s">
        <v>14</v>
      </c>
      <c r="G2270" t="s">
        <v>4236</v>
      </c>
      <c r="H2270" t="s">
        <v>4237</v>
      </c>
      <c r="I2270" t="s">
        <v>17</v>
      </c>
      <c r="J2270" t="s">
        <v>18</v>
      </c>
    </row>
    <row r="2271" spans="1:10" hidden="1" x14ac:dyDescent="0.25">
      <c r="A2271" t="s">
        <v>11</v>
      </c>
      <c r="B2271" t="str">
        <f>"32629/340E"</f>
        <v>32629/340E</v>
      </c>
      <c r="C2271" t="s">
        <v>65</v>
      </c>
      <c r="D2271" t="s">
        <v>4227</v>
      </c>
      <c r="E2271" t="str">
        <f t="shared" si="94"/>
        <v>5003052454</v>
      </c>
      <c r="F2271" t="s">
        <v>14</v>
      </c>
      <c r="G2271" t="s">
        <v>4238</v>
      </c>
      <c r="H2271" t="s">
        <v>4239</v>
      </c>
      <c r="I2271" t="s">
        <v>17</v>
      </c>
      <c r="J2271" t="s">
        <v>18</v>
      </c>
    </row>
    <row r="2272" spans="1:10" hidden="1" x14ac:dyDescent="0.25">
      <c r="A2272" t="s">
        <v>11</v>
      </c>
      <c r="B2272" t="str">
        <f>"32631/340E"</f>
        <v>32631/340E</v>
      </c>
      <c r="C2272" t="s">
        <v>65</v>
      </c>
      <c r="D2272" t="s">
        <v>4227</v>
      </c>
      <c r="E2272" t="str">
        <f t="shared" si="94"/>
        <v>5003052454</v>
      </c>
      <c r="F2272" t="s">
        <v>14</v>
      </c>
      <c r="G2272" t="s">
        <v>4240</v>
      </c>
      <c r="H2272" t="s">
        <v>4241</v>
      </c>
      <c r="I2272" t="s">
        <v>17</v>
      </c>
      <c r="J2272" t="s">
        <v>18</v>
      </c>
    </row>
    <row r="2273" spans="1:10" hidden="1" x14ac:dyDescent="0.25">
      <c r="A2273" t="s">
        <v>11</v>
      </c>
      <c r="B2273" t="str">
        <f>"32630/340E"</f>
        <v>32630/340E</v>
      </c>
      <c r="C2273" t="s">
        <v>65</v>
      </c>
      <c r="D2273" t="s">
        <v>4227</v>
      </c>
      <c r="E2273" t="str">
        <f t="shared" si="94"/>
        <v>5003052454</v>
      </c>
      <c r="F2273" t="s">
        <v>14</v>
      </c>
      <c r="G2273" t="s">
        <v>4242</v>
      </c>
      <c r="H2273" t="s">
        <v>4243</v>
      </c>
      <c r="I2273" t="s">
        <v>17</v>
      </c>
      <c r="J2273" t="s">
        <v>18</v>
      </c>
    </row>
    <row r="2274" spans="1:10" hidden="1" x14ac:dyDescent="0.25">
      <c r="A2274" t="s">
        <v>11</v>
      </c>
      <c r="B2274" t="str">
        <f>"3410/8174412533"</f>
        <v>3410/8174412533</v>
      </c>
      <c r="C2274" t="s">
        <v>65</v>
      </c>
      <c r="D2274" t="s">
        <v>4227</v>
      </c>
      <c r="E2274" t="str">
        <f>"5032260402"</f>
        <v>5032260402</v>
      </c>
      <c r="F2274" t="s">
        <v>341</v>
      </c>
      <c r="G2274" t="s">
        <v>4244</v>
      </c>
      <c r="H2274" t="s">
        <v>4245</v>
      </c>
      <c r="I2274" t="s">
        <v>17</v>
      </c>
      <c r="J2274" t="s">
        <v>18</v>
      </c>
    </row>
    <row r="2275" spans="1:10" hidden="1" x14ac:dyDescent="0.25">
      <c r="A2275" t="s">
        <v>11</v>
      </c>
      <c r="B2275" t="str">
        <f>"876"</f>
        <v>876</v>
      </c>
      <c r="C2275" t="s">
        <v>49</v>
      </c>
      <c r="D2275" t="s">
        <v>4227</v>
      </c>
      <c r="E2275" t="str">
        <f>"7704340969"</f>
        <v>7704340969</v>
      </c>
      <c r="F2275" t="s">
        <v>76</v>
      </c>
      <c r="G2275" t="s">
        <v>242</v>
      </c>
      <c r="H2275" t="s">
        <v>4246</v>
      </c>
      <c r="I2275" t="s">
        <v>17</v>
      </c>
      <c r="J2275" t="s">
        <v>18</v>
      </c>
    </row>
    <row r="2276" spans="1:10" hidden="1" x14ac:dyDescent="0.25">
      <c r="A2276" t="s">
        <v>11</v>
      </c>
      <c r="B2276" t="str">
        <f>"906"</f>
        <v>906</v>
      </c>
      <c r="C2276" t="s">
        <v>49</v>
      </c>
      <c r="D2276" t="s">
        <v>4227</v>
      </c>
      <c r="E2276" t="str">
        <f>"7704340969"</f>
        <v>7704340969</v>
      </c>
      <c r="F2276" t="s">
        <v>76</v>
      </c>
      <c r="G2276" t="s">
        <v>244</v>
      </c>
      <c r="H2276" t="s">
        <v>4247</v>
      </c>
      <c r="I2276" t="s">
        <v>17</v>
      </c>
      <c r="J2276" t="s">
        <v>18</v>
      </c>
    </row>
    <row r="2277" spans="1:10" hidden="1" x14ac:dyDescent="0.25">
      <c r="A2277" t="s">
        <v>11</v>
      </c>
      <c r="B2277" t="str">
        <f>"934"</f>
        <v>934</v>
      </c>
      <c r="C2277" t="s">
        <v>49</v>
      </c>
      <c r="D2277" t="s">
        <v>4227</v>
      </c>
      <c r="E2277" t="str">
        <f>"7704340969"</f>
        <v>7704340969</v>
      </c>
      <c r="F2277" t="s">
        <v>76</v>
      </c>
      <c r="G2277" t="s">
        <v>246</v>
      </c>
      <c r="H2277" t="s">
        <v>4248</v>
      </c>
      <c r="I2277" t="s">
        <v>17</v>
      </c>
      <c r="J2277" t="s">
        <v>18</v>
      </c>
    </row>
    <row r="2278" spans="1:10" hidden="1" x14ac:dyDescent="0.25">
      <c r="A2278" t="s">
        <v>11</v>
      </c>
      <c r="B2278" t="str">
        <f>"978"</f>
        <v>978</v>
      </c>
      <c r="C2278" t="s">
        <v>49</v>
      </c>
      <c r="D2278" t="s">
        <v>4227</v>
      </c>
      <c r="E2278" t="str">
        <f>"7704340969"</f>
        <v>7704340969</v>
      </c>
      <c r="F2278" t="s">
        <v>76</v>
      </c>
      <c r="G2278" t="s">
        <v>248</v>
      </c>
      <c r="H2278" t="s">
        <v>4249</v>
      </c>
      <c r="I2278" t="s">
        <v>17</v>
      </c>
      <c r="J2278" t="s">
        <v>18</v>
      </c>
    </row>
    <row r="2279" spans="1:10" hidden="1" x14ac:dyDescent="0.25">
      <c r="A2279" t="s">
        <v>11</v>
      </c>
      <c r="B2279" t="str">
        <f>"ГОДМ0503/01"</f>
        <v>ГОДМ0503/01</v>
      </c>
      <c r="C2279" t="s">
        <v>65</v>
      </c>
      <c r="D2279" t="s">
        <v>4227</v>
      </c>
      <c r="E2279" t="str">
        <f>"7735126034"</f>
        <v>7735126034</v>
      </c>
      <c r="F2279" t="s">
        <v>131</v>
      </c>
      <c r="G2279" t="s">
        <v>4228</v>
      </c>
      <c r="H2279" t="s">
        <v>4250</v>
      </c>
      <c r="I2279" t="s">
        <v>17</v>
      </c>
      <c r="J2279" t="s">
        <v>18</v>
      </c>
    </row>
    <row r="2280" spans="1:10" hidden="1" x14ac:dyDescent="0.25">
      <c r="A2280" t="s">
        <v>11</v>
      </c>
      <c r="B2280" t="str">
        <f>"28304946"</f>
        <v>28304946</v>
      </c>
      <c r="C2280" t="s">
        <v>12</v>
      </c>
      <c r="D2280" t="s">
        <v>4227</v>
      </c>
      <c r="E2280" t="str">
        <f>"7721793895"</f>
        <v>7721793895</v>
      </c>
      <c r="F2280" t="s">
        <v>109</v>
      </c>
      <c r="G2280" t="s">
        <v>4251</v>
      </c>
      <c r="H2280" t="s">
        <v>4252</v>
      </c>
      <c r="I2280" t="s">
        <v>17</v>
      </c>
      <c r="J2280" t="s">
        <v>18</v>
      </c>
    </row>
    <row r="2281" spans="1:10" hidden="1" x14ac:dyDescent="0.25">
      <c r="A2281" t="s">
        <v>11</v>
      </c>
      <c r="B2281" t="str">
        <f>"28304974"</f>
        <v>28304974</v>
      </c>
      <c r="C2281" t="s">
        <v>12</v>
      </c>
      <c r="D2281" t="s">
        <v>4227</v>
      </c>
      <c r="E2281" t="str">
        <f>"7721793895"</f>
        <v>7721793895</v>
      </c>
      <c r="F2281" t="s">
        <v>109</v>
      </c>
      <c r="G2281" t="s">
        <v>4253</v>
      </c>
      <c r="H2281" t="s">
        <v>4254</v>
      </c>
      <c r="I2281" t="s">
        <v>17</v>
      </c>
      <c r="J2281" t="s">
        <v>18</v>
      </c>
    </row>
    <row r="2282" spans="1:10" hidden="1" x14ac:dyDescent="0.25">
      <c r="A2282" t="s">
        <v>11</v>
      </c>
      <c r="B2282" t="str">
        <f>"28305260"</f>
        <v>28305260</v>
      </c>
      <c r="C2282" t="s">
        <v>12</v>
      </c>
      <c r="D2282" t="s">
        <v>4227</v>
      </c>
      <c r="E2282" t="str">
        <f>"7721793895"</f>
        <v>7721793895</v>
      </c>
      <c r="F2282" t="s">
        <v>109</v>
      </c>
      <c r="G2282" t="s">
        <v>4255</v>
      </c>
      <c r="H2282" t="s">
        <v>4256</v>
      </c>
      <c r="I2282" t="s">
        <v>17</v>
      </c>
      <c r="J2282" t="s">
        <v>18</v>
      </c>
    </row>
    <row r="2283" spans="1:10" hidden="1" x14ac:dyDescent="0.25">
      <c r="A2283" t="s">
        <v>11</v>
      </c>
      <c r="B2283" t="str">
        <f>"28308108"</f>
        <v>28308108</v>
      </c>
      <c r="C2283" t="s">
        <v>12</v>
      </c>
      <c r="D2283" t="s">
        <v>4227</v>
      </c>
      <c r="E2283" t="str">
        <f>"7721793895"</f>
        <v>7721793895</v>
      </c>
      <c r="F2283" t="s">
        <v>109</v>
      </c>
      <c r="G2283" t="s">
        <v>4257</v>
      </c>
      <c r="H2283" t="s">
        <v>4258</v>
      </c>
      <c r="I2283" t="s">
        <v>17</v>
      </c>
      <c r="J2283" t="s">
        <v>18</v>
      </c>
    </row>
    <row r="2284" spans="1:10" hidden="1" x14ac:dyDescent="0.25">
      <c r="A2284" t="s">
        <v>11</v>
      </c>
      <c r="B2284" t="str">
        <f>"28309175"</f>
        <v>28309175</v>
      </c>
      <c r="C2284" t="s">
        <v>12</v>
      </c>
      <c r="D2284" t="s">
        <v>4227</v>
      </c>
      <c r="E2284" t="str">
        <f>"7721793895"</f>
        <v>7721793895</v>
      </c>
      <c r="F2284" t="s">
        <v>109</v>
      </c>
      <c r="G2284" t="s">
        <v>4259</v>
      </c>
      <c r="H2284" t="s">
        <v>4260</v>
      </c>
      <c r="I2284" t="s">
        <v>17</v>
      </c>
      <c r="J2284" t="s">
        <v>18</v>
      </c>
    </row>
    <row r="2285" spans="1:10" hidden="1" x14ac:dyDescent="0.25">
      <c r="A2285" t="s">
        <v>11</v>
      </c>
      <c r="B2285" t="str">
        <f>"ГОДМ0503/16"</f>
        <v>ГОДМ0503/16</v>
      </c>
      <c r="C2285" t="s">
        <v>65</v>
      </c>
      <c r="D2285" t="s">
        <v>4227</v>
      </c>
      <c r="E2285" t="str">
        <f>"7735126034"</f>
        <v>7735126034</v>
      </c>
      <c r="F2285" t="s">
        <v>131</v>
      </c>
      <c r="G2285" t="s">
        <v>4228</v>
      </c>
      <c r="H2285" t="s">
        <v>4261</v>
      </c>
      <c r="I2285" t="s">
        <v>17</v>
      </c>
      <c r="J2285" t="s">
        <v>18</v>
      </c>
    </row>
    <row r="2286" spans="1:10" hidden="1" x14ac:dyDescent="0.25">
      <c r="A2286" t="s">
        <v>11</v>
      </c>
      <c r="B2286" t="str">
        <f>"ГОДМ0503/18"</f>
        <v>ГОДМ0503/18</v>
      </c>
      <c r="C2286" t="s">
        <v>65</v>
      </c>
      <c r="D2286" t="s">
        <v>4227</v>
      </c>
      <c r="E2286" t="str">
        <f>"7735126034"</f>
        <v>7735126034</v>
      </c>
      <c r="F2286" t="s">
        <v>131</v>
      </c>
      <c r="G2286" t="s">
        <v>4262</v>
      </c>
      <c r="H2286" t="s">
        <v>4263</v>
      </c>
      <c r="I2286" t="s">
        <v>17</v>
      </c>
      <c r="J2286" t="s">
        <v>18</v>
      </c>
    </row>
    <row r="2287" spans="1:10" hidden="1" x14ac:dyDescent="0.25">
      <c r="A2287" t="s">
        <v>11</v>
      </c>
      <c r="B2287" t="str">
        <f>"177"</f>
        <v>177</v>
      </c>
      <c r="C2287" t="s">
        <v>49</v>
      </c>
      <c r="D2287" t="s">
        <v>4227</v>
      </c>
      <c r="E2287" t="str">
        <f>"7702392168"</f>
        <v>7702392168</v>
      </c>
      <c r="F2287" t="s">
        <v>97</v>
      </c>
      <c r="G2287" t="s">
        <v>4264</v>
      </c>
      <c r="H2287" t="s">
        <v>4265</v>
      </c>
      <c r="I2287" t="s">
        <v>17</v>
      </c>
      <c r="J2287" t="s">
        <v>18</v>
      </c>
    </row>
    <row r="2288" spans="1:10" hidden="1" x14ac:dyDescent="0.25">
      <c r="A2288" t="s">
        <v>11</v>
      </c>
      <c r="B2288" t="str">
        <f>"33121/340E"</f>
        <v>33121/340E</v>
      </c>
      <c r="C2288" t="s">
        <v>100</v>
      </c>
      <c r="D2288" t="s">
        <v>4227</v>
      </c>
      <c r="E2288" t="str">
        <f>"5003052454"</f>
        <v>5003052454</v>
      </c>
      <c r="F2288" t="s">
        <v>14</v>
      </c>
      <c r="G2288" t="s">
        <v>4266</v>
      </c>
      <c r="H2288" t="s">
        <v>4267</v>
      </c>
      <c r="I2288" t="s">
        <v>17</v>
      </c>
      <c r="J2288" t="s">
        <v>18</v>
      </c>
    </row>
    <row r="2289" spans="1:10" hidden="1" x14ac:dyDescent="0.25">
      <c r="A2289" t="s">
        <v>11</v>
      </c>
      <c r="B2289" t="str">
        <f>"33122/340E"</f>
        <v>33122/340E</v>
      </c>
      <c r="C2289" t="s">
        <v>100</v>
      </c>
      <c r="D2289" t="s">
        <v>4227</v>
      </c>
      <c r="E2289" t="str">
        <f>"5003052454"</f>
        <v>5003052454</v>
      </c>
      <c r="F2289" t="s">
        <v>14</v>
      </c>
      <c r="G2289" t="s">
        <v>4268</v>
      </c>
      <c r="H2289" t="s">
        <v>4269</v>
      </c>
      <c r="I2289" t="s">
        <v>17</v>
      </c>
      <c r="J2289" t="s">
        <v>18</v>
      </c>
    </row>
    <row r="2290" spans="1:10" hidden="1" x14ac:dyDescent="0.25">
      <c r="A2290" t="s">
        <v>11</v>
      </c>
      <c r="B2290" t="str">
        <f>"33123/340E"</f>
        <v>33123/340E</v>
      </c>
      <c r="C2290" t="s">
        <v>100</v>
      </c>
      <c r="D2290" t="s">
        <v>4227</v>
      </c>
      <c r="E2290" t="str">
        <f>"5003052454"</f>
        <v>5003052454</v>
      </c>
      <c r="F2290" t="s">
        <v>14</v>
      </c>
      <c r="G2290" t="s">
        <v>4270</v>
      </c>
      <c r="H2290" t="s">
        <v>4271</v>
      </c>
      <c r="I2290" t="s">
        <v>17</v>
      </c>
      <c r="J2290" t="s">
        <v>18</v>
      </c>
    </row>
    <row r="2291" spans="1:10" hidden="1" x14ac:dyDescent="0.25">
      <c r="A2291" t="s">
        <v>11</v>
      </c>
      <c r="B2291" t="str">
        <f>"33124/340E"</f>
        <v>33124/340E</v>
      </c>
      <c r="C2291" t="s">
        <v>100</v>
      </c>
      <c r="D2291" t="s">
        <v>4227</v>
      </c>
      <c r="E2291" t="str">
        <f>"5003052454"</f>
        <v>5003052454</v>
      </c>
      <c r="F2291" t="s">
        <v>14</v>
      </c>
      <c r="G2291" t="s">
        <v>4272</v>
      </c>
      <c r="H2291" t="s">
        <v>4273</v>
      </c>
      <c r="I2291" t="s">
        <v>17</v>
      </c>
      <c r="J2291" t="s">
        <v>18</v>
      </c>
    </row>
    <row r="2292" spans="1:10" hidden="1" x14ac:dyDescent="0.25">
      <c r="A2292" t="s">
        <v>11</v>
      </c>
      <c r="B2292" t="str">
        <f>"UT-101639"</f>
        <v>UT-101639</v>
      </c>
      <c r="C2292" t="s">
        <v>65</v>
      </c>
      <c r="D2292" t="s">
        <v>4227</v>
      </c>
      <c r="E2292" t="str">
        <f>"7806385951"</f>
        <v>7806385951</v>
      </c>
      <c r="F2292" t="s">
        <v>26</v>
      </c>
      <c r="G2292" t="s">
        <v>4274</v>
      </c>
      <c r="H2292" t="s">
        <v>4275</v>
      </c>
      <c r="I2292" t="s">
        <v>17</v>
      </c>
      <c r="J2292" t="s">
        <v>18</v>
      </c>
    </row>
    <row r="2293" spans="1:10" hidden="1" x14ac:dyDescent="0.25">
      <c r="A2293" t="s">
        <v>11</v>
      </c>
      <c r="B2293" t="str">
        <f>"UT-101644"</f>
        <v>UT-101644</v>
      </c>
      <c r="C2293" t="s">
        <v>65</v>
      </c>
      <c r="D2293" t="s">
        <v>4227</v>
      </c>
      <c r="E2293" t="str">
        <f>"7806385951"</f>
        <v>7806385951</v>
      </c>
      <c r="F2293" t="s">
        <v>26</v>
      </c>
      <c r="G2293" t="s">
        <v>2220</v>
      </c>
      <c r="H2293" t="s">
        <v>4276</v>
      </c>
      <c r="I2293" t="s">
        <v>17</v>
      </c>
      <c r="J2293" t="s">
        <v>18</v>
      </c>
    </row>
    <row r="2294" spans="1:10" hidden="1" x14ac:dyDescent="0.25">
      <c r="A2294" t="s">
        <v>11</v>
      </c>
      <c r="B2294" t="str">
        <f>"UT-101727"</f>
        <v>UT-101727</v>
      </c>
      <c r="C2294" t="s">
        <v>65</v>
      </c>
      <c r="D2294" t="s">
        <v>4227</v>
      </c>
      <c r="E2294" t="str">
        <f>"7806385951"</f>
        <v>7806385951</v>
      </c>
      <c r="F2294" t="s">
        <v>26</v>
      </c>
      <c r="G2294" t="s">
        <v>4277</v>
      </c>
      <c r="H2294" t="s">
        <v>4278</v>
      </c>
      <c r="I2294" t="s">
        <v>17</v>
      </c>
      <c r="J2294" t="s">
        <v>18</v>
      </c>
    </row>
    <row r="2295" spans="1:10" hidden="1" x14ac:dyDescent="0.25">
      <c r="A2295" t="s">
        <v>11</v>
      </c>
      <c r="B2295" t="str">
        <f>"UT-101831"</f>
        <v>UT-101831</v>
      </c>
      <c r="C2295" t="s">
        <v>65</v>
      </c>
      <c r="D2295" t="s">
        <v>4227</v>
      </c>
      <c r="E2295" t="str">
        <f>"7806385951"</f>
        <v>7806385951</v>
      </c>
      <c r="F2295" t="s">
        <v>26</v>
      </c>
      <c r="G2295" t="s">
        <v>4279</v>
      </c>
      <c r="H2295" t="s">
        <v>4280</v>
      </c>
      <c r="I2295" t="s">
        <v>17</v>
      </c>
      <c r="J2295" t="s">
        <v>18</v>
      </c>
    </row>
    <row r="2296" spans="1:10" hidden="1" x14ac:dyDescent="0.25">
      <c r="A2296" t="s">
        <v>11</v>
      </c>
      <c r="B2296" t="str">
        <f>"UT-108271"</f>
        <v>UT-108271</v>
      </c>
      <c r="C2296" t="s">
        <v>100</v>
      </c>
      <c r="D2296" t="s">
        <v>4227</v>
      </c>
      <c r="E2296" t="str">
        <f>"7806385951"</f>
        <v>7806385951</v>
      </c>
      <c r="F2296" t="s">
        <v>26</v>
      </c>
      <c r="G2296" t="s">
        <v>220</v>
      </c>
      <c r="H2296" t="s">
        <v>4281</v>
      </c>
      <c r="I2296" t="s">
        <v>17</v>
      </c>
      <c r="J2296" t="s">
        <v>18</v>
      </c>
    </row>
    <row r="2297" spans="1:10" hidden="1" x14ac:dyDescent="0.25">
      <c r="A2297" t="s">
        <v>11</v>
      </c>
      <c r="B2297" t="str">
        <f>"28318115"</f>
        <v>28318115</v>
      </c>
      <c r="C2297" t="s">
        <v>65</v>
      </c>
      <c r="D2297" t="s">
        <v>4227</v>
      </c>
      <c r="E2297" t="str">
        <f>"7721793895"</f>
        <v>7721793895</v>
      </c>
      <c r="F2297" t="s">
        <v>109</v>
      </c>
      <c r="G2297" t="s">
        <v>4282</v>
      </c>
      <c r="H2297" t="s">
        <v>4283</v>
      </c>
      <c r="I2297" t="s">
        <v>17</v>
      </c>
      <c r="J2297" t="s">
        <v>18</v>
      </c>
    </row>
    <row r="2298" spans="1:10" hidden="1" x14ac:dyDescent="0.25">
      <c r="A2298" t="s">
        <v>11</v>
      </c>
      <c r="B2298" t="str">
        <f>"28318228"</f>
        <v>28318228</v>
      </c>
      <c r="C2298" t="s">
        <v>65</v>
      </c>
      <c r="D2298" t="s">
        <v>4227</v>
      </c>
      <c r="E2298" t="str">
        <f>"7721793895"</f>
        <v>7721793895</v>
      </c>
      <c r="F2298" t="s">
        <v>109</v>
      </c>
      <c r="G2298" t="s">
        <v>4284</v>
      </c>
      <c r="H2298" t="s">
        <v>4285</v>
      </c>
      <c r="I2298" t="s">
        <v>17</v>
      </c>
      <c r="J2298" t="s">
        <v>18</v>
      </c>
    </row>
    <row r="2299" spans="1:10" hidden="1" x14ac:dyDescent="0.25">
      <c r="A2299" t="s">
        <v>11</v>
      </c>
      <c r="B2299" t="str">
        <f>"UT-108267"</f>
        <v>UT-108267</v>
      </c>
      <c r="C2299" t="s">
        <v>100</v>
      </c>
      <c r="D2299" t="s">
        <v>4227</v>
      </c>
      <c r="E2299" t="str">
        <f t="shared" ref="E2299:E2305" si="95">"7806385951"</f>
        <v>7806385951</v>
      </c>
      <c r="F2299" t="s">
        <v>26</v>
      </c>
      <c r="G2299" t="s">
        <v>1420</v>
      </c>
      <c r="H2299" t="s">
        <v>4286</v>
      </c>
      <c r="I2299" t="s">
        <v>17</v>
      </c>
      <c r="J2299" t="s">
        <v>18</v>
      </c>
    </row>
    <row r="2300" spans="1:10" hidden="1" x14ac:dyDescent="0.25">
      <c r="A2300" t="s">
        <v>11</v>
      </c>
      <c r="B2300" t="str">
        <f>"UT-108268"</f>
        <v>UT-108268</v>
      </c>
      <c r="C2300" t="s">
        <v>100</v>
      </c>
      <c r="D2300" t="s">
        <v>4227</v>
      </c>
      <c r="E2300" t="str">
        <f t="shared" si="95"/>
        <v>7806385951</v>
      </c>
      <c r="F2300" t="s">
        <v>26</v>
      </c>
      <c r="G2300" t="s">
        <v>4287</v>
      </c>
      <c r="H2300" t="s">
        <v>4288</v>
      </c>
      <c r="I2300" t="s">
        <v>17</v>
      </c>
      <c r="J2300" t="s">
        <v>18</v>
      </c>
    </row>
    <row r="2301" spans="1:10" hidden="1" x14ac:dyDescent="0.25">
      <c r="A2301" t="s">
        <v>11</v>
      </c>
      <c r="B2301" t="str">
        <f>"UT-108269"</f>
        <v>UT-108269</v>
      </c>
      <c r="C2301" t="s">
        <v>100</v>
      </c>
      <c r="D2301" t="s">
        <v>4227</v>
      </c>
      <c r="E2301" t="str">
        <f t="shared" si="95"/>
        <v>7806385951</v>
      </c>
      <c r="F2301" t="s">
        <v>26</v>
      </c>
      <c r="G2301" t="s">
        <v>1707</v>
      </c>
      <c r="H2301" t="s">
        <v>4289</v>
      </c>
      <c r="I2301" t="s">
        <v>17</v>
      </c>
      <c r="J2301" t="s">
        <v>18</v>
      </c>
    </row>
    <row r="2302" spans="1:10" hidden="1" x14ac:dyDescent="0.25">
      <c r="A2302" t="s">
        <v>11</v>
      </c>
      <c r="B2302" t="str">
        <f>"UT-108272"</f>
        <v>UT-108272</v>
      </c>
      <c r="C2302" t="s">
        <v>100</v>
      </c>
      <c r="D2302" t="s">
        <v>4227</v>
      </c>
      <c r="E2302" t="str">
        <f t="shared" si="95"/>
        <v>7806385951</v>
      </c>
      <c r="F2302" t="s">
        <v>26</v>
      </c>
      <c r="G2302" t="s">
        <v>4290</v>
      </c>
      <c r="H2302" t="s">
        <v>4291</v>
      </c>
      <c r="I2302" t="s">
        <v>17</v>
      </c>
      <c r="J2302" t="s">
        <v>18</v>
      </c>
    </row>
    <row r="2303" spans="1:10" hidden="1" x14ac:dyDescent="0.25">
      <c r="A2303" t="s">
        <v>11</v>
      </c>
      <c r="B2303" t="str">
        <f>"UT-108273"</f>
        <v>UT-108273</v>
      </c>
      <c r="C2303" t="s">
        <v>100</v>
      </c>
      <c r="D2303" t="s">
        <v>4227</v>
      </c>
      <c r="E2303" t="str">
        <f t="shared" si="95"/>
        <v>7806385951</v>
      </c>
      <c r="F2303" t="s">
        <v>26</v>
      </c>
      <c r="G2303" t="s">
        <v>4292</v>
      </c>
      <c r="H2303" t="s">
        <v>4293</v>
      </c>
      <c r="I2303" t="s">
        <v>17</v>
      </c>
      <c r="J2303" t="s">
        <v>18</v>
      </c>
    </row>
    <row r="2304" spans="1:10" hidden="1" x14ac:dyDescent="0.25">
      <c r="A2304" t="s">
        <v>11</v>
      </c>
      <c r="B2304" t="str">
        <f>"UT-108274"</f>
        <v>UT-108274</v>
      </c>
      <c r="C2304" t="s">
        <v>100</v>
      </c>
      <c r="D2304" t="s">
        <v>4227</v>
      </c>
      <c r="E2304" t="str">
        <f t="shared" si="95"/>
        <v>7806385951</v>
      </c>
      <c r="F2304" t="s">
        <v>26</v>
      </c>
      <c r="G2304" t="s">
        <v>4294</v>
      </c>
      <c r="H2304" t="s">
        <v>4295</v>
      </c>
      <c r="I2304" t="s">
        <v>17</v>
      </c>
      <c r="J2304" t="s">
        <v>18</v>
      </c>
    </row>
    <row r="2305" spans="1:10" hidden="1" x14ac:dyDescent="0.25">
      <c r="A2305" t="s">
        <v>11</v>
      </c>
      <c r="B2305" t="str">
        <f>"UT-108276"</f>
        <v>UT-108276</v>
      </c>
      <c r="C2305" t="s">
        <v>100</v>
      </c>
      <c r="D2305" t="s">
        <v>4227</v>
      </c>
      <c r="E2305" t="str">
        <f t="shared" si="95"/>
        <v>7806385951</v>
      </c>
      <c r="F2305" t="s">
        <v>26</v>
      </c>
      <c r="G2305" t="s">
        <v>4296</v>
      </c>
      <c r="H2305" t="s">
        <v>4297</v>
      </c>
      <c r="I2305" t="s">
        <v>17</v>
      </c>
      <c r="J2305" t="s">
        <v>18</v>
      </c>
    </row>
    <row r="2306" spans="1:10" hidden="1" x14ac:dyDescent="0.25">
      <c r="A2306" t="s">
        <v>11</v>
      </c>
      <c r="B2306" t="str">
        <f>"46939"</f>
        <v>46939</v>
      </c>
      <c r="C2306" t="s">
        <v>100</v>
      </c>
      <c r="D2306" t="s">
        <v>4227</v>
      </c>
      <c r="E2306" t="str">
        <f>"3443929333"</f>
        <v>3443929333</v>
      </c>
      <c r="F2306" t="s">
        <v>4298</v>
      </c>
      <c r="G2306" t="s">
        <v>4299</v>
      </c>
      <c r="H2306" t="s">
        <v>4300</v>
      </c>
      <c r="I2306" t="s">
        <v>17</v>
      </c>
      <c r="J2306" t="s">
        <v>18</v>
      </c>
    </row>
    <row r="2307" spans="1:10" hidden="1" x14ac:dyDescent="0.25">
      <c r="A2307" t="s">
        <v>11</v>
      </c>
      <c r="B2307" t="str">
        <f>"46945"</f>
        <v>46945</v>
      </c>
      <c r="C2307" t="s">
        <v>100</v>
      </c>
      <c r="D2307" t="s">
        <v>4227</v>
      </c>
      <c r="E2307" t="str">
        <f>"3443929333"</f>
        <v>3443929333</v>
      </c>
      <c r="F2307" t="s">
        <v>4298</v>
      </c>
      <c r="G2307" t="s">
        <v>4301</v>
      </c>
      <c r="H2307" t="s">
        <v>4302</v>
      </c>
      <c r="I2307" t="s">
        <v>17</v>
      </c>
      <c r="J2307" t="s">
        <v>18</v>
      </c>
    </row>
    <row r="2308" spans="1:10" x14ac:dyDescent="0.25">
      <c r="A2308" t="s">
        <v>290</v>
      </c>
      <c r="B2308" t="str">
        <f>"1800000914"</f>
        <v>1800000914</v>
      </c>
      <c r="C2308" t="s">
        <v>100</v>
      </c>
      <c r="D2308" t="s">
        <v>4227</v>
      </c>
      <c r="E2308" t="str">
        <f>"5032260402"</f>
        <v>5032260402</v>
      </c>
      <c r="F2308" t="s">
        <v>341</v>
      </c>
      <c r="G2308" t="s">
        <v>847</v>
      </c>
      <c r="H2308" t="s">
        <v>4303</v>
      </c>
      <c r="I2308" t="s">
        <v>17</v>
      </c>
      <c r="J2308" t="s">
        <v>166</v>
      </c>
    </row>
    <row r="2309" spans="1:10" hidden="1" x14ac:dyDescent="0.25">
      <c r="A2309" t="s">
        <v>11</v>
      </c>
      <c r="B2309" t="str">
        <f>"28329062"</f>
        <v>28329062</v>
      </c>
      <c r="C2309" t="s">
        <v>65</v>
      </c>
      <c r="D2309" t="s">
        <v>4227</v>
      </c>
      <c r="E2309" t="str">
        <f>"7721793895"</f>
        <v>7721793895</v>
      </c>
      <c r="F2309" t="s">
        <v>109</v>
      </c>
      <c r="G2309" t="s">
        <v>4304</v>
      </c>
      <c r="H2309" t="s">
        <v>4305</v>
      </c>
      <c r="I2309" t="s">
        <v>17</v>
      </c>
      <c r="J2309" t="s">
        <v>18</v>
      </c>
    </row>
    <row r="2310" spans="1:10" hidden="1" x14ac:dyDescent="0.25">
      <c r="A2310" t="s">
        <v>11</v>
      </c>
      <c r="B2310" t="str">
        <f>"UT-108270"</f>
        <v>UT-108270</v>
      </c>
      <c r="C2310" t="s">
        <v>100</v>
      </c>
      <c r="D2310" t="s">
        <v>4227</v>
      </c>
      <c r="E2310" t="str">
        <f>"7806385951"</f>
        <v>7806385951</v>
      </c>
      <c r="F2310" t="s">
        <v>26</v>
      </c>
      <c r="G2310" t="s">
        <v>4306</v>
      </c>
      <c r="H2310" t="s">
        <v>4307</v>
      </c>
      <c r="I2310" t="s">
        <v>17</v>
      </c>
      <c r="J2310" t="s">
        <v>18</v>
      </c>
    </row>
    <row r="2311" spans="1:10" hidden="1" x14ac:dyDescent="0.25">
      <c r="A2311" t="s">
        <v>11</v>
      </c>
      <c r="B2311" t="str">
        <f>"UT-108275"</f>
        <v>UT-108275</v>
      </c>
      <c r="C2311" t="s">
        <v>100</v>
      </c>
      <c r="D2311" t="s">
        <v>4227</v>
      </c>
      <c r="E2311" t="str">
        <f>"7806385951"</f>
        <v>7806385951</v>
      </c>
      <c r="F2311" t="s">
        <v>26</v>
      </c>
      <c r="G2311" t="s">
        <v>4308</v>
      </c>
      <c r="H2311" t="s">
        <v>4309</v>
      </c>
      <c r="I2311" t="s">
        <v>17</v>
      </c>
      <c r="J2311" t="s">
        <v>18</v>
      </c>
    </row>
    <row r="2312" spans="1:10" hidden="1" x14ac:dyDescent="0.25">
      <c r="A2312" t="s">
        <v>11</v>
      </c>
      <c r="B2312" t="str">
        <f>"28331039"</f>
        <v>28331039</v>
      </c>
      <c r="C2312" t="s">
        <v>65</v>
      </c>
      <c r="D2312" t="s">
        <v>4227</v>
      </c>
      <c r="E2312" t="str">
        <f>"7721793895"</f>
        <v>7721793895</v>
      </c>
      <c r="F2312" t="s">
        <v>109</v>
      </c>
      <c r="G2312" t="s">
        <v>4310</v>
      </c>
      <c r="H2312" t="s">
        <v>4311</v>
      </c>
      <c r="I2312" t="s">
        <v>17</v>
      </c>
      <c r="J2312" t="s">
        <v>18</v>
      </c>
    </row>
    <row r="2313" spans="1:10" hidden="1" x14ac:dyDescent="0.25">
      <c r="A2313" t="s">
        <v>11</v>
      </c>
      <c r="B2313" t="str">
        <f>"ГОДМ0504/03"</f>
        <v>ГОДМ0504/03</v>
      </c>
      <c r="C2313" t="s">
        <v>100</v>
      </c>
      <c r="D2313" t="s">
        <v>4227</v>
      </c>
      <c r="E2313" t="str">
        <f>"7735126034"</f>
        <v>7735126034</v>
      </c>
      <c r="F2313" t="s">
        <v>131</v>
      </c>
      <c r="G2313" t="s">
        <v>4228</v>
      </c>
      <c r="H2313" t="s">
        <v>4312</v>
      </c>
      <c r="I2313" t="s">
        <v>17</v>
      </c>
      <c r="J2313" t="s">
        <v>18</v>
      </c>
    </row>
    <row r="2314" spans="1:10" hidden="1" x14ac:dyDescent="0.25">
      <c r="A2314" t="s">
        <v>11</v>
      </c>
      <c r="B2314" t="str">
        <f>"ГОДМ0504/04"</f>
        <v>ГОДМ0504/04</v>
      </c>
      <c r="C2314" t="s">
        <v>100</v>
      </c>
      <c r="D2314" t="s">
        <v>4227</v>
      </c>
      <c r="E2314" t="str">
        <f>"7735126034"</f>
        <v>7735126034</v>
      </c>
      <c r="F2314" t="s">
        <v>131</v>
      </c>
      <c r="G2314" t="s">
        <v>4228</v>
      </c>
      <c r="H2314" t="s">
        <v>4313</v>
      </c>
      <c r="I2314" t="s">
        <v>17</v>
      </c>
      <c r="J2314" t="s">
        <v>18</v>
      </c>
    </row>
    <row r="2315" spans="1:10" hidden="1" x14ac:dyDescent="0.25">
      <c r="A2315" t="s">
        <v>11</v>
      </c>
      <c r="B2315" t="str">
        <f>"ГОДМ0504/05"</f>
        <v>ГОДМ0504/05</v>
      </c>
      <c r="C2315" t="s">
        <v>100</v>
      </c>
      <c r="D2315" t="s">
        <v>4227</v>
      </c>
      <c r="E2315" t="str">
        <f>"7735126034"</f>
        <v>7735126034</v>
      </c>
      <c r="F2315" t="s">
        <v>131</v>
      </c>
      <c r="G2315" t="s">
        <v>4228</v>
      </c>
      <c r="H2315" t="s">
        <v>4314</v>
      </c>
      <c r="I2315" t="s">
        <v>17</v>
      </c>
      <c r="J2315" t="s">
        <v>18</v>
      </c>
    </row>
    <row r="2316" spans="1:10" hidden="1" x14ac:dyDescent="0.25">
      <c r="A2316" t="s">
        <v>11</v>
      </c>
      <c r="B2316" t="str">
        <f>"ГОДМ0504/07"</f>
        <v>ГОДМ0504/07</v>
      </c>
      <c r="C2316" t="s">
        <v>100</v>
      </c>
      <c r="D2316" t="s">
        <v>4227</v>
      </c>
      <c r="E2316" t="str">
        <f>"7735126034"</f>
        <v>7735126034</v>
      </c>
      <c r="F2316" t="s">
        <v>131</v>
      </c>
      <c r="G2316" t="s">
        <v>4228</v>
      </c>
      <c r="H2316" t="s">
        <v>4315</v>
      </c>
      <c r="I2316" t="s">
        <v>17</v>
      </c>
      <c r="J2316" t="s">
        <v>18</v>
      </c>
    </row>
    <row r="2317" spans="1:10" hidden="1" x14ac:dyDescent="0.25">
      <c r="A2317" t="s">
        <v>11</v>
      </c>
      <c r="B2317" t="str">
        <f>"04-507229"</f>
        <v>04-507229</v>
      </c>
      <c r="C2317" t="s">
        <v>49</v>
      </c>
      <c r="D2317" t="s">
        <v>4227</v>
      </c>
      <c r="E2317" t="str">
        <f>"7710668349"</f>
        <v>7710668349</v>
      </c>
      <c r="F2317" t="s">
        <v>1749</v>
      </c>
      <c r="G2317" t="s">
        <v>4316</v>
      </c>
      <c r="H2317" t="s">
        <v>4317</v>
      </c>
      <c r="I2317" t="s">
        <v>17</v>
      </c>
      <c r="J2317" t="s">
        <v>18</v>
      </c>
    </row>
    <row r="2318" spans="1:10" hidden="1" x14ac:dyDescent="0.25">
      <c r="A2318" t="s">
        <v>11</v>
      </c>
      <c r="B2318" t="str">
        <f>"3410/8174489311"</f>
        <v>3410/8174489311</v>
      </c>
      <c r="C2318" t="s">
        <v>106</v>
      </c>
      <c r="D2318" t="s">
        <v>4227</v>
      </c>
      <c r="E2318" t="str">
        <f>"5032260402"</f>
        <v>5032260402</v>
      </c>
      <c r="F2318" t="s">
        <v>341</v>
      </c>
      <c r="G2318" t="s">
        <v>4318</v>
      </c>
      <c r="H2318" t="s">
        <v>4319</v>
      </c>
      <c r="I2318" t="s">
        <v>17</v>
      </c>
      <c r="J2318" t="s">
        <v>18</v>
      </c>
    </row>
    <row r="2319" spans="1:10" hidden="1" x14ac:dyDescent="0.25">
      <c r="A2319" t="s">
        <v>11</v>
      </c>
      <c r="B2319" t="str">
        <f>"УТ-505-000025"</f>
        <v>УТ-505-000025</v>
      </c>
      <c r="C2319" t="s">
        <v>106</v>
      </c>
      <c r="D2319" t="s">
        <v>4227</v>
      </c>
      <c r="E2319" t="str">
        <f>"7839454551"</f>
        <v>7839454551</v>
      </c>
      <c r="F2319" t="s">
        <v>57</v>
      </c>
      <c r="G2319" t="s">
        <v>3934</v>
      </c>
      <c r="H2319" t="s">
        <v>4320</v>
      </c>
      <c r="I2319" t="s">
        <v>17</v>
      </c>
      <c r="J2319" t="s">
        <v>18</v>
      </c>
    </row>
    <row r="2320" spans="1:10" hidden="1" x14ac:dyDescent="0.25">
      <c r="A2320" t="s">
        <v>11</v>
      </c>
      <c r="B2320" t="str">
        <f>"УТ-505-000021"</f>
        <v>УТ-505-000021</v>
      </c>
      <c r="C2320" t="s">
        <v>106</v>
      </c>
      <c r="D2320" t="s">
        <v>4227</v>
      </c>
      <c r="E2320" t="str">
        <f>"7839454551"</f>
        <v>7839454551</v>
      </c>
      <c r="F2320" t="s">
        <v>57</v>
      </c>
      <c r="G2320" t="s">
        <v>2747</v>
      </c>
      <c r="H2320" t="s">
        <v>4321</v>
      </c>
      <c r="I2320" t="s">
        <v>17</v>
      </c>
      <c r="J2320" t="s">
        <v>18</v>
      </c>
    </row>
    <row r="2321" spans="1:10" hidden="1" x14ac:dyDescent="0.25">
      <c r="A2321" t="s">
        <v>11</v>
      </c>
      <c r="B2321" t="str">
        <f>"UT-109754"</f>
        <v>UT-109754</v>
      </c>
      <c r="C2321" t="s">
        <v>106</v>
      </c>
      <c r="D2321" t="s">
        <v>4227</v>
      </c>
      <c r="E2321" t="str">
        <f>"7806385951"</f>
        <v>7806385951</v>
      </c>
      <c r="F2321" t="s">
        <v>26</v>
      </c>
      <c r="G2321" t="s">
        <v>4322</v>
      </c>
      <c r="H2321" t="s">
        <v>4323</v>
      </c>
      <c r="I2321" t="s">
        <v>17</v>
      </c>
      <c r="J2321" t="s">
        <v>18</v>
      </c>
    </row>
    <row r="2322" spans="1:10" hidden="1" x14ac:dyDescent="0.25">
      <c r="A2322" t="s">
        <v>11</v>
      </c>
      <c r="B2322" t="str">
        <f>"UT-109755"</f>
        <v>UT-109755</v>
      </c>
      <c r="C2322" t="s">
        <v>106</v>
      </c>
      <c r="D2322" t="s">
        <v>4227</v>
      </c>
      <c r="E2322" t="str">
        <f>"7806385951"</f>
        <v>7806385951</v>
      </c>
      <c r="F2322" t="s">
        <v>26</v>
      </c>
      <c r="G2322" t="s">
        <v>4324</v>
      </c>
      <c r="H2322" t="s">
        <v>4325</v>
      </c>
      <c r="I2322" t="s">
        <v>17</v>
      </c>
      <c r="J2322" t="s">
        <v>18</v>
      </c>
    </row>
  </sheetData>
  <autoFilter ref="A1:K2322" xr:uid="{00000000-0001-0000-0000-000000000000}">
    <filterColumn colId="9">
      <filters>
        <filter val="Документ не найден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ShellRobotDiadoc</dc:creator>
  <cp:lastModifiedBy>ShellRobotDiadoc</cp:lastModifiedBy>
  <dcterms:created xsi:type="dcterms:W3CDTF">2023-05-24T13:53:54Z</dcterms:created>
  <dcterms:modified xsi:type="dcterms:W3CDTF">2023-05-24T13:53:54Z</dcterms:modified>
</cp:coreProperties>
</file>