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 Repository\WorkDocumentOfMe\"/>
    </mc:Choice>
  </mc:AlternateContent>
  <bookViews>
    <workbookView xWindow="0" yWindow="0" windowWidth="19095" windowHeight="7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67" i="1" l="1"/>
  <c r="R66" i="1"/>
  <c r="Q90" i="1"/>
  <c r="P90" i="1"/>
  <c r="N51" i="1"/>
  <c r="N36" i="1"/>
  <c r="N33" i="1"/>
  <c r="N64" i="1"/>
  <c r="N74" i="1"/>
  <c r="M49" i="1"/>
  <c r="M48" i="1"/>
  <c r="L34" i="1"/>
  <c r="P34" i="1"/>
  <c r="M34" i="1"/>
  <c r="L117" i="1"/>
  <c r="L132" i="1"/>
  <c r="L131" i="1"/>
  <c r="L130" i="1"/>
  <c r="L129" i="1"/>
  <c r="L128" i="1"/>
  <c r="L127" i="1"/>
  <c r="L126" i="1"/>
  <c r="L125" i="1"/>
  <c r="L124" i="1"/>
  <c r="L123" i="1"/>
  <c r="L121" i="1"/>
  <c r="L122" i="1"/>
  <c r="L120" i="1"/>
  <c r="L119" i="1"/>
  <c r="L118" i="1"/>
  <c r="L116" i="1"/>
  <c r="L115" i="1"/>
  <c r="L114" i="1"/>
  <c r="L113" i="1"/>
  <c r="L112" i="1"/>
  <c r="L111" i="1"/>
  <c r="L110" i="1"/>
  <c r="L107" i="1"/>
  <c r="L109" i="1"/>
  <c r="L108" i="1"/>
  <c r="M76" i="1" l="1"/>
  <c r="L7" i="1"/>
  <c r="L6" i="1"/>
  <c r="L5" i="1"/>
  <c r="L4" i="1"/>
  <c r="L3" i="1"/>
  <c r="L2" i="1"/>
  <c r="Q2" i="1"/>
  <c r="P2" i="1"/>
  <c r="L8" i="1"/>
  <c r="R10" i="1"/>
  <c r="L75" i="1" l="1"/>
  <c r="L73" i="1"/>
  <c r="L74" i="1"/>
  <c r="N58" i="1"/>
  <c r="L72" i="1"/>
  <c r="L70" i="1"/>
  <c r="L71" i="1"/>
  <c r="M50" i="1"/>
  <c r="M47" i="1"/>
  <c r="L47" i="1" s="1"/>
  <c r="M33" i="1"/>
  <c r="M46" i="1"/>
  <c r="M31" i="1"/>
  <c r="L45" i="1"/>
  <c r="L44" i="1"/>
  <c r="P44" i="1"/>
  <c r="L43" i="1"/>
  <c r="P43" i="1"/>
  <c r="N43" i="1"/>
  <c r="N28" i="1"/>
  <c r="L42" i="1"/>
  <c r="L41" i="1"/>
  <c r="L40" i="1"/>
  <c r="L25" i="1"/>
  <c r="L27" i="1"/>
  <c r="L26" i="1"/>
  <c r="M37" i="1"/>
  <c r="L35" i="1"/>
  <c r="L39" i="1"/>
  <c r="L38" i="1"/>
  <c r="M32" i="1"/>
  <c r="L32" i="1" s="1"/>
  <c r="M36" i="1"/>
  <c r="M35" i="1"/>
  <c r="L23" i="1"/>
  <c r="L14" i="1"/>
  <c r="L13" i="1"/>
  <c r="H9" i="1"/>
  <c r="H12" i="1"/>
  <c r="I2" i="1" l="1"/>
  <c r="N75" i="1" s="1"/>
  <c r="N52" i="1" l="1"/>
  <c r="N67" i="1"/>
  <c r="N37" i="1"/>
  <c r="N76" i="1"/>
  <c r="N35" i="1"/>
  <c r="N34" i="1"/>
  <c r="N49" i="1"/>
  <c r="N70" i="1"/>
  <c r="N66" i="1"/>
  <c r="N68" i="1"/>
  <c r="N69" i="1"/>
  <c r="N78" i="1"/>
  <c r="N50" i="1"/>
  <c r="N133" i="1"/>
  <c r="N117" i="1"/>
  <c r="N123" i="1"/>
  <c r="N114" i="1"/>
  <c r="N109" i="1"/>
  <c r="N111" i="1"/>
  <c r="N107" i="1"/>
  <c r="N101" i="1"/>
  <c r="N103" i="1"/>
  <c r="N100" i="1"/>
  <c r="N82" i="1"/>
  <c r="N89" i="1"/>
  <c r="N81" i="1"/>
  <c r="N83" i="1"/>
  <c r="N88" i="1"/>
  <c r="N79" i="1"/>
  <c r="N65" i="1"/>
  <c r="N62" i="1"/>
  <c r="N63" i="1"/>
  <c r="N60" i="1"/>
  <c r="N61" i="1"/>
  <c r="N55" i="1"/>
  <c r="N59" i="1"/>
  <c r="N54" i="1"/>
  <c r="N53" i="1"/>
  <c r="N39" i="1"/>
  <c r="N38" i="1"/>
  <c r="N48" i="1"/>
  <c r="P33" i="1"/>
  <c r="N47" i="1"/>
  <c r="N32" i="1"/>
  <c r="N46" i="1"/>
  <c r="N31" i="1"/>
  <c r="N45" i="1"/>
  <c r="N44" i="1"/>
  <c r="N30" i="1"/>
  <c r="N29" i="1"/>
  <c r="N25" i="1"/>
  <c r="N40" i="1"/>
  <c r="N22" i="1"/>
  <c r="N13" i="1"/>
  <c r="Q32" i="1"/>
  <c r="R31" i="1"/>
  <c r="T31" i="1"/>
  <c r="S31" i="1"/>
  <c r="Q31" i="1"/>
  <c r="N11" i="1"/>
  <c r="N20" i="1"/>
  <c r="N24" i="1"/>
  <c r="N23" i="1"/>
  <c r="N14" i="1"/>
  <c r="N21" i="1"/>
  <c r="N19" i="1"/>
  <c r="N18" i="1"/>
  <c r="N16" i="1"/>
  <c r="N7" i="1"/>
  <c r="N15" i="1"/>
  <c r="Q15" i="1"/>
  <c r="N10" i="1"/>
  <c r="L12" i="1"/>
  <c r="L11" i="1"/>
  <c r="N12" i="1"/>
  <c r="L10" i="1"/>
  <c r="L9" i="1"/>
  <c r="N9" i="1"/>
  <c r="P6" i="1"/>
  <c r="P3" i="1"/>
  <c r="P4" i="1"/>
  <c r="P5" i="1"/>
  <c r="N2" i="1" l="1"/>
</calcChain>
</file>

<file path=xl/comments1.xml><?xml version="1.0" encoding="utf-8"?>
<comments xmlns="http://schemas.openxmlformats.org/spreadsheetml/2006/main">
  <authors>
    <author>Lance</author>
  </authors>
  <commentList>
    <comment ref="B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彩种</t>
        </r>
      </text>
    </comment>
    <comment ref="C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期号</t>
        </r>
      </text>
    </comment>
    <comment ref="D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投注范围
</t>
        </r>
      </text>
    </comment>
    <comment ref="E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组名
</t>
        </r>
      </text>
    </comment>
    <comment ref="F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玩法</t>
        </r>
      </text>
    </comment>
    <comment ref="G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列
</t>
        </r>
      </text>
    </comment>
    <comment ref="H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元素</t>
        </r>
      </text>
    </comment>
    <comment ref="I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倍数
</t>
        </r>
      </text>
    </comment>
    <comment ref="J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Lance:奖金基数</t>
        </r>
      </text>
    </comment>
    <comment ref="K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开奖号码</t>
        </r>
      </text>
    </comment>
    <comment ref="L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Lance:对应列是否中奖，中奖返回1，未中奖返回0</t>
        </r>
      </text>
    </comment>
    <comment ref="N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中奖金额
</t>
        </r>
      </text>
    </comment>
    <comment ref="J3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6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9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50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M76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是否只有含一个对子</t>
        </r>
      </text>
    </comment>
    <comment ref="J123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1.结果为龙虎时，赔率为2.177</t>
        </r>
      </text>
    </comment>
    <comment ref="J128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2.结果为和时，赔率为9.800</t>
        </r>
      </text>
    </comment>
  </commentList>
</comments>
</file>

<file path=xl/sharedStrings.xml><?xml version="1.0" encoding="utf-8"?>
<sst xmlns="http://schemas.openxmlformats.org/spreadsheetml/2006/main" count="474" uniqueCount="210">
  <si>
    <t>LotteryType</t>
  </si>
  <si>
    <t>BetRange</t>
  </si>
  <si>
    <t>PlayType</t>
  </si>
  <si>
    <t>Clomun</t>
  </si>
  <si>
    <t>Option</t>
  </si>
  <si>
    <t>ID</t>
  </si>
  <si>
    <t>一星</t>
  </si>
  <si>
    <t>复式</t>
  </si>
  <si>
    <t>万位</t>
  </si>
  <si>
    <t>001</t>
  </si>
  <si>
    <t>千位</t>
  </si>
  <si>
    <t>百位</t>
  </si>
  <si>
    <t>Issue</t>
  </si>
  <si>
    <t>Group</t>
  </si>
  <si>
    <t>Multiple</t>
  </si>
  <si>
    <t>Reward</t>
  </si>
  <si>
    <t>AwardNumber</t>
  </si>
  <si>
    <t>isDrawn</t>
  </si>
  <si>
    <t>DrawnAmount</t>
  </si>
  <si>
    <t>时时彩</t>
  </si>
  <si>
    <t>定位胆</t>
  </si>
  <si>
    <t>0,1,2,3,4,5,6,7,8,9</t>
  </si>
  <si>
    <t>十位</t>
  </si>
  <si>
    <t>个位</t>
  </si>
  <si>
    <t>前二</t>
  </si>
  <si>
    <t>直选</t>
  </si>
  <si>
    <t>直选复式</t>
  </si>
  <si>
    <t>直选单式</t>
  </si>
  <si>
    <t>null</t>
  </si>
  <si>
    <t>直选和值</t>
  </si>
  <si>
    <t>和值</t>
  </si>
  <si>
    <t>0,1,2,3,4,6,7,8,9,10,11,12,13,14,15,16,17,18</t>
  </si>
  <si>
    <t>跨度</t>
  </si>
  <si>
    <t>组选</t>
  </si>
  <si>
    <t>组选复式</t>
  </si>
  <si>
    <t>组选单式</t>
  </si>
  <si>
    <t>组选和值</t>
  </si>
  <si>
    <t>组选包胆</t>
  </si>
  <si>
    <t>包胆</t>
  </si>
  <si>
    <t>后二</t>
  </si>
  <si>
    <t>前三</t>
  </si>
  <si>
    <t>单式</t>
  </si>
  <si>
    <t>1,2,3,4,6,7,8,9,10,11,12,13,14,15,16,17,18,19,20,21,22,23,24,25,26</t>
  </si>
  <si>
    <t>组三</t>
  </si>
  <si>
    <t>组六</t>
  </si>
  <si>
    <t>混合组选</t>
  </si>
  <si>
    <t>组三单式</t>
  </si>
  <si>
    <t>组六单式</t>
  </si>
  <si>
    <t>不定位</t>
  </si>
  <si>
    <t>一码不定位</t>
  </si>
  <si>
    <t>二码不定位</t>
  </si>
  <si>
    <t>中三</t>
    <phoneticPr fontId="1" type="noConversion"/>
  </si>
  <si>
    <t>后三</t>
    <phoneticPr fontId="1" type="noConversion"/>
  </si>
  <si>
    <t>四星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</si>
  <si>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</si>
  <si>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</si>
  <si>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</si>
  <si>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</si>
  <si>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</si>
  <si>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</si>
  <si>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</si>
  <si>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</si>
  <si>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二重号位</t>
    <phoneticPr fontId="1" type="noConversion"/>
  </si>
  <si>
    <t>单号位</t>
    <phoneticPr fontId="1" type="noConversion"/>
  </si>
  <si>
    <t>组选6</t>
    <phoneticPr fontId="1" type="noConversion"/>
  </si>
  <si>
    <t>组选4</t>
    <phoneticPr fontId="1" type="noConversion"/>
  </si>
  <si>
    <t>单号位</t>
    <phoneticPr fontId="1" type="noConversion"/>
  </si>
  <si>
    <t>三重号位</t>
    <phoneticPr fontId="1" type="noConversion"/>
  </si>
  <si>
    <t>不定位</t>
    <phoneticPr fontId="1" type="noConversion"/>
  </si>
  <si>
    <t>一码不定位</t>
    <phoneticPr fontId="1" type="noConversion"/>
  </si>
  <si>
    <t>二码不定位</t>
    <phoneticPr fontId="1" type="noConversion"/>
  </si>
  <si>
    <t>不定位</t>
    <phoneticPr fontId="1" type="noConversion"/>
  </si>
  <si>
    <t>五星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</si>
  <si>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</si>
  <si>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</si>
  <si>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</si>
  <si>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</si>
  <si>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</si>
  <si>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20</t>
    </r>
    <phoneticPr fontId="1" type="noConversion"/>
  </si>
  <si>
    <r>
      <t>组选6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</si>
  <si>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</si>
  <si>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</si>
  <si>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</si>
  <si>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组选5</t>
    <phoneticPr fontId="1" type="noConversion"/>
  </si>
  <si>
    <t>组选120</t>
    <phoneticPr fontId="1" type="noConversion"/>
  </si>
  <si>
    <t>二重号位</t>
    <phoneticPr fontId="1" type="noConversion"/>
  </si>
  <si>
    <t>三重号位</t>
    <phoneticPr fontId="1" type="noConversion"/>
  </si>
  <si>
    <t>三重号位</t>
    <phoneticPr fontId="1" type="noConversion"/>
  </si>
  <si>
    <t>四重号位</t>
    <phoneticPr fontId="1" type="noConversion"/>
  </si>
  <si>
    <t>单号位</t>
    <phoneticPr fontId="1" type="noConversion"/>
  </si>
  <si>
    <t>一码不定位</t>
    <phoneticPr fontId="1" type="noConversion"/>
  </si>
  <si>
    <t>二码不定位</t>
    <phoneticPr fontId="1" type="noConversion"/>
  </si>
  <si>
    <t>三码不定位</t>
    <phoneticPr fontId="1" type="noConversion"/>
  </si>
  <si>
    <t>不定位</t>
    <phoneticPr fontId="1" type="noConversion"/>
  </si>
  <si>
    <t>趣味</t>
    <phoneticPr fontId="1" type="noConversion"/>
  </si>
  <si>
    <t>一帆风顺</t>
    <phoneticPr fontId="1" type="noConversion"/>
  </si>
  <si>
    <t>好事成双</t>
    <phoneticPr fontId="1" type="noConversion"/>
  </si>
  <si>
    <t>三星报喜</t>
    <phoneticPr fontId="1" type="noConversion"/>
  </si>
  <si>
    <t>四季发财</t>
    <phoneticPr fontId="1" type="noConversion"/>
  </si>
  <si>
    <t>大小单双</t>
    <phoneticPr fontId="1" type="noConversion"/>
  </si>
  <si>
    <t>大小单双</t>
    <phoneticPr fontId="1" type="noConversion"/>
  </si>
  <si>
    <t>前二</t>
    <phoneticPr fontId="1" type="noConversion"/>
  </si>
  <si>
    <t>万位</t>
    <phoneticPr fontId="1" type="noConversion"/>
  </si>
  <si>
    <t>千位</t>
    <phoneticPr fontId="1" type="noConversion"/>
  </si>
  <si>
    <t>大小单双</t>
    <phoneticPr fontId="1" type="noConversion"/>
  </si>
  <si>
    <t>后二</t>
    <phoneticPr fontId="1" type="noConversion"/>
  </si>
  <si>
    <t>十位</t>
    <phoneticPr fontId="1" type="noConversion"/>
  </si>
  <si>
    <t>个位</t>
    <phoneticPr fontId="1" type="noConversion"/>
  </si>
  <si>
    <t>前三</t>
    <phoneticPr fontId="1" type="noConversion"/>
  </si>
  <si>
    <t>万位</t>
    <phoneticPr fontId="1" type="noConversion"/>
  </si>
  <si>
    <t>千位</t>
    <phoneticPr fontId="1" type="noConversion"/>
  </si>
  <si>
    <t>百位</t>
    <phoneticPr fontId="1" type="noConversion"/>
  </si>
  <si>
    <t>百位</t>
    <phoneticPr fontId="1" type="noConversion"/>
  </si>
  <si>
    <t>十位</t>
    <phoneticPr fontId="1" type="noConversion"/>
  </si>
  <si>
    <t>两面</t>
    <phoneticPr fontId="1" type="noConversion"/>
  </si>
  <si>
    <t>1元模式</t>
    <phoneticPr fontId="1" type="noConversion"/>
  </si>
  <si>
    <t>总和</t>
    <phoneticPr fontId="1" type="noConversion"/>
  </si>
  <si>
    <t>大小单双质合</t>
    <phoneticPr fontId="1" type="noConversion"/>
  </si>
  <si>
    <t>龙虎斗</t>
    <phoneticPr fontId="1" type="noConversion"/>
  </si>
  <si>
    <t>1元模式</t>
    <phoneticPr fontId="1" type="noConversion"/>
  </si>
  <si>
    <t>1元模式</t>
    <phoneticPr fontId="1" type="noConversion"/>
  </si>
  <si>
    <t>龙虎斗</t>
    <phoneticPr fontId="1" type="noConversion"/>
  </si>
  <si>
    <t>万千</t>
    <phoneticPr fontId="1" type="noConversion"/>
  </si>
  <si>
    <t>万百</t>
    <phoneticPr fontId="1" type="noConversion"/>
  </si>
  <si>
    <t>万十</t>
    <phoneticPr fontId="1" type="noConversion"/>
  </si>
  <si>
    <t>万个</t>
    <phoneticPr fontId="1" type="noConversion"/>
  </si>
  <si>
    <t>千百</t>
    <phoneticPr fontId="1" type="noConversion"/>
  </si>
  <si>
    <t>千十</t>
    <phoneticPr fontId="1" type="noConversion"/>
  </si>
  <si>
    <t>千个</t>
    <phoneticPr fontId="1" type="noConversion"/>
  </si>
  <si>
    <t>百十</t>
    <phoneticPr fontId="1" type="noConversion"/>
  </si>
  <si>
    <t>百个</t>
    <phoneticPr fontId="1" type="noConversion"/>
  </si>
  <si>
    <t>十个</t>
    <phoneticPr fontId="1" type="noConversion"/>
  </si>
  <si>
    <t>猜豹子</t>
    <phoneticPr fontId="1" type="noConversion"/>
  </si>
  <si>
    <t>猜豹子</t>
    <phoneticPr fontId="1" type="noConversion"/>
  </si>
  <si>
    <t>null</t>
    <phoneticPr fontId="1" type="noConversion"/>
  </si>
  <si>
    <t>0,1,2,7,8,9</t>
    <phoneticPr fontId="1" type="noConversion"/>
  </si>
  <si>
    <t>已实现</t>
  </si>
  <si>
    <t>已实现</t>
    <phoneticPr fontId="1" type="noConversion"/>
  </si>
  <si>
    <t>已实现</t>
    <phoneticPr fontId="1" type="noConversion"/>
  </si>
  <si>
    <t>,0,1,2,3,10,11,12,13,14,15,16,17,18，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</si>
  <si>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01,02,03,45,48,49,68,39</t>
    </r>
    <phoneticPr fontId="1" type="noConversion"/>
  </si>
  <si>
    <t>0,1,3,5,6,8,9</t>
    <phoneticPr fontId="1" type="noConversion"/>
  </si>
  <si>
    <t>0,1,2,4,5,6,7,9</t>
    <phoneticPr fontId="1" type="noConversion"/>
  </si>
  <si>
    <t>0,2,3,4,6,7,8,9</t>
    <phoneticPr fontId="1" type="noConversion"/>
  </si>
  <si>
    <t>十位</t>
    <phoneticPr fontId="1" type="noConversion"/>
  </si>
  <si>
    <t>个位</t>
    <phoneticPr fontId="1" type="noConversion"/>
  </si>
  <si>
    <t>,0,1,2,3,4,6,7,8,9,10,11,13,14,16,17,</t>
    <phoneticPr fontId="1" type="noConversion"/>
  </si>
  <si>
    <t>0,2,3,5,6,7,9</t>
    <phoneticPr fontId="1" type="noConversion"/>
  </si>
  <si>
    <r>
      <t>,1,2,3,4,6,7,8,9,17</t>
    </r>
    <r>
      <rPr>
        <sz val="11"/>
        <color theme="1"/>
        <rFont val="宋体"/>
        <family val="3"/>
        <charset val="134"/>
        <scheme val="minor"/>
      </rPr>
      <t>,</t>
    </r>
    <phoneticPr fontId="1" type="noConversion"/>
  </si>
  <si>
    <t>,1,2,3,8,9,10,11,12,13,14,15,</t>
    <phoneticPr fontId="1" type="noConversion"/>
  </si>
  <si>
    <t>0,1,4,5,6,9</t>
    <phoneticPr fontId="1" type="noConversion"/>
  </si>
  <si>
    <t>0,1,2,3,4,6,10,11,12,13,16,17,18</t>
    <phoneticPr fontId="1" type="noConversion"/>
  </si>
  <si>
    <t>0,3,4,5,6,9</t>
    <phoneticPr fontId="1" type="noConversion"/>
  </si>
  <si>
    <t>,1,2,3,4,6,7,8,9,10,11,12,13,14,15,16,17,18,19,20,21,22,23,24,25,26,</t>
    <phoneticPr fontId="1" type="noConversion"/>
  </si>
  <si>
    <t>0,2,3,6,7,9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</si>
  <si>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sDouble</t>
    </r>
    <phoneticPr fontId="1" type="noConversion"/>
  </si>
  <si>
    <r>
      <t>0,1,3,</t>
    </r>
    <r>
      <rPr>
        <sz val="11"/>
        <color theme="1"/>
        <rFont val="宋体"/>
        <charset val="134"/>
        <scheme val="minor"/>
      </rPr>
      <t>7,8</t>
    </r>
    <phoneticPr fontId="1" type="noConversion"/>
  </si>
  <si>
    <t>千位</t>
    <phoneticPr fontId="1" type="noConversion"/>
  </si>
  <si>
    <t>百位</t>
    <phoneticPr fontId="1" type="noConversion"/>
  </si>
  <si>
    <t>十位</t>
    <phoneticPr fontId="1" type="noConversion"/>
  </si>
  <si>
    <t>0,3,4,5,6,7,8,9</t>
    <phoneticPr fontId="1" type="noConversion"/>
  </si>
  <si>
    <t>0,1,2,5,6,7,8,9</t>
    <phoneticPr fontId="1" type="noConversion"/>
  </si>
  <si>
    <t>0,1,2,3,4,7,8,9</t>
    <phoneticPr fontId="1" type="noConversion"/>
  </si>
  <si>
    <t>0,3,4,5,6,7,8,9</t>
    <phoneticPr fontId="1" type="noConversion"/>
  </si>
  <si>
    <t>0,1,2,5,6,7,8,9</t>
    <phoneticPr fontId="1" type="noConversion"/>
  </si>
  <si>
    <t>,0,1,2,3,4,6,7,8,9,10,11,12,13,14,15,16,17,18,</t>
    <phoneticPr fontId="1" type="noConversion"/>
  </si>
  <si>
    <t>0,1,2,8,9</t>
    <phoneticPr fontId="1" type="noConversion"/>
  </si>
  <si>
    <t>0,1,2,3,4,5,6,7,8,9</t>
    <phoneticPr fontId="1" type="noConversion"/>
  </si>
  <si>
    <r>
      <t>0,1,2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7,8,9</t>
    </r>
    <phoneticPr fontId="1" type="noConversion"/>
  </si>
  <si>
    <t>百位</t>
    <phoneticPr fontId="1" type="noConversion"/>
  </si>
  <si>
    <t>十位</t>
    <phoneticPr fontId="1" type="noConversion"/>
  </si>
  <si>
    <t>个位</t>
    <phoneticPr fontId="1" type="noConversion"/>
  </si>
  <si>
    <t>0,1,2,3,6,7,8,9</t>
    <phoneticPr fontId="1" type="noConversion"/>
  </si>
  <si>
    <t>0,1,2,3,4,5,8,9</t>
    <phoneticPr fontId="1" type="noConversion"/>
  </si>
  <si>
    <t>0,1,4,5,6,7,8,9</t>
    <phoneticPr fontId="1" type="noConversion"/>
  </si>
  <si>
    <t>2,3,4,5,6,7,8,9</t>
    <phoneticPr fontId="1" type="noConversion"/>
  </si>
  <si>
    <t>已实现</t>
    <phoneticPr fontId="1" type="noConversion"/>
  </si>
  <si>
    <t>0,1,2,4,5,6,8,9</t>
    <phoneticPr fontId="1" type="noConversion"/>
  </si>
  <si>
    <t>已完成</t>
    <phoneticPr fontId="1" type="noConversion"/>
  </si>
  <si>
    <t>0,1,2,3,4,5,6,7,8,9</t>
    <phoneticPr fontId="1" type="noConversion"/>
  </si>
  <si>
    <t>没有判断开奖号
码为空的情况</t>
    <phoneticPr fontId="1" type="noConversion"/>
  </si>
  <si>
    <t>已实现</t>
    <phoneticPr fontId="1" type="noConversion"/>
  </si>
  <si>
    <t>,12212,</t>
    <phoneticPr fontId="1" type="noConversion"/>
  </si>
  <si>
    <t>有点问题</t>
    <phoneticPr fontId="1" type="noConversion"/>
  </si>
  <si>
    <t>还有问题</t>
    <phoneticPr fontId="1" type="noConversion"/>
  </si>
  <si>
    <t>含对子的情况未考虑</t>
    <phoneticPr fontId="1" type="noConversion"/>
  </si>
  <si>
    <t>小</t>
    <phoneticPr fontId="1" type="noConversion"/>
  </si>
  <si>
    <t>双</t>
    <phoneticPr fontId="1" type="noConversion"/>
  </si>
  <si>
    <t>小单</t>
    <phoneticPr fontId="1" type="noConversion"/>
  </si>
  <si>
    <t>已实现</t>
    <phoneticPr fontId="1" type="noConversion"/>
  </si>
  <si>
    <t>已实现</t>
    <phoneticPr fontId="1" type="noConversion"/>
  </si>
  <si>
    <t>小</t>
    <phoneticPr fontId="1" type="noConversion"/>
  </si>
  <si>
    <t>已实现</t>
    <phoneticPr fontId="1" type="noConversion"/>
  </si>
  <si>
    <t>和大和双</t>
    <phoneticPr fontId="1" type="noConversion"/>
  </si>
  <si>
    <t>合</t>
    <phoneticPr fontId="1" type="noConversion"/>
  </si>
  <si>
    <t>双</t>
    <phoneticPr fontId="1" type="noConversion"/>
  </si>
  <si>
    <t>龙虎和</t>
    <phoneticPr fontId="1" type="noConversion"/>
  </si>
  <si>
    <t>龙虎和</t>
    <phoneticPr fontId="1" type="noConversion"/>
  </si>
  <si>
    <t>龙虎和</t>
    <phoneticPr fontId="1" type="noConversion"/>
  </si>
  <si>
    <t>龙虎和</t>
    <phoneticPr fontId="1" type="noConversion"/>
  </si>
  <si>
    <t>已实现</t>
    <phoneticPr fontId="1" type="noConversion"/>
  </si>
  <si>
    <t>,212,321,312,132,231</t>
    <phoneticPr fontId="1" type="noConversion"/>
  </si>
  <si>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22</t>
    </r>
    <phoneticPr fontId="1" type="noConversion"/>
  </si>
  <si>
    <t>,222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</si>
  <si>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122</t>
    </r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</si>
  <si>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121</t>
    </r>
    <phoneticPr fontId="1" type="noConversion"/>
  </si>
  <si>
    <t>,122</t>
    <phoneticPr fontId="1" type="noConversion"/>
  </si>
  <si>
    <t>,132</t>
    <phoneticPr fontId="1" type="noConversion"/>
  </si>
  <si>
    <t>,214</t>
    <phoneticPr fontId="1" type="noConversion"/>
  </si>
  <si>
    <t>,144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</si>
</sst>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3" borderId="0" xfId="2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0" xfId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9" fillId="0" borderId="0" xfId="0" applyFo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33"/>
  <sheetViews>
    <sheetView tabSelected="1" topLeftCell="D1" zoomScaleNormal="100" workbookViewId="0">
      <pane ySplit="1" topLeftCell="A66" activePane="bottomLeft" state="frozen"/>
      <selection activeCell="D1" sqref="D1"/>
      <selection pane="bottomLeft" activeCell="P81" sqref="P81"/>
    </sheetView>
  </sheetViews>
  <sheetFormatPr defaultColWidth="9" defaultRowHeight="13.5" x14ac:dyDescent="0.15"/>
  <cols>
    <col min="1" max="1" width="4.5" style="1" hidden="1" customWidth="1"/>
    <col min="2" max="3" width="12.75" style="1" hidden="1" customWidth="1"/>
    <col min="4" max="6" width="9.5" style="1" bestFit="1" customWidth="1"/>
    <col min="7" max="7" width="9" style="1" bestFit="1" customWidth="1"/>
    <col min="8" max="8" width="26.125" style="4" bestFit="1" customWidth="1"/>
    <col min="9" max="9" width="9.5" style="1" bestFit="1" customWidth="1"/>
    <col min="10" max="10" width="8.5" style="1" bestFit="1" customWidth="1"/>
    <col min="11" max="11" width="12.75" style="1" bestFit="1" customWidth="1"/>
    <col min="12" max="12" width="8.5" style="1" bestFit="1" customWidth="1"/>
    <col min="13" max="13" width="13" style="1" bestFit="1" customWidth="1"/>
    <col min="14" max="14" width="12.75" style="1" bestFit="1" customWidth="1"/>
    <col min="15" max="15" width="14.125" style="8" customWidth="1"/>
    <col min="16" max="16" width="19.25" style="1" bestFit="1" customWidth="1"/>
    <col min="17" max="17" width="15.625" style="1" customWidth="1"/>
    <col min="18" max="16384" width="9" style="1"/>
  </cols>
  <sheetData>
    <row r="1" spans="1:18" ht="32.25" customHeight="1" x14ac:dyDescent="0.15">
      <c r="A1" s="1" t="s">
        <v>5</v>
      </c>
      <c r="B1" s="1" t="s">
        <v>0</v>
      </c>
      <c r="C1" s="3" t="s">
        <v>12</v>
      </c>
      <c r="D1" s="1" t="s">
        <v>1</v>
      </c>
      <c r="E1" s="3" t="s">
        <v>13</v>
      </c>
      <c r="F1" s="1" t="s">
        <v>2</v>
      </c>
      <c r="G1" s="1" t="s">
        <v>3</v>
      </c>
      <c r="H1" s="4" t="s">
        <v>4</v>
      </c>
      <c r="I1" s="3" t="s">
        <v>14</v>
      </c>
      <c r="J1" s="3" t="s">
        <v>15</v>
      </c>
      <c r="K1" s="3" t="s">
        <v>16</v>
      </c>
      <c r="L1" s="3" t="s">
        <v>17</v>
      </c>
      <c r="M1" s="16" t="s">
        <v>155</v>
      </c>
      <c r="N1" s="3" t="s">
        <v>18</v>
      </c>
      <c r="O1" s="18" t="s">
        <v>180</v>
      </c>
    </row>
    <row r="2" spans="1:18" ht="13.5" customHeight="1" x14ac:dyDescent="0.15">
      <c r="A2" s="5" t="s">
        <v>9</v>
      </c>
      <c r="B2" s="3" t="s">
        <v>19</v>
      </c>
      <c r="C2" s="1">
        <v>20180517001</v>
      </c>
      <c r="D2" s="24" t="s">
        <v>6</v>
      </c>
      <c r="E2" s="24" t="s">
        <v>20</v>
      </c>
      <c r="F2" s="24" t="s">
        <v>7</v>
      </c>
      <c r="G2" s="3" t="s">
        <v>8</v>
      </c>
      <c r="H2" s="10" t="s">
        <v>179</v>
      </c>
      <c r="I2" s="23">
        <f ca="1">RANDBETWEEN(0,100)</f>
        <v>13</v>
      </c>
      <c r="J2" s="23">
        <v>19.600000000000001</v>
      </c>
      <c r="K2" s="23">
        <v>32145</v>
      </c>
      <c r="L2" s="1">
        <f>IF(AND(ISNUMBER(FIND(LEFT(K2,1),H2,1)),LEN(K2)&lt;&gt;0),1,0)</f>
        <v>1</v>
      </c>
      <c r="N2" s="23">
        <f ca="1">SUM(L2:L6)*I2*J2</f>
        <v>1274</v>
      </c>
      <c r="O2" s="25" t="s">
        <v>137</v>
      </c>
      <c r="P2" s="15">
        <f>FIND(LEFT(K2,1),H2,1)</f>
        <v>7</v>
      </c>
      <c r="Q2" s="1" t="b">
        <f>LEN(K2)&lt;&gt;0</f>
        <v>1</v>
      </c>
    </row>
    <row r="3" spans="1:18" x14ac:dyDescent="0.15">
      <c r="B3" s="3"/>
      <c r="D3" s="24"/>
      <c r="E3" s="24"/>
      <c r="F3" s="24"/>
      <c r="G3" s="1" t="s">
        <v>10</v>
      </c>
      <c r="H3" s="7" t="s">
        <v>21</v>
      </c>
      <c r="I3" s="23"/>
      <c r="J3" s="23"/>
      <c r="K3" s="23"/>
      <c r="L3" s="1">
        <f>IF(AND(ISNUMBER(FIND(MID(K2,2,1),H3,1)),LEN(K2)&lt;&gt;0),1,0)</f>
        <v>1</v>
      </c>
      <c r="N3" s="23"/>
      <c r="O3" s="25"/>
      <c r="P3" s="1" t="str">
        <f>MID(K2,2,1)</f>
        <v>2</v>
      </c>
    </row>
    <row r="4" spans="1:18" x14ac:dyDescent="0.15">
      <c r="D4" s="24"/>
      <c r="E4" s="24"/>
      <c r="F4" s="24"/>
      <c r="G4" s="1" t="s">
        <v>11</v>
      </c>
      <c r="H4" s="7" t="s">
        <v>21</v>
      </c>
      <c r="I4" s="23"/>
      <c r="J4" s="23"/>
      <c r="K4" s="23"/>
      <c r="L4" s="1">
        <f>IF(AND(ISNUMBER(FIND(MID(K2,3,1),H4,1)),LEN(K2)&lt;&gt;0),1,0)</f>
        <v>1</v>
      </c>
      <c r="N4" s="23"/>
      <c r="O4" s="25"/>
      <c r="P4" s="1" t="str">
        <f>MID(K2,3,1)</f>
        <v>1</v>
      </c>
    </row>
    <row r="5" spans="1:18" x14ac:dyDescent="0.15">
      <c r="D5" s="24"/>
      <c r="E5" s="24"/>
      <c r="F5" s="24"/>
      <c r="G5" s="3" t="s">
        <v>22</v>
      </c>
      <c r="H5" s="7" t="s">
        <v>21</v>
      </c>
      <c r="I5" s="23"/>
      <c r="J5" s="23"/>
      <c r="K5" s="23"/>
      <c r="L5" s="1">
        <f>IF(AND(ISNUMBER(FIND(MID(K2,4,1),H5,1)),LEN(K2)&lt;&gt;0),1,0)</f>
        <v>1</v>
      </c>
      <c r="M5" s="23"/>
      <c r="N5" s="23"/>
      <c r="O5" s="25"/>
      <c r="P5" s="1" t="str">
        <f>MID(K2,4,1)</f>
        <v>4</v>
      </c>
    </row>
    <row r="6" spans="1:18" x14ac:dyDescent="0.15">
      <c r="D6" s="24"/>
      <c r="E6" s="24"/>
      <c r="F6" s="24"/>
      <c r="G6" s="3" t="s">
        <v>23</v>
      </c>
      <c r="H6" s="7" t="s">
        <v>21</v>
      </c>
      <c r="I6" s="23"/>
      <c r="J6" s="23"/>
      <c r="K6" s="23"/>
      <c r="L6" s="1">
        <f>IF(AND(ISNUMBER(FIND(RIGHT(K2,1),H6,1)),LEN(K2)&lt;&gt;0),1,0)</f>
        <v>1</v>
      </c>
      <c r="M6" s="23"/>
      <c r="N6" s="23"/>
      <c r="O6" s="25"/>
      <c r="P6" s="1" t="str">
        <f>RIGHT(K2,1)</f>
        <v>5</v>
      </c>
    </row>
    <row r="7" spans="1:18" x14ac:dyDescent="0.15">
      <c r="D7" s="24" t="s">
        <v>24</v>
      </c>
      <c r="E7" s="24" t="s">
        <v>25</v>
      </c>
      <c r="F7" s="24" t="s">
        <v>26</v>
      </c>
      <c r="G7" s="3" t="s">
        <v>8</v>
      </c>
      <c r="H7" s="7" t="s">
        <v>21</v>
      </c>
      <c r="I7" s="23"/>
      <c r="J7" s="23">
        <v>196</v>
      </c>
      <c r="K7" s="23"/>
      <c r="L7" s="1">
        <f>IF(ISNUMBER(FIND(LEFT(K2,1),H7,1)),1,0)</f>
        <v>1</v>
      </c>
      <c r="M7" s="23"/>
      <c r="N7" s="23">
        <f ca="1">IF(IF(ISNUMBER(FIND(LEFT(K2,1),H7,1)),1,"0")+IF(ISNUMBER(FIND(MID(K2,2,1),H8,1)),1,"0")=2,I2*J7*1,0)</f>
        <v>2548</v>
      </c>
      <c r="O7" s="25" t="s">
        <v>138</v>
      </c>
    </row>
    <row r="8" spans="1:18" x14ac:dyDescent="0.15">
      <c r="D8" s="24"/>
      <c r="E8" s="24"/>
      <c r="F8" s="24"/>
      <c r="G8" s="1" t="s">
        <v>10</v>
      </c>
      <c r="H8" s="7" t="s">
        <v>21</v>
      </c>
      <c r="I8" s="23"/>
      <c r="J8" s="23"/>
      <c r="K8" s="23"/>
      <c r="L8" s="1">
        <f>IF(ISNUMBER(FIND(MID(K2,2,1),H8,1)),1,0)</f>
        <v>1</v>
      </c>
      <c r="M8" s="23"/>
      <c r="N8" s="23"/>
      <c r="O8" s="25"/>
    </row>
    <row r="9" spans="1:18" ht="13.5" customHeight="1" x14ac:dyDescent="0.15">
      <c r="D9" s="24"/>
      <c r="E9" s="24"/>
      <c r="F9" s="3" t="s">
        <v>27</v>
      </c>
      <c r="G9" s="3" t="s">
        <v>28</v>
      </c>
      <c r="H9" s="4" t="str">
        <f ca="1">","&amp;RANDBETWEEN(0,9)&amp;RANDBETWEEN(0,9)&amp;","&amp;RANDBETWEEN(0,9)&amp;RANDBETWEEN(0,9)&amp;","&amp;RANDBETWEEN(0,9)&amp;RANDBETWEEN(0,9)&amp;","&amp;RANDBETWEEN(0,9)&amp;RANDBETWEEN(0,9)</f>
        <v>,75,78,41,99</v>
      </c>
      <c r="I9" s="23"/>
      <c r="J9" s="1">
        <v>196</v>
      </c>
      <c r="K9" s="23"/>
      <c r="L9" s="9">
        <f ca="1">IF(ISNUMBER(FIND(","&amp;LEFT(K2,2),H9,1)),1,0)</f>
        <v>0</v>
      </c>
      <c r="M9" s="23"/>
      <c r="N9" s="2">
        <f ca="1">IF(ISNUMBER(FIND(","&amp;LEFT(K2,2),H9,1)),I2*J9,0)</f>
        <v>0</v>
      </c>
      <c r="O9" s="11" t="s">
        <v>136</v>
      </c>
    </row>
    <row r="10" spans="1:18" ht="27" x14ac:dyDescent="0.15">
      <c r="D10" s="24"/>
      <c r="E10" s="24"/>
      <c r="F10" s="3" t="s">
        <v>29</v>
      </c>
      <c r="G10" s="3" t="s">
        <v>30</v>
      </c>
      <c r="H10" s="10" t="s">
        <v>139</v>
      </c>
      <c r="I10" s="23"/>
      <c r="J10" s="1">
        <v>196</v>
      </c>
      <c r="K10" s="23"/>
      <c r="L10" s="8">
        <f>IF(ISNUMBER(FIND(","&amp;SUM(LEFT(K2,1),MID(K2,2,1))&amp;",",H10,1)),1,0)</f>
        <v>0</v>
      </c>
      <c r="N10" s="1">
        <f>IF(ISNUMBER(FIND(","&amp;SUM(LEFT(K2,1),MID(K2,2,1))&amp;",",H10,1)),I2*J10,0)</f>
        <v>0</v>
      </c>
      <c r="O10" s="11" t="s">
        <v>136</v>
      </c>
      <c r="R10" s="15" t="str">
        <f ca="1">RANDBETWEEN(0,9)&amp;RANDBETWEEN(0,9)&amp;RANDBETWEEN(0,9)&amp;RANDBETWEEN(0,9)&amp;RANDBETWEEN(0,9)</f>
        <v>50068</v>
      </c>
    </row>
    <row r="11" spans="1:18" x14ac:dyDescent="0.15">
      <c r="D11" s="24"/>
      <c r="E11" s="24"/>
      <c r="F11" s="3" t="s">
        <v>32</v>
      </c>
      <c r="G11" s="3" t="s">
        <v>32</v>
      </c>
      <c r="H11" s="10" t="s">
        <v>135</v>
      </c>
      <c r="I11" s="23"/>
      <c r="J11" s="1">
        <v>196</v>
      </c>
      <c r="K11" s="23"/>
      <c r="L11" s="1">
        <f>IF(ISNUMBER(FIND(IF(LEFT(K2,1)&gt;MID(K2,2,1),LEFT(K2,1)-MID(K2,2,1),MID(K2,2,1)-LEFT(K2,1)),H11,1)),1,0)</f>
        <v>1</v>
      </c>
      <c r="N11" s="1">
        <f ca="1">IF(ISNUMBER(FIND(MAX(LEFT(K2,1),MID(K2,2,1))-MIN(LEFT(K2,1),MID(K2,2,1)),H11,1)),I2*J11*1,0)</f>
        <v>2548</v>
      </c>
      <c r="O11" s="11" t="s">
        <v>136</v>
      </c>
    </row>
    <row r="12" spans="1:18" x14ac:dyDescent="0.15">
      <c r="D12" s="24"/>
      <c r="E12" s="24" t="s">
        <v>33</v>
      </c>
      <c r="F12" s="3" t="s">
        <v>34</v>
      </c>
      <c r="G12" s="3" t="s">
        <v>33</v>
      </c>
      <c r="H12" s="10" t="str">
        <f>0&amp;123456789</f>
        <v>0123456789</v>
      </c>
      <c r="I12" s="23"/>
      <c r="J12" s="1">
        <v>98</v>
      </c>
      <c r="K12" s="23"/>
      <c r="L12" s="8">
        <f>IF(LEFT(K2,1)&lt;&gt;MID(K2,2,1),IF(IF(ISNUMBER(FIND(LEFT(K2,1),H12,1)),1,0)+IF(ISNUMBER(FIND(MID(K2,2,1),H12,1)),1,0)=2,1,0),0)</f>
        <v>1</v>
      </c>
      <c r="N12" s="1">
        <f ca="1">IF(LEFT(K2,1)&lt;&gt;MID(K2,2,1),IF(IF(ISNUMBER(FIND(LEFT(K2,1),H12,1)),1,0)+IF(ISNUMBER(FIND(MID(K2,2,1),H12,1)),1,0)=2,I2*J12,0),0)</f>
        <v>1274</v>
      </c>
      <c r="O12" s="11" t="s">
        <v>136</v>
      </c>
      <c r="P12" s="16"/>
    </row>
    <row r="13" spans="1:18" ht="13.5" customHeight="1" x14ac:dyDescent="0.15">
      <c r="D13" s="24"/>
      <c r="E13" s="24"/>
      <c r="F13" s="3" t="s">
        <v>35</v>
      </c>
      <c r="G13" s="3" t="s">
        <v>28</v>
      </c>
      <c r="H13" s="10" t="s">
        <v>140</v>
      </c>
      <c r="I13" s="23"/>
      <c r="J13" s="1">
        <v>98</v>
      </c>
      <c r="K13" s="23"/>
      <c r="L13" s="1" t="str">
        <f>LEFT(K2,2)</f>
        <v>32</v>
      </c>
      <c r="N13" s="1">
        <f>IF(EXACT(LEFT(K2,1),MID(K2,2,1)),0,IF(OR(ISNUMBER(FIND(","&amp;LEFT(K2,2)&amp;",",H13,1)),ISNUMBER(FIND(","&amp;MID(K2,2,1)&amp;LEFT(K2,1)&amp;",",H13,1))),I2*J13,0))</f>
        <v>0</v>
      </c>
      <c r="O13" s="13" t="s">
        <v>136</v>
      </c>
    </row>
    <row r="14" spans="1:18" ht="27" x14ac:dyDescent="0.15">
      <c r="D14" s="24"/>
      <c r="E14" s="24"/>
      <c r="F14" s="3" t="s">
        <v>36</v>
      </c>
      <c r="G14" s="3" t="s">
        <v>30</v>
      </c>
      <c r="H14" s="10" t="s">
        <v>149</v>
      </c>
      <c r="I14" s="23"/>
      <c r="J14" s="1">
        <v>98</v>
      </c>
      <c r="K14" s="23"/>
      <c r="L14" s="1" t="str">
        <f>LEFT(K2,2)</f>
        <v>32</v>
      </c>
      <c r="M14" s="9"/>
      <c r="N14" s="8">
        <f>IF(LEFT(K2,1)&lt;&gt;MID(K2,2,1),IF(ISNUMBER(FIND(","&amp;SUM(LEFT(K2,1),MID(K2,2,1))&amp;",",H14,1)),I2*J14,0),0)</f>
        <v>0</v>
      </c>
      <c r="O14" s="11" t="s">
        <v>136</v>
      </c>
      <c r="Q14" s="9"/>
    </row>
    <row r="15" spans="1:18" x14ac:dyDescent="0.15">
      <c r="D15" s="24"/>
      <c r="E15" s="24"/>
      <c r="F15" s="3" t="s">
        <v>37</v>
      </c>
      <c r="G15" s="3" t="s">
        <v>38</v>
      </c>
      <c r="H15" s="10" t="s">
        <v>141</v>
      </c>
      <c r="I15" s="23"/>
      <c r="J15" s="1">
        <v>98</v>
      </c>
      <c r="K15" s="23"/>
      <c r="N15" s="1">
        <f ca="1">IF(AND(OR(ISNUMBER(FIND(LEFT(K2,1),H15,1)),ISNUMBER(FIND(MID(K2,2,1),H15,1))),LEFT(K2,1)&lt;&gt;MID(K2,2,1)),I2*J15,0)</f>
        <v>1274</v>
      </c>
      <c r="O15" s="11" t="s">
        <v>136</v>
      </c>
      <c r="Q15" s="1" t="b">
        <f>OR(ISNUMBER(FIND(LEFT(K2,1),H15,1)),ISNUMBER(FIND(MID(K2,2,1),H15,1)))</f>
        <v>1</v>
      </c>
    </row>
    <row r="16" spans="1:18" x14ac:dyDescent="0.15">
      <c r="C16" s="3"/>
      <c r="D16" s="24" t="s">
        <v>39</v>
      </c>
      <c r="E16" s="24" t="s">
        <v>25</v>
      </c>
      <c r="F16" s="24" t="s">
        <v>26</v>
      </c>
      <c r="G16" s="9" t="s">
        <v>144</v>
      </c>
      <c r="H16" s="10" t="s">
        <v>142</v>
      </c>
      <c r="I16" s="23"/>
      <c r="J16" s="23">
        <v>196</v>
      </c>
      <c r="K16" s="23"/>
      <c r="N16" s="23">
        <f>IF(IF(ISNUMBER(FIND(RIGHT(K2,1),H17,1)),1,0)+IF(ISNUMBER(FIND(MID(K2,4,1),H16,1)),1,0)=2,I2*J16*1,0)</f>
        <v>0</v>
      </c>
      <c r="O16" s="25" t="s">
        <v>138</v>
      </c>
    </row>
    <row r="17" spans="4:20" x14ac:dyDescent="0.15">
      <c r="D17" s="24"/>
      <c r="E17" s="24"/>
      <c r="F17" s="24"/>
      <c r="G17" s="9" t="s">
        <v>145</v>
      </c>
      <c r="H17" s="10" t="s">
        <v>143</v>
      </c>
      <c r="I17" s="23"/>
      <c r="J17" s="23"/>
      <c r="K17" s="23"/>
      <c r="N17" s="23"/>
      <c r="O17" s="25"/>
    </row>
    <row r="18" spans="4:20" ht="13.5" customHeight="1" x14ac:dyDescent="0.15">
      <c r="D18" s="24"/>
      <c r="E18" s="24"/>
      <c r="F18" s="3" t="s">
        <v>27</v>
      </c>
      <c r="G18" s="3" t="s">
        <v>28</v>
      </c>
      <c r="I18" s="23"/>
      <c r="J18" s="1">
        <v>196</v>
      </c>
      <c r="K18" s="23"/>
      <c r="N18" s="8">
        <f>IF(ISNUMBER(FIND(","&amp;RIGHT(K2,2),H18,1)),I2*J18,0)</f>
        <v>0</v>
      </c>
      <c r="O18" s="11" t="s">
        <v>136</v>
      </c>
    </row>
    <row r="19" spans="4:20" ht="27" x14ac:dyDescent="0.15">
      <c r="D19" s="24"/>
      <c r="E19" s="24"/>
      <c r="F19" s="3" t="s">
        <v>29</v>
      </c>
      <c r="G19" s="3" t="s">
        <v>30</v>
      </c>
      <c r="H19" s="10" t="s">
        <v>146</v>
      </c>
      <c r="I19" s="23"/>
      <c r="J19" s="1">
        <v>196</v>
      </c>
      <c r="K19" s="23"/>
      <c r="N19" s="8">
        <f ca="1">IF(ISNUMBER(FIND(","&amp;SUM(RIGHT(K2,1),MID(K2,4,1))&amp;",",H19,1)),I2*J19,0)</f>
        <v>2548</v>
      </c>
      <c r="O19" s="11" t="s">
        <v>136</v>
      </c>
    </row>
    <row r="20" spans="4:20" x14ac:dyDescent="0.15">
      <c r="D20" s="24"/>
      <c r="E20" s="24"/>
      <c r="F20" s="3" t="s">
        <v>32</v>
      </c>
      <c r="G20" s="3" t="s">
        <v>32</v>
      </c>
      <c r="H20" s="10" t="s">
        <v>147</v>
      </c>
      <c r="I20" s="23"/>
      <c r="J20" s="1">
        <v>196</v>
      </c>
      <c r="K20" s="23"/>
      <c r="N20" s="8">
        <f>IF(ISNUMBER(FIND(MAX(MID(K2,4,1),RIGHT(K2,1))-MIN(MID(K2,4,1),RIGHT(K2,1)),H20,1)),I2*J20*1,0)</f>
        <v>0</v>
      </c>
      <c r="O20" s="11" t="s">
        <v>136</v>
      </c>
    </row>
    <row r="21" spans="4:20" x14ac:dyDescent="0.15">
      <c r="D21" s="24"/>
      <c r="E21" s="24" t="s">
        <v>33</v>
      </c>
      <c r="F21" s="3" t="s">
        <v>34</v>
      </c>
      <c r="G21" s="3" t="s">
        <v>33</v>
      </c>
      <c r="H21" s="7" t="s">
        <v>21</v>
      </c>
      <c r="I21" s="23"/>
      <c r="J21" s="1">
        <v>98</v>
      </c>
      <c r="K21" s="23"/>
      <c r="N21" s="8">
        <f ca="1">IF(RIGHT(K2,1)&lt;&gt;MID(K2,4,1),IF(IF(ISNUMBER(FIND(RIGHT(K2,1),H21,1)),1,0)+IF(ISNUMBER(FIND(MID(K2,4,1),H21,1)),1,0)=2,I2*J21,0),0)</f>
        <v>1274</v>
      </c>
      <c r="O21" s="11" t="s">
        <v>136</v>
      </c>
    </row>
    <row r="22" spans="4:20" ht="13.5" customHeight="1" x14ac:dyDescent="0.15">
      <c r="D22" s="24"/>
      <c r="E22" s="24"/>
      <c r="F22" s="3" t="s">
        <v>35</v>
      </c>
      <c r="G22" s="3" t="s">
        <v>28</v>
      </c>
      <c r="I22" s="23"/>
      <c r="J22" s="1">
        <v>98</v>
      </c>
      <c r="K22" s="23"/>
      <c r="N22" s="12">
        <f ca="1">IF(EXACT(RIGHT(K2,1),MID(K2,4,1)),0,IF(OR(ISNUMBER(FIND(","&amp;RIGHT(K2,2)&amp;",",H13,1)),ISNUMBER(FIND(","&amp;RIGHT(K2,1)&amp;MID(K2,4,1)&amp;",",H13,1))),I2*J13,0))</f>
        <v>1274</v>
      </c>
      <c r="O22" s="13" t="s">
        <v>136</v>
      </c>
    </row>
    <row r="23" spans="4:20" x14ac:dyDescent="0.15">
      <c r="D23" s="24"/>
      <c r="E23" s="24"/>
      <c r="F23" s="3" t="s">
        <v>36</v>
      </c>
      <c r="G23" s="3" t="s">
        <v>30</v>
      </c>
      <c r="H23" s="10" t="s">
        <v>148</v>
      </c>
      <c r="I23" s="23"/>
      <c r="J23" s="1">
        <v>98</v>
      </c>
      <c r="K23" s="23"/>
      <c r="L23" s="1" t="str">
        <f>RIGHT(K2,2)</f>
        <v>45</v>
      </c>
      <c r="N23" s="8">
        <f ca="1">IF(RIGHT(K2,1)&lt;&gt;MID(K2,4,1),IF(ISNUMBER(FIND(","&amp;SUM(MID(K2,4,1),RIGHT(K2,1))&amp;",",H23,1)),I2*J23,0),0)</f>
        <v>1274</v>
      </c>
      <c r="O23" s="11" t="s">
        <v>136</v>
      </c>
    </row>
    <row r="24" spans="4:20" x14ac:dyDescent="0.15">
      <c r="D24" s="24"/>
      <c r="E24" s="24"/>
      <c r="F24" s="3" t="s">
        <v>37</v>
      </c>
      <c r="G24" s="3" t="s">
        <v>38</v>
      </c>
      <c r="H24" s="10" t="s">
        <v>150</v>
      </c>
      <c r="I24" s="23"/>
      <c r="J24" s="1">
        <v>98</v>
      </c>
      <c r="K24" s="23"/>
      <c r="N24" s="8">
        <f ca="1">IF(AND(OR(ISNUMBER(FIND(RIGHT(K2,1),H24,1)),ISNUMBER(FIND(MID(K2,4,1),H24,1))),RIGHT(K2,1)&lt;&gt;MID(K2,4,1)),I2*J24,0)</f>
        <v>1274</v>
      </c>
      <c r="O24" s="11" t="s">
        <v>137</v>
      </c>
    </row>
    <row r="25" spans="4:20" x14ac:dyDescent="0.15">
      <c r="D25" s="24" t="s">
        <v>40</v>
      </c>
      <c r="E25" s="24" t="s">
        <v>25</v>
      </c>
      <c r="F25" s="24" t="s">
        <v>7</v>
      </c>
      <c r="G25" s="3" t="s">
        <v>8</v>
      </c>
      <c r="H25" s="10" t="s">
        <v>163</v>
      </c>
      <c r="I25" s="23"/>
      <c r="J25" s="23">
        <v>1960</v>
      </c>
      <c r="K25" s="23"/>
      <c r="L25" s="1" t="b">
        <f>ISNUMBER(FIND(LEFT(K2,1),H25,1))</f>
        <v>1</v>
      </c>
      <c r="N25" s="23">
        <f ca="1">IF(AND(ISNUMBER(FIND(LEFT(K2,1),H25,1)),ISNUMBER(FIND(MID(K2,2,1),H26,1)),ISNUMBER(FIND(MID(K2,3,1),H27,1))),I2*J25,0)</f>
        <v>25480</v>
      </c>
      <c r="O25" s="25" t="s">
        <v>137</v>
      </c>
    </row>
    <row r="26" spans="4:20" x14ac:dyDescent="0.15">
      <c r="D26" s="24"/>
      <c r="E26" s="24"/>
      <c r="F26" s="24"/>
      <c r="G26" s="3" t="s">
        <v>10</v>
      </c>
      <c r="H26" s="10" t="s">
        <v>164</v>
      </c>
      <c r="I26" s="23"/>
      <c r="J26" s="23"/>
      <c r="K26" s="23"/>
      <c r="L26" s="8" t="b">
        <f>ISNUMBER(FIND(MID(K2,2,1),H26,1))</f>
        <v>1</v>
      </c>
      <c r="N26" s="23"/>
      <c r="O26" s="25"/>
    </row>
    <row r="27" spans="4:20" x14ac:dyDescent="0.15">
      <c r="D27" s="24"/>
      <c r="E27" s="24"/>
      <c r="F27" s="24"/>
      <c r="G27" s="3" t="s">
        <v>11</v>
      </c>
      <c r="H27" s="10" t="s">
        <v>162</v>
      </c>
      <c r="I27" s="23"/>
      <c r="J27" s="23"/>
      <c r="K27" s="23"/>
      <c r="L27" s="8" t="b">
        <f>ISNUMBER(FIND(MID(K2,3,1),H27,1))</f>
        <v>1</v>
      </c>
      <c r="N27" s="23"/>
      <c r="O27" s="25"/>
    </row>
    <row r="28" spans="4:20" ht="13.5" customHeight="1" x14ac:dyDescent="0.15">
      <c r="D28" s="24"/>
      <c r="E28" s="24"/>
      <c r="F28" s="3" t="s">
        <v>41</v>
      </c>
      <c r="G28" s="3" t="s">
        <v>28</v>
      </c>
      <c r="H28" s="4">
        <v>123</v>
      </c>
      <c r="I28" s="23"/>
      <c r="J28" s="1">
        <v>1960</v>
      </c>
      <c r="K28" s="23"/>
      <c r="N28" s="8">
        <f>IF(ISNUMBER(FIND(","&amp;LEFT(K2,3),H28,1)),I2*J28,0)</f>
        <v>0</v>
      </c>
      <c r="O28" s="11" t="s">
        <v>136</v>
      </c>
    </row>
    <row r="29" spans="4:20" ht="27" x14ac:dyDescent="0.15">
      <c r="D29" s="24"/>
      <c r="E29" s="24"/>
      <c r="F29" s="3" t="s">
        <v>29</v>
      </c>
      <c r="G29" s="3" t="s">
        <v>30</v>
      </c>
      <c r="H29" s="10" t="s">
        <v>151</v>
      </c>
      <c r="I29" s="23"/>
      <c r="J29" s="1">
        <v>1960</v>
      </c>
      <c r="K29" s="23"/>
      <c r="N29" s="8">
        <f ca="1">IF(ISNUMBER(FIND(","&amp;SUM(LEFT(K2,1),MID(K2,2,1),MID(K2,3,1))&amp;",",H29,1)),I2*J29,0)</f>
        <v>25480</v>
      </c>
      <c r="O29" s="11" t="s">
        <v>136</v>
      </c>
    </row>
    <row r="30" spans="4:20" x14ac:dyDescent="0.15">
      <c r="D30" s="24"/>
      <c r="E30" s="24"/>
      <c r="F30" s="3" t="s">
        <v>32</v>
      </c>
      <c r="G30" s="3" t="s">
        <v>32</v>
      </c>
      <c r="H30" s="10" t="s">
        <v>152</v>
      </c>
      <c r="I30" s="23"/>
      <c r="J30" s="1">
        <v>1960</v>
      </c>
      <c r="K30" s="23"/>
      <c r="N30" s="8">
        <f>IF(ISNUMBER(FIND(MAX(MID(K2,2,1),LEFT(K2,1),MID(K2,3,1))-MIN(MID(K2,2,1),LEFT(K2,1),MID(K2,3,1)),H30,1)),I2*J30*1,0)</f>
        <v>0</v>
      </c>
      <c r="O30" s="11" t="s">
        <v>136</v>
      </c>
    </row>
    <row r="31" spans="4:20" ht="40.5" x14ac:dyDescent="0.15">
      <c r="D31" s="24"/>
      <c r="E31" s="24" t="s">
        <v>33</v>
      </c>
      <c r="F31" s="3" t="s">
        <v>36</v>
      </c>
      <c r="G31" s="3" t="s">
        <v>30</v>
      </c>
      <c r="H31" s="10" t="s">
        <v>153</v>
      </c>
      <c r="I31" s="23"/>
      <c r="J31" s="1">
        <v>326.66500000000002</v>
      </c>
      <c r="K31" s="23"/>
      <c r="M31" s="1" t="b">
        <f>OR(AND(LEFT(K2,1)=MID(K2,2,1),MID(K2,2,1)&lt;&gt;MID(K2,3,1)),AND(LEFT(K2,1)&lt;&gt;MID(K2,2,1),MID(K2,2,1)=MID(K2,3,1)),AND(MID(K2,3,1)=LEFT(K2,1),LEFT(K2,1)&lt;&gt;MID(K2,2,1)))</f>
        <v>0</v>
      </c>
      <c r="N31" s="8">
        <f ca="1">IF(OR(AND(LEFT(K2,1)=MID(K2,2,1),MID(K2,2,1)&lt;&gt;MID(K2,3,1)),AND(LEFT(K2,1)&lt;&gt;MID(K2,2,1),MID(K2,2,1)=MID(K2,3,1)),AND(MID(K2,3,1)=LEFT(K2,1),LEFT(K2,1)&lt;&gt;MID(K2,2,1))),IF(ISNUMBER(FIND(","&amp;SUM(LEFT(K2,1),MID(K2,2,1),MID(K2,3,1))&amp;",",H31,1)),I2*J31*2,0),IF(LEFT(K2,1)&lt;&gt;MID(K2,2,1)&lt;&gt;MID(K2,3,1),IF(ISNUMBER(FIND(","&amp;SUM(LEFT(K2,1),MID(K2,2,1),MID(K2,3,1))&amp;",",H31,1)),I2*J31,0)))</f>
        <v>4246.6450000000004</v>
      </c>
      <c r="O31" s="11" t="s">
        <v>136</v>
      </c>
      <c r="Q31" s="1">
        <f ca="1">IF(LEFT(K2,1)&lt;&gt;MID(K2,2,1)&lt;&gt;MID(K2,3,1),IF(ISNUMBER(FIND(","&amp;SUM(LEFT(K2,1),MID(K2,2,1),MID(K2,3,1))&amp;",",H31,1)),I2*J31,0),0)</f>
        <v>4246.6450000000004</v>
      </c>
      <c r="R31" s="1" t="b">
        <f>OR(AND(LEFT(K2,1)=MID(K2,2,1),MID(K2,2,1)&lt;&gt;MID(K2,3,1)),AND(LEFT(K2,1)&lt;&gt;MID(K2,2,1),MID(K2,2,1)=MID(K2,3,1)),AND(MID(K2,3,1)=LEFT(K2,1),LEFT(K2,1)&lt;&gt;MID(K2,2,1)))</f>
        <v>0</v>
      </c>
      <c r="S31" s="1" t="b">
        <f>AND(LEFT(K2,1)&lt;&gt;MID(K2,2,1),MID(K2,2,1)=MID(K2,3,1))</f>
        <v>0</v>
      </c>
      <c r="T31" s="1" t="b">
        <f>AND(MID(K2,3,1)=LEFT(K2,1),LEFT(K2,1)&lt;&gt;MID(K2,2,1))</f>
        <v>0</v>
      </c>
    </row>
    <row r="32" spans="4:20" x14ac:dyDescent="0.15">
      <c r="D32" s="24"/>
      <c r="E32" s="24"/>
      <c r="F32" s="3" t="s">
        <v>43</v>
      </c>
      <c r="G32" s="3" t="s">
        <v>43</v>
      </c>
      <c r="H32" s="10" t="s">
        <v>154</v>
      </c>
      <c r="I32" s="23"/>
      <c r="J32" s="1">
        <v>653.33000000000004</v>
      </c>
      <c r="K32" s="23"/>
      <c r="L32" s="1" t="b">
        <f>AND(ISNUMBER(FIND(LEFT(K2,1),H32,1)),ISNUMBER(FIND(MID(K2,2,1),H32,1)),ISNUMBER(FIND(MID(K2,3,1),H32,1)),M32)</f>
        <v>0</v>
      </c>
      <c r="M32" s="1" t="b">
        <f>OR(AND(LEFT(K2,1)=MID(K2,2,1),MID(K2,2,1)&lt;&gt;MID(K2,3,1)),AND(LEFT(K2,1)&lt;&gt;MID(K2,2,1),MID(K2,2,1)=MID(K2,3,1)),AND(MID(K2,3,1)=LEFT(K2,1),LEFT(K2,1)&lt;&gt;MID(K2,2,1)))</f>
        <v>0</v>
      </c>
      <c r="N32" s="8">
        <f>IF(OR(AND(LEFT(K2,1)=MID(K2,2,1),MID(K2,2,1)&lt;&gt;MID(K2,3,1)),AND(LEFT(K2,1)&lt;&gt;MID(K2,2,1),MID(K2,2,1)=MID(K2,3,1)),AND(MID(K2,3,1)=LEFT(K2,1),LEFT(K2,1)&lt;&gt;MID(K2,2,1))),IF(AND(ISNUMBER(FIND(LEFT(K2,1),H32,1)),ISNUMBER(FIND(MID(K2,2,1),H32,1)),ISNUMBER(FIND(MID(K2,3,1),H32,1))),I2*J32,0),0)</f>
        <v>0</v>
      </c>
      <c r="O32" s="11" t="s">
        <v>136</v>
      </c>
      <c r="Q32" s="1">
        <f>IF(OR(AND(LEFT(K2,1)=MID(K2,2,1),MID(K2,2,1)&lt;&gt;MID(K2,3,1)),AND(LEFT(K2,1)&lt;&gt;MID(K2,2,1),MID(K2,2,1)=MID(K2,3,1)),AND(MID(K2,3,1)=LEFT(K2,1),LEFT(K2,1)&lt;&gt;MID(K2,2,1))),IF(AND(ISNUMBER(FIND(LEFT(K2,1),H32,1)),ISNUMBER(FIND(MID(K2,2,1),H32,1)),ISNUMBER(FIND(MID(K2,3,1),H32,1))),I2*J32,0),0)</f>
        <v>0</v>
      </c>
    </row>
    <row r="33" spans="4:17" x14ac:dyDescent="0.15">
      <c r="D33" s="24"/>
      <c r="E33" s="24"/>
      <c r="F33" s="3" t="s">
        <v>44</v>
      </c>
      <c r="G33" s="3" t="s">
        <v>44</v>
      </c>
      <c r="H33" s="10" t="s">
        <v>168</v>
      </c>
      <c r="I33" s="23"/>
      <c r="J33" s="1">
        <v>326.66000000000003</v>
      </c>
      <c r="K33" s="23"/>
      <c r="M33" s="1" t="b">
        <f>OR(AND(LEFT(K2,1)=MID(K2,2,1),MID(K2,2,1)&lt;&gt;MID(K2,3,1)),AND(LEFT(K2,1)&lt;&gt;MID(K2,2,1),MID(K2,2,1)=MID(K2,3,1)),AND(MID(K2,3,1)=LEFT(K2,1),LEFT(K2,1)&lt;&gt;MID(K2,2,1)))</f>
        <v>0</v>
      </c>
      <c r="N33" s="1">
        <f>IF(OR(AND(LEFT(K2,1)=MID(K2,2,1),MID(K2,2,1)&lt;&gt;MID(K2,3,1)),AND(LEFT(K2,1)&lt;&gt;MID(K2,2,1),MID(K2,2,1)=MID(K2,3,1)),AND(MID(K2,3,1)=LEFT(K2,1),LEFT(K2,1)&lt;&gt;MID(K2,2,1))),0,IF(AND(ISNUMBER(FIND(LEFT(K2,1),H33,1)),ISNUMBER(FIND(MID(K2,2,1),H33,1)),ISNUMBER(FIND(MID(K2,3,1),H33,1))),I2*J33,0))</f>
        <v>0</v>
      </c>
      <c r="O33" s="11" t="s">
        <v>136</v>
      </c>
      <c r="P33" s="1">
        <f>IF(AND(ISNUMBER(FIND(LEFT(K2,1),H33,1)),ISNUMBER(FIND(MID(K2,2,1),H33,1)),ISNUMBER(FIND(MID(K2,3,1),H33,1))),I2*J33,0)</f>
        <v>0</v>
      </c>
    </row>
    <row r="34" spans="4:17" ht="13.5" customHeight="1" x14ac:dyDescent="0.15">
      <c r="D34" s="24"/>
      <c r="E34" s="24"/>
      <c r="F34" s="3" t="s">
        <v>45</v>
      </c>
      <c r="G34" s="3" t="s">
        <v>28</v>
      </c>
      <c r="H34" s="26" t="s">
        <v>201</v>
      </c>
      <c r="I34" s="23"/>
      <c r="J34" s="1">
        <v>326.66500000000002</v>
      </c>
      <c r="K34" s="23"/>
      <c r="L34" s="1" t="b">
        <f>AND(OR(ISNUMBER(FIND(","&amp;LEFT(K2,3),H34,1)),
  ISNUMBER(FIND(","&amp;LEFT(K2,1)&amp;MID(K2,3,1)&amp;MID(K2,2,1),H34,1)),
  ISNUMBER(FIND(","&amp;MID(K2,2,1)&amp;MID(K2,1,1)&amp;MID(K2,3,1),H34,1)),
  ISNUMBER(FIND(","&amp;MID(K2,2,2)&amp;LEFT(K2,1),H34,1)),
  ISNUMBER(FIND(","&amp;MID(K2,3,1)&amp;LEFT(K2,2),H34,1)),
  ISNUMBER(FIND(","&amp;MID(K2,3,1)&amp;MID(K2,2,1)&amp;LEFT(K2,1),H34,1))),
  AND(LEFT(K2,1)+MID(K2,2,1)+MID(K2,3,1)&lt;&gt;MID(K2,3,1)*3))</f>
        <v>1</v>
      </c>
      <c r="M34" s="1" t="b">
        <f>OR(AND(LEFT(K2,1)=MID(K2,2,1),MID(K2,2,1)&lt;&gt;MID(K2,3,1)),AND(LEFT(K2,1)&lt;&gt;MID(K2,2,1),MID(K2,2,1)=MID(K2,3,1)),AND(MID(K2,3,1)=LEFT(K2,1),LEFT(K2,1)&lt;&gt;MID(K2,2,1)))</f>
        <v>0</v>
      </c>
      <c r="N34" s="1">
        <f ca="1">IF(AND(OR(ISNUMBER(FIND(","&amp;LEFT(K2,3),H34,1)),
  ISNUMBER(FIND(","&amp;LEFT(K2,1)&amp;MID(K2,3,1)&amp;MID(K2,2,1),H34,1)),
  ISNUMBER(FIND(","&amp;MID(K2,2,1)&amp;MID(K2,1,1)&amp;MID(K2,3,1),H34,1)),
  ISNUMBER(FIND(","&amp;MID(K2,2,2)&amp;LEFT(K2,1),H34,1)),
  ISNUMBER(FIND(","&amp;MID(K2,3,1)&amp;LEFT(K2,2),H34,1)),
  ISNUMBER(FIND(","&amp;MID(K2,3,1)&amp;MID(K2,2,1)&amp;LEFT(K2,1),H34,1))),
  AND(LEFT(K2,1)+MID(K2,2,1)+MID(K2,3,1)&lt;&gt;MID(K2,3,1)*3)),
 IF(OR(AND(LEFT(K2,1)=MID(K2,2,1),MID(K2,2,1)&lt;&gt;MID(K2,3,1)),AND(LEFT(K2,1)&lt;&gt;MID(K2,2,1),MID(K2,2,1)=MID(K2,3,1)),AND(MID(K2,3,1)=LEFT(K2,1),LEFT(K2,1)&lt;&gt;MID(K2,2,1))),
  I2*J34*2,I2*J34
 ),0
)</f>
        <v>4246.6450000000004</v>
      </c>
      <c r="O34" s="21" t="s">
        <v>136</v>
      </c>
      <c r="P34" s="1" t="b">
        <f>AND(LEFT(K2,1)+MID(K2,2,1)+MID(K2,3,1)&lt;&gt;MID(K2,3,1)*3)</f>
        <v>1</v>
      </c>
    </row>
    <row r="35" spans="4:17" x14ac:dyDescent="0.15">
      <c r="D35" s="24"/>
      <c r="E35" s="24"/>
      <c r="F35" s="3" t="s">
        <v>37</v>
      </c>
      <c r="G35" s="3" t="s">
        <v>38</v>
      </c>
      <c r="H35" s="10" t="s">
        <v>156</v>
      </c>
      <c r="I35" s="23"/>
      <c r="J35" s="1">
        <v>326.66500000000002</v>
      </c>
      <c r="K35" s="23"/>
      <c r="L35" s="15" t="b">
        <f>OR(ISNUMBER(FIND(LEFT(K2,1),H35,1)),ISNUMBER(FIND(MID(K2,2,1),H35,1)),ISNUMBER(FIND(MID(K2,3,1),H35,1)))</f>
        <v>1</v>
      </c>
      <c r="M35" s="15" t="b">
        <f>OR(AND(LEFT(K2,1)=MID(K2,2,1),MID(K2,2,1)&lt;&gt;MID(K2,3,1)),AND(LEFT(K2,1)&lt;&gt;MID(K2,2,1),MID(K2,2,1)=MID(K2,3,1)),AND(MID(K2,3,1)=LEFT(K2,1),LEFT(K2,1)&lt;&gt;MID(K2,2,1)))</f>
        <v>0</v>
      </c>
      <c r="N35" s="1">
        <f ca="1">IF(OR(ISNUMBER(FIND(LEFT(K2,1),H35,1)),ISNUMBER(FIND(MID(K2,2,1),H35,1)),ISNUMBER(FIND(MID(K2,3,1),H35,1))),IF(OR(AND(LEFT(K2,1)=MID(K2,2,1),MID(K2,2,1)&lt;&gt;MID(K2,3,1)),AND(LEFT(K2,1)&lt;&gt;MID(K2,2,1),MID(K2,2,1)=MID(K2,3,1)),AND(MID(K2,3,1)=LEFT(K2,1),LEFT(K2,1)&lt;&gt;MID(K2,2,1))),I2*J35*2,I2*J35),0)</f>
        <v>4246.6450000000004</v>
      </c>
      <c r="O35" s="14" t="s">
        <v>136</v>
      </c>
    </row>
    <row r="36" spans="4:17" ht="13.5" customHeight="1" x14ac:dyDescent="0.15">
      <c r="D36" s="24"/>
      <c r="E36" s="24"/>
      <c r="F36" s="3" t="s">
        <v>46</v>
      </c>
      <c r="G36" s="3" t="s">
        <v>28</v>
      </c>
      <c r="H36" s="10" t="s">
        <v>204</v>
      </c>
      <c r="I36" s="23"/>
      <c r="J36" s="1">
        <v>653.33000000000004</v>
      </c>
      <c r="K36" s="23"/>
      <c r="L36" s="15"/>
      <c r="M36" s="15" t="b">
        <f>OR(AND(LEFT(K2,1)=MID(K2,2,1),MID(K2,2,1)&lt;&gt;MID(K2,3,1)),AND(LEFT(K2,1)&lt;&gt;MID(K2,2,1),MID(K2,2,1)=MID(K2,3,1)),AND(MID(K2,3,1)=LEFT(K2,1),LEFT(K2,1)&lt;&gt;MID(K2,2,1)))</f>
        <v>0</v>
      </c>
      <c r="N36" s="1">
        <f>IF(AND(OR(AND(LEFT(K2,1)=MID(K2,2,1),MID(K2,2,1)&lt;&gt;MID(K2,3,1)),AND(LEFT(K2,1)&lt;&gt;MID(K2,2,1),MID(K2,2,1)=MID(K2,3,1)),AND(MID(K2,3,1)=LEFT(K2,1),LEFT(K2,1)&lt;&gt;MID(K2,2,1))),
  OR(ISNUMBER(FIND(","&amp;LEFT(K2,3),H36,1)),
  ISNUMBER(FIND(","&amp;LEFT(K2,1)&amp;MID(K2,3,1)&amp;MID(K2,2,1),H36,1)),
  ISNUMBER(FIND(","&amp;MID(K2,2,1)&amp;MID(K2,1,1)&amp;MID(K2,3,1),H36,1)),
  ISNUMBER(FIND(","&amp;MID(K2,2,2)&amp;LEFT(K2,1),H36,1)),
  ISNUMBER(FIND(","&amp;MID(K2,3,1)&amp;LEFT(K2,2),H36,1)),
  ISNUMBER(FIND(","&amp;MID(K2,3,1)&amp;MID(K2,2,1)&amp;LEFT(K2,1),H36,1)))),
  I2*J36,0
)</f>
        <v>0</v>
      </c>
      <c r="O36" s="21" t="s">
        <v>136</v>
      </c>
    </row>
    <row r="37" spans="4:17" ht="13.5" customHeight="1" x14ac:dyDescent="0.15">
      <c r="D37" s="24"/>
      <c r="E37" s="24"/>
      <c r="F37" s="3" t="s">
        <v>47</v>
      </c>
      <c r="G37" s="3" t="s">
        <v>28</v>
      </c>
      <c r="H37" s="10" t="s">
        <v>207</v>
      </c>
      <c r="I37" s="23"/>
      <c r="J37" s="1">
        <v>326.66000000000003</v>
      </c>
      <c r="K37" s="23"/>
      <c r="M37" s="15" t="b">
        <f>OR(AND(LEFT(K2,1)=MID(K2,2,1),MID(K2,2,1)&lt;&gt;MID(K2,3,1)),AND(LEFT(K2,1)&lt;&gt;MID(K2,2,1),MID(K2,2,1)=MID(K2,3,1)),AND(MID(K2,3,1)=LEFT(K2,1),LEFT(K2,1)&lt;&gt;MID(K2,2,1)))</f>
        <v>0</v>
      </c>
      <c r="N37" s="1">
        <f ca="1">IF(AND(AND(LEFT(K2,1)&lt;&gt;MID(K2,2,1),MID(K2,2,1)&lt;&gt;MID(K2,3,1),LEFT(K2,1)&lt;&gt;MID(K2,3,1)),OR(ISNUMBER(FIND(","&amp;LEFT(K2,3),H37,1)),
  ISNUMBER(FIND(","&amp;LEFT(K2,1)&amp;MID(K2,3,1)&amp;MID(K2,2,1),H37,1)),
  ISNUMBER(FIND(","&amp;MID(K2,2,1)&amp;MID(K2,1,1)&amp;MID(K2,3,1),H37,1)),
  ISNUMBER(FIND(","&amp;MID(K2,2,2)&amp;LEFT(K2,1),H37,1)),
  ISNUMBER(FIND(","&amp;MID(K2,3,1)&amp;LEFT(K2,2),H37,1)),
  ISNUMBER(FIND(","&amp;MID(K2,3,1)&amp;MID(K2,2,1)&amp;LEFT(K2,1),H37,1)))),
 I2*J37,0)</f>
        <v>4246.58</v>
      </c>
      <c r="O37" s="21" t="s">
        <v>136</v>
      </c>
      <c r="Q37" s="19"/>
    </row>
    <row r="38" spans="4:17" x14ac:dyDescent="0.15">
      <c r="D38" s="24"/>
      <c r="E38" s="24" t="s">
        <v>48</v>
      </c>
      <c r="F38" s="3" t="s">
        <v>49</v>
      </c>
      <c r="G38" s="3" t="s">
        <v>48</v>
      </c>
      <c r="H38" s="7" t="s">
        <v>21</v>
      </c>
      <c r="I38" s="23"/>
      <c r="J38" s="1">
        <v>7.23</v>
      </c>
      <c r="K38" s="23"/>
      <c r="L38" s="15" t="b">
        <f>OR(ISNUMBER(FIND(LEFT(K2,1),H38,1)),ISNUMBER(FIND(MID(K2,2,1),H38,1)),ISNUMBER(FIND(MID(K2,3,1),H38,1)))</f>
        <v>1</v>
      </c>
      <c r="N38" s="15">
        <f ca="1">IF(OR(ISNUMBER(FIND(LEFT(K2,1),H38,1)),ISNUMBER(FIND(MID(K2,2,1),H38,1)),ISNUMBER(FIND(MID(K2,3,1),H38,1))),I2*J38,0)</f>
        <v>93.990000000000009</v>
      </c>
      <c r="O38" s="14" t="s">
        <v>136</v>
      </c>
    </row>
    <row r="39" spans="4:17" x14ac:dyDescent="0.15">
      <c r="D39" s="24"/>
      <c r="E39" s="24"/>
      <c r="F39" s="3" t="s">
        <v>50</v>
      </c>
      <c r="G39" s="3" t="s">
        <v>48</v>
      </c>
      <c r="H39" s="7" t="s">
        <v>21</v>
      </c>
      <c r="I39" s="23"/>
      <c r="J39" s="1">
        <v>36.29</v>
      </c>
      <c r="K39" s="23"/>
      <c r="L39" s="1" t="b">
        <f>OR(AND(ISNUMBER(FIND(LEFT(K2,1),H39,1)),ISNUMBER(FIND(MID(K2,2,1),H39,1))),AND(ISNUMBER(FIND(MID(K2,3,1),H39,1)),ISNUMBER(FIND(MID(K2,2,1),H39,1))),AND(ISNUMBER(FIND(LEFT(K2,1),H39,1)),ISNUMBER(FIND(MID(K2,3,1),H39,1))))</f>
        <v>1</v>
      </c>
      <c r="N39" s="1">
        <f ca="1">IF(OR(AND(ISNUMBER(FIND(LEFT(K2,1),H39,1)),ISNUMBER(FIND(MID(K2,2,1),H39,1))),AND(ISNUMBER(FIND(MID(K2,3,1),H39,1)),ISNUMBER(FIND(MID(K2,2,1),H39,1))),AND(ISNUMBER(FIND(LEFT(K2,1),H39,1)),ISNUMBER(FIND(MID(K2,3,1),H39,1)))),I2*J39,0)</f>
        <v>471.77</v>
      </c>
      <c r="O39" s="14" t="s">
        <v>136</v>
      </c>
    </row>
    <row r="40" spans="4:17" ht="13.5" customHeight="1" x14ac:dyDescent="0.15">
      <c r="D40" s="22" t="s">
        <v>51</v>
      </c>
      <c r="E40" s="24" t="s">
        <v>25</v>
      </c>
      <c r="F40" s="24" t="s">
        <v>7</v>
      </c>
      <c r="G40" s="16" t="s">
        <v>157</v>
      </c>
      <c r="H40" s="10" t="s">
        <v>160</v>
      </c>
      <c r="I40" s="23"/>
      <c r="J40" s="23">
        <v>1960</v>
      </c>
      <c r="K40" s="23"/>
      <c r="L40" s="17" t="b">
        <f>ISNUMBER(FIND(MID(K2,2,1),H40,1))</f>
        <v>0</v>
      </c>
      <c r="N40" s="23">
        <f>IF(AND(ISNUMBER(FIND(MID(K2,2,1),H40,1)),ISNUMBER(FIND(MID(K2,3,1),H41,1)),ISNUMBER(FIND(MID(K2,4,1),H42,1))),I2*J40,0)</f>
        <v>0</v>
      </c>
      <c r="O40" s="25" t="s">
        <v>137</v>
      </c>
    </row>
    <row r="41" spans="4:17" ht="13.5" customHeight="1" x14ac:dyDescent="0.15">
      <c r="D41" s="24"/>
      <c r="E41" s="24"/>
      <c r="F41" s="24"/>
      <c r="G41" s="16" t="s">
        <v>158</v>
      </c>
      <c r="H41" s="10" t="s">
        <v>161</v>
      </c>
      <c r="I41" s="23"/>
      <c r="J41" s="23"/>
      <c r="K41" s="23"/>
      <c r="L41" s="17" t="b">
        <f>ISNUMBER(FIND(MID(K2,3,1),H41,1))</f>
        <v>1</v>
      </c>
      <c r="N41" s="23"/>
      <c r="O41" s="25"/>
    </row>
    <row r="42" spans="4:17" ht="13.5" customHeight="1" x14ac:dyDescent="0.15">
      <c r="D42" s="24"/>
      <c r="E42" s="24"/>
      <c r="F42" s="24"/>
      <c r="G42" s="16" t="s">
        <v>159</v>
      </c>
      <c r="H42" s="10" t="s">
        <v>162</v>
      </c>
      <c r="I42" s="23"/>
      <c r="J42" s="23"/>
      <c r="K42" s="23"/>
      <c r="L42" s="17" t="b">
        <f>ISNUMBER(FIND(MID(K2,4,1),H42,1))</f>
        <v>1</v>
      </c>
      <c r="N42" s="23"/>
      <c r="O42" s="25"/>
    </row>
    <row r="43" spans="4:17" ht="13.5" customHeight="1" x14ac:dyDescent="0.15">
      <c r="D43" s="24"/>
      <c r="E43" s="24"/>
      <c r="F43" s="6" t="s">
        <v>41</v>
      </c>
      <c r="G43" s="6" t="s">
        <v>28</v>
      </c>
      <c r="H43" s="4">
        <v>456</v>
      </c>
      <c r="I43" s="23"/>
      <c r="J43" s="2">
        <v>1960</v>
      </c>
      <c r="K43" s="23"/>
      <c r="L43" s="1" t="b">
        <f>ISNUMBER(FIND(","&amp;MID(K2,2,3)&amp;",",H43,1))</f>
        <v>0</v>
      </c>
      <c r="N43" s="15">
        <f>IF(ISNUMBER(FIND(","&amp;MID(K2,2,3)&amp;",",H43,1)),I2*J43,0)</f>
        <v>0</v>
      </c>
      <c r="O43" s="14" t="s">
        <v>136</v>
      </c>
      <c r="P43" s="1" t="str">
        <f>MID(K2,2,3)</f>
        <v>214</v>
      </c>
    </row>
    <row r="44" spans="4:17" ht="27" customHeight="1" x14ac:dyDescent="0.15">
      <c r="D44" s="24"/>
      <c r="E44" s="24"/>
      <c r="F44" s="6" t="s">
        <v>29</v>
      </c>
      <c r="G44" s="6" t="s">
        <v>30</v>
      </c>
      <c r="H44" s="10" t="s">
        <v>165</v>
      </c>
      <c r="I44" s="23"/>
      <c r="J44" s="2">
        <v>1960</v>
      </c>
      <c r="K44" s="23"/>
      <c r="L44" s="1" t="b">
        <f>ISNUMBER(FIND(","&amp;SUM(MID(K2,2,1),MID(K2,3,1),MID(K2,4,1))&amp;",",H29,1))</f>
        <v>0</v>
      </c>
      <c r="N44" s="15">
        <f>IF(ISNUMBER(FIND(","&amp;SUM(MID(K2,2,1),MID(K2,3,1),MID(K2,4,1))&amp;",",H29,1)),I2*J29,0)</f>
        <v>0</v>
      </c>
      <c r="O44" s="14" t="s">
        <v>136</v>
      </c>
      <c r="P44" s="1">
        <f>SUM(MID(K2,2,1),MID(K2,3,1),MID(K2,4,1))</f>
        <v>7</v>
      </c>
    </row>
    <row r="45" spans="4:17" ht="13.5" customHeight="1" x14ac:dyDescent="0.15">
      <c r="D45" s="24"/>
      <c r="E45" s="24"/>
      <c r="F45" s="6" t="s">
        <v>32</v>
      </c>
      <c r="G45" s="6" t="s">
        <v>32</v>
      </c>
      <c r="H45" s="10" t="s">
        <v>166</v>
      </c>
      <c r="I45" s="23"/>
      <c r="J45" s="2">
        <v>1960</v>
      </c>
      <c r="K45" s="23"/>
      <c r="L45" s="1" t="b">
        <f>ISNUMBER(FIND(MAX(MID(K2,2,1),MID(K2,3,1),MID(K2,4,1))-MIN(MID(K2,2,1),MID(K2,3,1),MID(K2,4,1)),H45,1))</f>
        <v>0</v>
      </c>
      <c r="N45" s="15">
        <f>IF(ISNUMBER(FIND(MAX(MID(K2,2,1),MID(K2,3,1),MID(K2,4,1))-MIN(MID(K2,2,1),MID(K2,3,1),MID(K2,4,1)),H45,1)),I2*J45*1,0)</f>
        <v>0</v>
      </c>
      <c r="O45" s="14" t="s">
        <v>136</v>
      </c>
    </row>
    <row r="46" spans="4:17" ht="42" customHeight="1" x14ac:dyDescent="0.15">
      <c r="D46" s="24"/>
      <c r="E46" s="24" t="s">
        <v>33</v>
      </c>
      <c r="F46" s="6" t="s">
        <v>36</v>
      </c>
      <c r="G46" s="6" t="s">
        <v>30</v>
      </c>
      <c r="H46" s="7" t="s">
        <v>42</v>
      </c>
      <c r="I46" s="23"/>
      <c r="J46" s="2">
        <v>326.66500000000002</v>
      </c>
      <c r="K46" s="23"/>
      <c r="M46" s="1" t="b">
        <f>OR(AND(MID(K2,2,1)=MID(K2,3,1),MID(K2,3,1)&lt;&gt;MID(K2,4,1)),AND(MID(K2,2,1)&lt;&gt;MID(K2,3,1),MID(K2,3,1)=MID(K2,4,1)),AND(MID(K2,4,1)=MID(K2,2,1),MID(K2,2,1)&lt;&gt;MID(K2,3,1)))</f>
        <v>0</v>
      </c>
      <c r="N46" s="15">
        <f ca="1">IF(OR(AND(MID(K2,2,1)=MID(K2,3,1),MID(K2,3,1)&lt;&gt;MID(K2,4,1)),AND(MID(K2,2,1)&lt;&gt;MID(K2,3,1),MID(K2,3,1)=MID(K2,4,1)),AND(MID(K2,4,1)=MID(K2,2,1),MID(K2,2,1)&lt;&gt;MID(K2,3,1))),IF(ISNUMBER(FIND(","&amp;SUM(MID(K2,2,1),MID(K2,3,1),MID(K2,4,1))&amp;",",H46,1)),I2*J46*2,0),IF(MID(K2,2,1)&lt;&gt;MID(K2,3,1)&lt;&gt;MID(K2,4,1),IF(ISNUMBER(FIND(","&amp;SUM(MID(K2,2,1),MID(K2,3,1),MID(K2,4,1))&amp;",",H46,1)),I2*J46,0)))</f>
        <v>4246.6450000000004</v>
      </c>
      <c r="O46" s="14" t="s">
        <v>136</v>
      </c>
    </row>
    <row r="47" spans="4:17" ht="13.5" customHeight="1" x14ac:dyDescent="0.15">
      <c r="D47" s="24"/>
      <c r="E47" s="24"/>
      <c r="F47" s="6" t="s">
        <v>43</v>
      </c>
      <c r="G47" s="6" t="s">
        <v>43</v>
      </c>
      <c r="H47" s="10" t="s">
        <v>167</v>
      </c>
      <c r="I47" s="23"/>
      <c r="J47" s="2">
        <v>653.33000000000004</v>
      </c>
      <c r="K47" s="23"/>
      <c r="L47" s="1" t="b">
        <f>AND(ISNUMBER(FIND(MID(K2,2,1),H47,1)),ISNUMBER(FIND(MID(K2,3,1),H47,1)),ISNUMBER(FIND(MID(K2,4,1),H47,1)),M47)</f>
        <v>0</v>
      </c>
      <c r="M47" s="1" t="b">
        <f>OR(AND(MID(K2,2,1)=MID(K2,3,1),MID(K2,3,1)&lt;&gt;MID(K2,4,1)),AND(MID(K2,2,1)&lt;&gt;MID(K2,3,1),MID(K2,3,1)=MID(K2,4,1)),AND(MID(K2,4,1)=MID(K2,2,1),MID(K2,2,1)&lt;&gt;MID(K2,3,1)))</f>
        <v>0</v>
      </c>
      <c r="N47" s="15">
        <f>IF(OR(AND(MID(K2,2,1)=MID(K2,3,1),MID(K2,3,1)&lt;&gt;MID(K2,4,1)),AND(MID(K2,2,1)&lt;&gt;MID(K2,3,1),MID(K2,3,1)=MID(K2,4,1)),AND(MID(K2,4,1)=MID(K2,2,1),MID(K2,2,1)&lt;&gt;MID(K2,3,1))),IF(AND(ISNUMBER(FIND(MID(K2,2,1),H47,1)),ISNUMBER(FIND(MID(K2,3,1),H47,1)),ISNUMBER(FIND(MID(K2,4,1),H47,1))),I2*J47,0),0)</f>
        <v>0</v>
      </c>
      <c r="O47" s="14" t="s">
        <v>136</v>
      </c>
    </row>
    <row r="48" spans="4:17" ht="13.5" customHeight="1" x14ac:dyDescent="0.15">
      <c r="D48" s="24"/>
      <c r="E48" s="24"/>
      <c r="F48" s="6" t="s">
        <v>44</v>
      </c>
      <c r="G48" s="6" t="s">
        <v>44</v>
      </c>
      <c r="H48" s="7" t="s">
        <v>21</v>
      </c>
      <c r="I48" s="23"/>
      <c r="J48" s="2">
        <v>326.66000000000003</v>
      </c>
      <c r="K48" s="23"/>
      <c r="M48" s="1" t="b">
        <f>OR(AND(MID(K2,2,1)=MID(K2,3,1),MID(K2,3,1)&lt;&gt;MID(K2,4,1)),AND(MID(K2,2,1)&lt;&gt;MID(K2,3,1),MID(K2,3,1)=MID(K2,4,1)),AND(MID(K2,4,1)=MID(K2,2,1),MID(K2,2,1)&lt;&gt;MID(K2,3,1)))</f>
        <v>0</v>
      </c>
      <c r="N48" s="15">
        <f ca="1">IF(OR(AND(MID(K2,2,1)=MID(K2,3,1),MID(K2,3,1)&lt;&gt;MID(K2,4,1)),AND(MID(K2,2,1)&lt;&gt;MID(K2,3,1),MID(K2,3,1)=MID(K2,4,1)),AND(MID(K2,4,1)=MID(K2,2,1),MID(K2,2,1)&lt;&gt;MID(K2,3,1))),0,IF(AND(ISNUMBER(FIND(MID(K2,2,1),H48,1)),ISNUMBER(FIND(MID(K2,3,1),H48,1)),ISNUMBER(FIND(MID(K2,4,1),H48,1))),I2*J48,0))</f>
        <v>4246.58</v>
      </c>
      <c r="O48" s="14" t="s">
        <v>136</v>
      </c>
    </row>
    <row r="49" spans="4:15" ht="13.5" customHeight="1" x14ac:dyDescent="0.15">
      <c r="D49" s="24"/>
      <c r="E49" s="24"/>
      <c r="F49" s="6" t="s">
        <v>45</v>
      </c>
      <c r="G49" s="6" t="s">
        <v>28</v>
      </c>
      <c r="H49" s="10" t="s">
        <v>202</v>
      </c>
      <c r="I49" s="23"/>
      <c r="J49" s="2">
        <v>326.66500000000002</v>
      </c>
      <c r="K49" s="23"/>
      <c r="M49" s="1" t="b">
        <f>OR(AND(MID(K2,2,1)=MID(K2,3,1),MID(K2,3,1)&lt;&gt;MID(K2,4,1)),AND(MID(K2,2,1)&lt;&gt;MID(K2,3,1),MID(K2,3,1)=MID(K2,4,1)),AND(MID(K2,4,1)=MID(K2,2,1),MID(K2,2,1)&lt;&gt;MID(K2,3,1)))</f>
        <v>0</v>
      </c>
      <c r="N49" s="1">
        <f>IF(AND(OR(ISNUMBER(FIND(","&amp;MID(K2,2,3),H49,1)),
  ISNUMBER(FIND(","&amp;MID(K2,2,1)&amp;MID(K2,4,1)&amp;MID(K2,3,1),H49,1)),
  ISNUMBER(FIND(","&amp;MID(K2,3,1)&amp;MID(K2,2,1)&amp;MID(K2,4,1),H49,1)),
  ISNUMBER(FIND(","&amp;MID(K2,3,2)&amp;MID(K2,2,1),H49,1)),
  ISNUMBER(FIND(","&amp;MID(K2,4,1)&amp;MID(K2,2,2),H49,1)),
  ISNUMBER(FIND(","&amp;MID(K2,4,1)&amp;MID(K2,3,1)&amp;MID(K2,2,1),H49,1))),
  AND(MID(K2,2,1)+MID(K2,3,1)+MID(K2,4,1)&lt;&gt;MID(K2,3,1)*3)),
 IF(OR(AND(MID(K2,2,1)=MID(K2,3,1),MID(K2,3,1)&lt;&gt;MID(K2,4,1)),AND(MID(K2,2,1)&lt;&gt;MID(K2,3,1),MID(K2,3,1)=MID(K2,4,1)),AND(MID(K2,4,1)=MID(K2,2,1),MID(K2,2,1)&lt;&gt;MID(K2,3,1))),
  I2*J49*2,I2*J49
 ),0
)</f>
        <v>0</v>
      </c>
      <c r="O49" s="21" t="s">
        <v>136</v>
      </c>
    </row>
    <row r="50" spans="4:15" ht="13.5" customHeight="1" x14ac:dyDescent="0.15">
      <c r="D50" s="24"/>
      <c r="E50" s="24"/>
      <c r="F50" s="6" t="s">
        <v>37</v>
      </c>
      <c r="G50" s="6" t="s">
        <v>38</v>
      </c>
      <c r="H50" s="7" t="s">
        <v>21</v>
      </c>
      <c r="I50" s="23"/>
      <c r="J50" s="2">
        <v>326.66500000000002</v>
      </c>
      <c r="K50" s="23"/>
      <c r="M50" s="1" t="b">
        <f>OR(AND(MID(K2,2,1)=MID(K2,3,1),MID(K2,3,1)&lt;&gt;MID(K2,4,1)),AND(MID(K2,2,1)&lt;&gt;MID(K2,3,1),MID(K2,3,1)=MID(K2,4,1)),AND(MID(K2,4,1)=MID(K2,2,1),MID(K2,2,1)&lt;&gt;MID(K2,3,1)))</f>
        <v>0</v>
      </c>
      <c r="N50" s="15">
        <f ca="1">IF(OR(ISNUMBER(FIND(MID(K2,2,1),H50,1)),ISNUMBER(FIND(MID(K2,3,1),H50,1)),ISNUMBER(FIND(MID(K2,4,1),H50,1))),IF(OR(AND(MID(K2,2,1)=MID(K2,3,1),MID(K2,3,1)&lt;&gt;MID(K2,4,1)),AND(MID(K2,2,1)&lt;&gt;MID(K2,3,1),MID(K2,3,1)=MID(K2,4,1)),AND(MID(K2,4,1)=MID(K2,2,1),MID(K2,2,1)&lt;&gt;MID(K2,3,1))),I2*J50*2,I2*J50),0)</f>
        <v>4246.6450000000004</v>
      </c>
      <c r="O50" s="14" t="s">
        <v>136</v>
      </c>
    </row>
    <row r="51" spans="4:15" ht="13.5" customHeight="1" x14ac:dyDescent="0.15">
      <c r="D51" s="24"/>
      <c r="E51" s="24"/>
      <c r="F51" s="6" t="s">
        <v>46</v>
      </c>
      <c r="G51" s="6" t="s">
        <v>28</v>
      </c>
      <c r="H51" s="10" t="s">
        <v>205</v>
      </c>
      <c r="I51" s="23"/>
      <c r="J51" s="2">
        <v>653.33000000000004</v>
      </c>
      <c r="K51" s="23"/>
      <c r="N51" s="20">
        <f>IF(AND(
 OR(ISNUMBER(FIND(","&amp;MID(K2,2,3),H51,1)),
 ISNUMBER(FIND(","&amp;MID(K2,2,1)&amp;MID(K2,4,1)&amp;MID(K2,3,1),H51,1)),
 ISNUMBER(FIND(","&amp;MID(K2,3,1)&amp;MID(K2,2,1)&amp;MID(K2,4,1),H51,1)),
 ISNUMBER(FIND(","&amp;MID(K2,3,2)&amp;MID(K2,2,1),H51,1)),
 ISNUMBER(FIND(","&amp;MID(K2,4,1)&amp;MID(K2,2,2),H51,1)),
 ISNUMBER(FIND(","&amp;MID(K2,4,1)&amp;MID(K2,3,1)&amp;MID(K2,2,1),H51,1))),
 OR(AND(MID(K2,2,1)=MID(K2,3,1),MID(K2,3,1)&lt;&gt;MID(K2,4,1)),AND(MID(K2,2,1)&lt;&gt;MID(K2,3,1),MID(K2,3,1)=MID(K2,4,1)),AND(MID(K2,4,1)=MID(K2,2,1),MID(K2,2,1)&lt;&gt;MID(K2,3,1)))),
 I2*J51,0
)</f>
        <v>0</v>
      </c>
      <c r="O51" s="21" t="s">
        <v>136</v>
      </c>
    </row>
    <row r="52" spans="4:15" ht="13.5" customHeight="1" x14ac:dyDescent="0.15">
      <c r="D52" s="24"/>
      <c r="E52" s="24"/>
      <c r="F52" s="6" t="s">
        <v>47</v>
      </c>
      <c r="G52" s="6" t="s">
        <v>28</v>
      </c>
      <c r="H52" s="10" t="s">
        <v>208</v>
      </c>
      <c r="I52" s="23"/>
      <c r="J52" s="2">
        <v>326.66000000000003</v>
      </c>
      <c r="K52" s="23"/>
      <c r="N52" s="1">
        <f ca="1">IF(AND(AND(MID(K2,2,1)&lt;&gt;MID(K2,3,1),MID(K2,3,1)&lt;&gt;MID(K2,4,1),MID(K2,2,1)&lt;&gt;MID(K2,4,1)),
  OR(ISNUMBER(FIND(","&amp;MID(K2,2,3),H52,1)),
  ISNUMBER(FIND(","&amp;MID(K2,2,1)&amp;MID(K2,4,1)&amp;MID(K2,3,1),H52,1)),
  ISNUMBER(FIND(","&amp;MID(K2,3,1)&amp;MID(K2,2,1)&amp;MID(K2,4,1),H52,1)),
  ISNUMBER(FIND(","&amp;MID(K2,3,2)&amp;MID(K2,2,1),H52,1)),
  ISNUMBER(FIND(","&amp;MID(K2,4,1)&amp;MID(K2,2,2),H52,1)),
  ISNUMBER(FIND(","&amp;MID(K2,4,1)&amp;MID(K2,3,1)&amp;MID(K2,2,1),H52,1)))),
  I2*J52,0)</f>
        <v>4246.58</v>
      </c>
      <c r="O52" s="21" t="s">
        <v>136</v>
      </c>
    </row>
    <row r="53" spans="4:15" x14ac:dyDescent="0.15">
      <c r="D53" s="24"/>
      <c r="E53" s="24" t="s">
        <v>48</v>
      </c>
      <c r="F53" s="6" t="s">
        <v>49</v>
      </c>
      <c r="G53" s="6" t="s">
        <v>48</v>
      </c>
      <c r="H53" s="7" t="s">
        <v>21</v>
      </c>
      <c r="I53" s="23"/>
      <c r="J53" s="2">
        <v>7.23</v>
      </c>
      <c r="K53" s="23"/>
      <c r="N53" s="15">
        <f ca="1">IF(OR(ISNUMBER(FIND(MID(K2,2,1),H53,1)),ISNUMBER(FIND(MID(K2,3,1),H53,1)),ISNUMBER(FIND(MID(K2,4,1),H53,1))),I2*J53,0)</f>
        <v>93.990000000000009</v>
      </c>
      <c r="O53" s="14" t="s">
        <v>136</v>
      </c>
    </row>
    <row r="54" spans="4:15" x14ac:dyDescent="0.15">
      <c r="D54" s="24"/>
      <c r="E54" s="24"/>
      <c r="F54" s="6" t="s">
        <v>50</v>
      </c>
      <c r="G54" s="6" t="s">
        <v>48</v>
      </c>
      <c r="H54" s="7" t="s">
        <v>21</v>
      </c>
      <c r="I54" s="23"/>
      <c r="J54" s="2">
        <v>36.29</v>
      </c>
      <c r="K54" s="23"/>
      <c r="N54" s="1">
        <f ca="1">IF(OR(AND(ISNUMBER(FIND(MID(K2,2,1),H54,1)),ISNUMBER(FIND(MID(K2,3,1),H54,1))),AND(ISNUMBER(FIND(MID(K2,4,1),H54,1)),ISNUMBER(FIND(MID(K2,3,1),H54,1))),AND(ISNUMBER(FIND(MID(K2,2,1),H54,1)),ISNUMBER(FIND(MID(K2,4,1),H54,1)))),I2*J54,0)</f>
        <v>471.77</v>
      </c>
      <c r="O54" s="14" t="s">
        <v>136</v>
      </c>
    </row>
    <row r="55" spans="4:15" x14ac:dyDescent="0.15">
      <c r="D55" s="22" t="s">
        <v>52</v>
      </c>
      <c r="E55" s="24" t="s">
        <v>25</v>
      </c>
      <c r="F55" s="24" t="s">
        <v>7</v>
      </c>
      <c r="G55" s="16" t="s">
        <v>169</v>
      </c>
      <c r="H55" s="7" t="s">
        <v>21</v>
      </c>
      <c r="I55" s="23"/>
      <c r="J55" s="23">
        <v>1960</v>
      </c>
      <c r="K55" s="23"/>
      <c r="N55" s="23">
        <f ca="1">IF(AND(ISNUMBER(FIND(MID(K2,3,1),H55,1)),ISNUMBER(FIND(MID(K2,4,1),H56,1)),ISNUMBER(FIND(MID(K2,5,1),H57,1))),I2*J55,0)</f>
        <v>25480</v>
      </c>
      <c r="O55" s="25" t="s">
        <v>137</v>
      </c>
    </row>
    <row r="56" spans="4:15" x14ac:dyDescent="0.15">
      <c r="D56" s="24"/>
      <c r="E56" s="24"/>
      <c r="F56" s="24"/>
      <c r="G56" s="16" t="s">
        <v>170</v>
      </c>
      <c r="H56" s="7" t="s">
        <v>21</v>
      </c>
      <c r="I56" s="23"/>
      <c r="J56" s="23"/>
      <c r="K56" s="23"/>
      <c r="N56" s="23"/>
      <c r="O56" s="25"/>
    </row>
    <row r="57" spans="4:15" x14ac:dyDescent="0.15">
      <c r="D57" s="24"/>
      <c r="E57" s="24"/>
      <c r="F57" s="24"/>
      <c r="G57" s="16" t="s">
        <v>171</v>
      </c>
      <c r="H57" s="7" t="s">
        <v>21</v>
      </c>
      <c r="I57" s="23"/>
      <c r="J57" s="23"/>
      <c r="K57" s="23"/>
      <c r="N57" s="23"/>
      <c r="O57" s="25"/>
    </row>
    <row r="58" spans="4:15" x14ac:dyDescent="0.15">
      <c r="D58" s="24"/>
      <c r="E58" s="24"/>
      <c r="F58" s="6" t="s">
        <v>41</v>
      </c>
      <c r="G58" s="6" t="s">
        <v>28</v>
      </c>
      <c r="I58" s="23"/>
      <c r="J58" s="2">
        <v>1960</v>
      </c>
      <c r="K58" s="23"/>
      <c r="N58" s="15">
        <f>IF(ISNUMBER(FIND(","&amp;MID(K2,3,3)&amp;",",H58,1)),I2*J58,0)</f>
        <v>0</v>
      </c>
      <c r="O58" s="14" t="s">
        <v>136</v>
      </c>
    </row>
    <row r="59" spans="4:15" ht="27" x14ac:dyDescent="0.15">
      <c r="D59" s="24"/>
      <c r="E59" s="24"/>
      <c r="F59" s="6" t="s">
        <v>29</v>
      </c>
      <c r="G59" s="6" t="s">
        <v>30</v>
      </c>
      <c r="H59" s="7" t="s">
        <v>31</v>
      </c>
      <c r="I59" s="23"/>
      <c r="J59" s="2">
        <v>1960</v>
      </c>
      <c r="K59" s="23"/>
      <c r="N59" s="15">
        <f ca="1">IF(ISNUMBER(FIND(","&amp;SUM(MID(K2,3,1),MID(K2,4,1),MID(K2,5,1))&amp;",",H59,1)),I2*J59,0)</f>
        <v>25480</v>
      </c>
      <c r="O59" s="14" t="s">
        <v>136</v>
      </c>
    </row>
    <row r="60" spans="4:15" x14ac:dyDescent="0.15">
      <c r="D60" s="24"/>
      <c r="E60" s="24"/>
      <c r="F60" s="6" t="s">
        <v>32</v>
      </c>
      <c r="G60" s="6" t="s">
        <v>32</v>
      </c>
      <c r="H60" s="7" t="s">
        <v>21</v>
      </c>
      <c r="I60" s="23"/>
      <c r="J60" s="2">
        <v>1960</v>
      </c>
      <c r="K60" s="23"/>
      <c r="N60" s="15">
        <f ca="1">IF(ISNUMBER(FIND(MAX(MID(K2,3,1),MID(K2,4,1),MID(K2,5,1))-MIN(MID(K2,3,1),MID(K2,4,1),MID(K2,5,1)),H60,1)),I2*J60*1,0)</f>
        <v>25480</v>
      </c>
      <c r="O60" s="14" t="s">
        <v>136</v>
      </c>
    </row>
    <row r="61" spans="4:15" ht="40.5" x14ac:dyDescent="0.15">
      <c r="D61" s="24"/>
      <c r="E61" s="24" t="s">
        <v>33</v>
      </c>
      <c r="F61" s="6" t="s">
        <v>36</v>
      </c>
      <c r="G61" s="6" t="s">
        <v>30</v>
      </c>
      <c r="H61" s="7" t="s">
        <v>42</v>
      </c>
      <c r="I61" s="23"/>
      <c r="J61" s="2">
        <v>326.66500000000002</v>
      </c>
      <c r="K61" s="23"/>
      <c r="N61" s="15">
        <f ca="1">IF(OR(AND(MID(K2,3,1)=MID(K2,4,1),MID(K2,4,1)&lt;&gt;MID(K2,5,1)),AND(MID(K2,3,1)&lt;&gt;MID(K2,4,1),MID(K2,4,1)=MID(K2,5,1)),AND(MID(K2,5,1)=MID(K2,3,1),MID(K2,3,1)&lt;&gt;MID(K2,4,1))),IF(ISNUMBER(FIND(","&amp;SUM(MID(K2,3,1),MID(K2,4,1),MID(K2,5,1))&amp;",",H61,1)),I2*J61*2,0),IF(MID(K2,3,1)&lt;&gt;MID(K2,4,1)&lt;&gt;MID(K2,5,1),IF(ISNUMBER(FIND(","&amp;SUM(MID(K2,3,1),MID(K2,4,1),MID(K2,5,1))&amp;",",H61,1)),I2*J61,0)))</f>
        <v>4246.6450000000004</v>
      </c>
      <c r="O61" s="14" t="s">
        <v>136</v>
      </c>
    </row>
    <row r="62" spans="4:15" x14ac:dyDescent="0.15">
      <c r="D62" s="24"/>
      <c r="E62" s="24"/>
      <c r="F62" s="6" t="s">
        <v>43</v>
      </c>
      <c r="G62" s="6" t="s">
        <v>43</v>
      </c>
      <c r="H62" s="7" t="s">
        <v>21</v>
      </c>
      <c r="I62" s="23"/>
      <c r="J62" s="2">
        <v>653.33000000000004</v>
      </c>
      <c r="K62" s="23"/>
      <c r="N62" s="15">
        <f>IF(OR(AND(MID(K2,3,1)=MID(K2,4,1),MID(K2,4,1)&lt;&gt;MID(K2,5,1)),AND(MID(K2,3,1)&lt;&gt;MID(K2,4,1),MID(K2,4,1)=MID(K2,5,1)),AND(MID(K2,5,1)=MID(K2,3,1),MID(K2,3,1)&lt;&gt;MID(K2,4,1))),IF(AND(ISNUMBER(FIND(MID(K2,3,1),H62,1)),ISNUMBER(FIND(MID(K2,4,1),H62,1)),ISNUMBER(FIND(MID(K2,5,1),H62,1))),I2*J62,0),0)</f>
        <v>0</v>
      </c>
      <c r="O62" s="14" t="s">
        <v>136</v>
      </c>
    </row>
    <row r="63" spans="4:15" x14ac:dyDescent="0.15">
      <c r="D63" s="24"/>
      <c r="E63" s="24"/>
      <c r="F63" s="6" t="s">
        <v>44</v>
      </c>
      <c r="G63" s="6" t="s">
        <v>44</v>
      </c>
      <c r="H63" s="7" t="s">
        <v>21</v>
      </c>
      <c r="I63" s="23"/>
      <c r="J63" s="2">
        <v>326.66000000000003</v>
      </c>
      <c r="K63" s="23"/>
      <c r="N63" s="15">
        <f ca="1">IF(OR(AND(MID(K2,3,1)=MID(K2,4,1),MID(K2,4,1)&lt;&gt;MID(K2,5,1)),AND(MID(K2,3,1)&lt;&gt;MID(K2,4,1),MID(K2,4,1)=MID(K2,5,1)),AND(MID(K2,5,1)=MID(K2,3,1),MID(K2,3,1)&lt;&gt;MID(K2,4,1))),0,IF(AND(ISNUMBER(FIND(MID(K2,3,1),H63,1)),ISNUMBER(FIND(MID(K2,4,1),H63,1)),ISNUMBER(FIND(MID(K2,5,1),H63,1))),I2*J63,0))</f>
        <v>4246.58</v>
      </c>
      <c r="O63" s="14" t="s">
        <v>136</v>
      </c>
    </row>
    <row r="64" spans="4:15" x14ac:dyDescent="0.15">
      <c r="D64" s="24"/>
      <c r="E64" s="24"/>
      <c r="F64" s="6" t="s">
        <v>45</v>
      </c>
      <c r="G64" s="6" t="s">
        <v>28</v>
      </c>
      <c r="H64" s="10" t="s">
        <v>203</v>
      </c>
      <c r="I64" s="23"/>
      <c r="J64" s="2">
        <v>326.66500000000002</v>
      </c>
      <c r="K64" s="23"/>
      <c r="N64" s="15">
        <f>IF(AND(OR(ISNUMBER(FIND(","&amp;MID(K2,3,3),H64,1)),
  ISNUMBER(FIND(","&amp;MID(K2,3,1)&amp;MID(K2,5,1)&amp;MID(K2,4,1),H64,1)),
  ISNUMBER(FIND(","&amp;MID(K2,4,1)&amp;MID(K2,3,1)&amp;MID(K2,5,1),H64,1)),
  ISNUMBER(FIND(","&amp;MID(K2,4,2)&amp;MID(K2,3,1),H64,1)),
  ISNUMBER(FIND(","&amp;MID(K2,5,1)&amp;MID(K2,3,2),H64,1)),
  ISNUMBER(FIND(","&amp;MID(K2,5,1)&amp;MID(K2,4,1)&amp;MID(K2,3,1),H64,1))),
  AND(MID(K2,3,1)+MID(K2,4,1)+MID(K2,5,1)&lt;&gt;MID(K2,3,1)*3)),
 IF(OR(AND(MID(K2,3,1)=MID(K2,4,1),MID(K2,4,1)&lt;&gt;MID(K2,5,1)),AND(MID(K2,3,1)&lt;&gt;MID(K2,4,1),MID(K2,4,1)=MID(K2,5,1)),AND(MID(K2,5,1)=MID(K2,3,1),MID(K2,3,1)&lt;&gt;MID(K2,4,1))),
  I2*J64*2,I2*J64
 ),0
)</f>
        <v>0</v>
      </c>
      <c r="O64" s="21" t="s">
        <v>136</v>
      </c>
    </row>
    <row r="65" spans="4:18" x14ac:dyDescent="0.15">
      <c r="D65" s="24"/>
      <c r="E65" s="24"/>
      <c r="F65" s="6" t="s">
        <v>37</v>
      </c>
      <c r="G65" s="6" t="s">
        <v>38</v>
      </c>
      <c r="H65" s="7" t="s">
        <v>21</v>
      </c>
      <c r="I65" s="23"/>
      <c r="J65" s="2">
        <v>326.66500000000002</v>
      </c>
      <c r="K65" s="23"/>
      <c r="N65" s="15">
        <f ca="1">IF(OR(ISNUMBER(FIND(MID(K2,3,1),H65,1)),ISNUMBER(FIND(MID(K2,4,1),H65,1)),ISNUMBER(FIND(MID(K2,5,1),H65,1))),IF(OR(AND(MID(K2,3,1)=MID(K2,4,1),MID(K2,4,1)&lt;&gt;MID(K2,5,1)),AND(MID(K2,3,1)&lt;&gt;MID(K2,4,1),MID(K2,4,1)=MID(K2,5,1)),AND(MID(K2,5,1)=MID(K2,3,1),MID(K2,3,1)&lt;&gt;MID(K2,4,1))),I17*J65*2,I2*J65),0)</f>
        <v>4246.6450000000004</v>
      </c>
      <c r="O65" s="14" t="s">
        <v>136</v>
      </c>
    </row>
    <row r="66" spans="4:18" ht="15" x14ac:dyDescent="0.15">
      <c r="D66" s="24"/>
      <c r="E66" s="24"/>
      <c r="F66" s="6" t="s">
        <v>46</v>
      </c>
      <c r="G66" s="6" t="s">
        <v>28</v>
      </c>
      <c r="H66" s="10" t="s">
        <v>206</v>
      </c>
      <c r="I66" s="23"/>
      <c r="J66" s="2">
        <v>653.33000000000004</v>
      </c>
      <c r="K66" s="23"/>
      <c r="N66" s="20">
        <f>IF(AND(OR(ISNUMBER(FIND(","&amp;MID(K2,3,3),H66,1)),
  ISNUMBER(FIND(","&amp;MID(K2,3,1)&amp;MID(K2,5,1)&amp;MID(K2,4,1),H66,1)),
  ISNUMBER(FIND(","&amp;MID(K2,4,1)&amp;MID(K2,3,1)&amp;MID(K2,5,1),H66,1)),
  ISNUMBER(FIND(","&amp;MID(K2,4,2)&amp;MID(K2,3,1),H66,1)),
  ISNUMBER(FIND(","&amp;MID(K2,5,1)&amp;MID(K2,3,2),H66,1)),
  ISNUMBER(FIND(","&amp;MID(K2,5,1)&amp;MID(K2,4,1)&amp;MID(K2,3,1),H66,1))),
  OR(AND(MID(K2,3,1)=MID(K2,4,1),MID(K2,4,1)&lt;&gt;MID(K2,5,1)),AND(MID(K2,3,1)&lt;&gt;MID(K2,4,1),MID(K2,4,1)=MID(K2,5,1)),AND(MID(K2,5,1)=MID(K2,3,1),MID(K2,3,1)&lt;&gt;MID(K2,4,1)))),
 I2*J66,0
)</f>
        <v>0</v>
      </c>
      <c r="O66" s="21" t="s">
        <v>136</v>
      </c>
      <c r="Q66" s="1">
        <v>11356</v>
      </c>
      <c r="R66" s="27" t="str">
        <f>IF(SUMPRODUCT(N(ISNUMBER(FIND(ROW($1:$10)-1,Q66))))&lt;5,"有","无")</f>
        <v>有</v>
      </c>
    </row>
    <row r="67" spans="4:18" x14ac:dyDescent="0.15">
      <c r="D67" s="24"/>
      <c r="E67" s="24"/>
      <c r="F67" s="6" t="s">
        <v>47</v>
      </c>
      <c r="G67" s="6" t="s">
        <v>28</v>
      </c>
      <c r="H67" s="10" t="s">
        <v>209</v>
      </c>
      <c r="I67" s="23"/>
      <c r="J67" s="2">
        <v>326.66000000000003</v>
      </c>
      <c r="K67" s="23"/>
      <c r="N67" s="20">
        <f>IF(AND(AND(MID(K2,3,1)&lt;&gt;MID(K2,4,1),MID(K2,4,1)&lt;&gt;MID(K2,5,1),MID(K2,3,1)&lt;&gt;MID(K2,5,1)),
  OR(ISNUMBER(FIND(","&amp;MID(K2,3,3),H67,1)),
  ISNUMBER(FIND(","&amp;MID(K2,3,1)&amp;MID(K2,5,1)&amp;MID(K2,4,1),H67,1)),
  ISNUMBER(FIND(","&amp;MID(K2,4,1)&amp;MID(K2,3,1)&amp;MID(K2,5,1),H67,1)),
  ISNUMBER(FIND(","&amp;MID(K2,4,2)&amp;MID(K2,3,1),H67,1)),
  ISNUMBER(FIND(","&amp;MID(K2,5,1)&amp;MID(K2,3,2),H67,1)),
  ISNUMBER(FIND(","&amp;MID(K2,5,1)&amp;MID(K2,4,1)&amp;MID(K2,3,1),H67,1)))),
  I2*J67,0)</f>
        <v>0</v>
      </c>
      <c r="O67" s="21" t="s">
        <v>136</v>
      </c>
      <c r="Q67" s="1">
        <f>SUMPRODUCT(N(ISNUMBER(FIND(ROW($1:$10)-1,Q66))))</f>
        <v>4</v>
      </c>
    </row>
    <row r="68" spans="4:18" x14ac:dyDescent="0.15">
      <c r="D68" s="24"/>
      <c r="E68" s="24" t="s">
        <v>48</v>
      </c>
      <c r="F68" s="6" t="s">
        <v>49</v>
      </c>
      <c r="G68" s="6" t="s">
        <v>48</v>
      </c>
      <c r="H68" s="7" t="s">
        <v>21</v>
      </c>
      <c r="I68" s="23"/>
      <c r="J68" s="2">
        <v>7.23</v>
      </c>
      <c r="K68" s="23"/>
      <c r="N68" s="20">
        <f ca="1">IF(OR(ISNUMBER(FIND(MID(K2,3,1),H68,1)),ISNUMBER(FIND(MID(K2,4,1),H68,1)),ISNUMBER(FIND(MID(K2,5,1),H68,1))),I2*J68,0)</f>
        <v>93.990000000000009</v>
      </c>
      <c r="O68" s="21" t="s">
        <v>136</v>
      </c>
    </row>
    <row r="69" spans="4:18" x14ac:dyDescent="0.15">
      <c r="D69" s="24"/>
      <c r="E69" s="24"/>
      <c r="F69" s="6" t="s">
        <v>50</v>
      </c>
      <c r="G69" s="6" t="s">
        <v>48</v>
      </c>
      <c r="H69" s="7" t="s">
        <v>21</v>
      </c>
      <c r="I69" s="23"/>
      <c r="J69" s="2">
        <v>36.29</v>
      </c>
      <c r="K69" s="23"/>
      <c r="N69" s="20">
        <f ca="1">IF(OR(AND(ISNUMBER(FIND(MID(K2,3,1),H69,1)),ISNUMBER(FIND(MID(K2,4,1),H69,1))),AND(ISNUMBER(FIND(MID(K2,5,1),H69,1)),ISNUMBER(FIND(MID(K2,4,1),H69,1))),AND(ISNUMBER(FIND(MID(K2,3,1),H69,1)),ISNUMBER(FIND(MID(K2,5,1),H69,1)))),I2*J69,0)</f>
        <v>471.77</v>
      </c>
      <c r="O69" s="21" t="s">
        <v>136</v>
      </c>
    </row>
    <row r="70" spans="4:18" x14ac:dyDescent="0.15">
      <c r="D70" s="22" t="s">
        <v>53</v>
      </c>
      <c r="E70" s="22" t="s">
        <v>54</v>
      </c>
      <c r="F70" s="22" t="s">
        <v>55</v>
      </c>
      <c r="G70" s="2" t="s">
        <v>10</v>
      </c>
      <c r="H70" s="10" t="s">
        <v>175</v>
      </c>
      <c r="I70" s="23"/>
      <c r="J70" s="23">
        <v>19600</v>
      </c>
      <c r="K70" s="23"/>
      <c r="L70" s="15" t="b">
        <f>ISNUMBER(FIND(MID(K2,2,1),H70,1))</f>
        <v>1</v>
      </c>
      <c r="M70" s="17"/>
      <c r="N70" s="23">
        <f>IF(AND(ISNUMBER(FIND(MID(K2,2,1),H70,1)),ISNUMBER(FIND(MID(K2,3,1),H71,1)),ISNUMBER(FIND(MID(K2,4,1),H72,1)),ISNUMBER(FIND(RIGHT(K2,1),H73,1))),I2*J70,0)</f>
        <v>0</v>
      </c>
      <c r="O70" s="25" t="s">
        <v>176</v>
      </c>
    </row>
    <row r="71" spans="4:18" x14ac:dyDescent="0.15">
      <c r="D71" s="22"/>
      <c r="E71" s="22"/>
      <c r="F71" s="22"/>
      <c r="G71" s="2" t="s">
        <v>11</v>
      </c>
      <c r="H71" s="10" t="s">
        <v>174</v>
      </c>
      <c r="I71" s="23"/>
      <c r="J71" s="23"/>
      <c r="K71" s="23"/>
      <c r="L71" s="15" t="b">
        <f>ISNUMBER(FIND(MID(K2,3,1),H71,1))</f>
        <v>1</v>
      </c>
      <c r="M71" s="17"/>
      <c r="N71" s="23"/>
      <c r="O71" s="25"/>
    </row>
    <row r="72" spans="4:18" x14ac:dyDescent="0.15">
      <c r="D72" s="22"/>
      <c r="E72" s="22"/>
      <c r="F72" s="22"/>
      <c r="G72" s="6" t="s">
        <v>22</v>
      </c>
      <c r="H72" s="10" t="s">
        <v>172</v>
      </c>
      <c r="I72" s="23"/>
      <c r="J72" s="23"/>
      <c r="K72" s="23"/>
      <c r="L72" s="15" t="b">
        <f>ISNUMBER(FIND(MID(K2,4,1),H72,1))</f>
        <v>0</v>
      </c>
      <c r="M72" s="17"/>
      <c r="N72" s="23"/>
      <c r="O72" s="25"/>
    </row>
    <row r="73" spans="4:18" x14ac:dyDescent="0.15">
      <c r="D73" s="22"/>
      <c r="E73" s="22"/>
      <c r="F73" s="22"/>
      <c r="G73" s="6" t="s">
        <v>23</v>
      </c>
      <c r="H73" s="10" t="s">
        <v>173</v>
      </c>
      <c r="I73" s="23"/>
      <c r="J73" s="23"/>
      <c r="K73" s="23"/>
      <c r="L73" s="15" t="b">
        <f>ISNUMBER(FIND(RIGHT(K2,1),H73,1))</f>
        <v>1</v>
      </c>
      <c r="N73" s="23"/>
      <c r="O73" s="25"/>
    </row>
    <row r="74" spans="4:18" x14ac:dyDescent="0.15">
      <c r="D74" s="22"/>
      <c r="E74" s="22"/>
      <c r="F74" s="9" t="s">
        <v>56</v>
      </c>
      <c r="G74" s="9" t="s">
        <v>57</v>
      </c>
      <c r="H74" s="4">
        <v>7113</v>
      </c>
      <c r="I74" s="23"/>
      <c r="J74" s="2">
        <v>19600</v>
      </c>
      <c r="K74" s="23"/>
      <c r="L74" s="1" t="b">
        <f>ISNUMBER(FIND(","&amp;RIGHT(K2,4)&amp;",",H74,1))</f>
        <v>0</v>
      </c>
      <c r="N74" s="20">
        <f>IF(ISNUMBER(FIND(","&amp;RIGHT(K2,4)&amp;",",H74,1)),I2*J74,0)</f>
        <v>0</v>
      </c>
      <c r="O74" s="21" t="s">
        <v>136</v>
      </c>
    </row>
    <row r="75" spans="4:18" x14ac:dyDescent="0.15">
      <c r="D75" s="22"/>
      <c r="E75" s="22" t="s">
        <v>58</v>
      </c>
      <c r="F75" s="9" t="s">
        <v>59</v>
      </c>
      <c r="G75" s="9" t="s">
        <v>60</v>
      </c>
      <c r="H75" s="10" t="s">
        <v>177</v>
      </c>
      <c r="I75" s="23"/>
      <c r="J75" s="1">
        <v>816.66</v>
      </c>
      <c r="K75" s="23"/>
      <c r="L75" s="15" t="b">
        <f>AND(ISNUMBER(FIND(MID(K2,2,1),H75,1)),ISNUMBER(FIND(MID(K2,3,1),H75,1)),ISNUMBER(FIND(MID(K2,4,1),H75,1)),ISNUMBER(FIND(MID(K2,5,1),H75,1)))</f>
        <v>1</v>
      </c>
      <c r="N75" s="20">
        <f ca="1">IF(AND(ISNUMBER(FIND(MID(K2,2,1),H75,1)),ISNUMBER(FIND(MID(K2,3,1),H75,1)),ISNUMBER(FIND(MID(K2,4,1),H75,1)),ISNUMBER(FIND(MID(K2,5,1),H75,1))),I2*J75,0)</f>
        <v>10616.58</v>
      </c>
      <c r="O75" s="21" t="s">
        <v>176</v>
      </c>
      <c r="P75" s="16" t="s">
        <v>183</v>
      </c>
    </row>
    <row r="76" spans="4:18" x14ac:dyDescent="0.15">
      <c r="D76" s="22"/>
      <c r="E76" s="22"/>
      <c r="F76" s="22" t="s">
        <v>61</v>
      </c>
      <c r="G76" s="9" t="s">
        <v>62</v>
      </c>
      <c r="H76" s="7" t="s">
        <v>21</v>
      </c>
      <c r="I76" s="23"/>
      <c r="J76" s="23">
        <v>1633.33</v>
      </c>
      <c r="K76" s="23"/>
      <c r="M76" s="23" t="b">
        <f>EXACT(SUM(DELTA(MID(K2,2,1),MID(K2,3,1)),DELTA(MID(K2,2,1),MID(K2,4,1)),DELTA(MID(K2,2,1),MID(K2,5,1)),DELTA(MID(K2,3,1),MID(K2,4,1)),DELTA(MID(K2,3,1),MID(K2,5,1)),DELTA(MID(K2,4,1),MID(K2,5,1))),1)</f>
        <v>0</v>
      </c>
      <c r="N76" s="23">
        <f>IF(
 EXACT(SUM(DELTA(MID(K2,2,1),MID(K2,3,1)),DELTA(MID(K2,2,1),MID(K2,4,1)),DELTA(MID(K2,2,1),MID(K2,5,1)),DELTA(MID(K2,3,1),MID(K2,4,1)),DELTA(MID(K2,3,1),MID(K2,5,1)),DELTA(MID(K2,4,1),MID(K2,5,1))),1),
  IF(
   AND(FIND(1,DELTA(MID(K2,2,1),MID(K2,3,1))&amp;DELTA(MID(K2,2,1),MID(K2,4,1))&amp;DELTA(MID(K2,2,1),MID(K2,5,1))&amp;DELTA(MID(K2,3,1),MID(K2,4,1))&amp;DELTA(MID(K2,3,1),MID(K2,5,1))&amp;DELTA(MID(K2,4,1),MID(K2,5,1)),1)=1,
    ISNUMBER(FIND(MID(K2,2,1),H76,1)),
    ISNUMBER(FIND(MID(K2,4,1),H77,1)),
    ISNUMBER(FIND(MID(K2,5,1),H77,1))
   ),I2*J76,
   IF(
    AND(FIND(1,DELTA(MID(K2,2,1),MID(K2,3,1))&amp;DELTA(MID(K2,2,1),MID(K2,4,1))&amp;DELTA(MID(K2,2,1),MID(K2,5,1))&amp;DELTA(MID(K2,3,1),MID(K2,4,1))&amp;DELTA(MID(K2,3,1),MID(K2,5,1))&amp;DELTA(MID(K2,4,1),MID(K2,5,1)),1)=2,
    ISNUMBER(FIND(MID(K2,2,1),H76,1)),
    ISNUMBER(FIND(MID(K2,3,1),H77,1)),
    ISNUMBER(FIND(MID(K2,5,1),H77,1))
    ),I2*J76,
    IF(
     AND(FIND(1,DELTA(MID(K2,2,1),MID(K2,3,1))&amp;DELTA(MID(K2,2,1),MID(K2,4,1))&amp;DELTA(MID(K2,2,1),MID(K2,5,1))&amp;DELTA(MID(K2,3,1),MID(K2,4,1))&amp;DELTA(MID(K2,3,1),MID(K2,5,1))&amp;DELTA(MID(K2,4,1),MID(K2,5,1)),1)=3,
     ISNUMBER(FIND(MID(K2,2,1),H76,1)),
     ISNUMBER(FIND(MID(K2,3,1),H77,1)),
     ISNUMBER(FIND(MID(K2,4,1),H77,1))
     ),I2*J76,
     IF(
      AND(FIND(1,DELTA(MID(K2,2,1),MID(K2,3,1))&amp;DELTA(MID(K2,2,1),MID(K2,4,1))&amp;DELTA(MID(K2,2,1),MID(K2,5,1))&amp;DELTA(MID(K2,3,1),MID(K2,4,1))&amp;DELTA(MID(K2,3,1),MID(K2,5,1))&amp;DELTA(MID(K2,4,1),MID(K2,5,1)),1)=4,
      ISNUMBER(FIND(MID(K2,3,1),H76,1)),
      ISNUMBER(FIND(MID(K2,2,1),H77,1)),
      ISNUMBER(FIND(MID(K2,5,1),H77,1))
      ),I2*J76,
      IF(
       AND(FIND(1,DELTA(MID(K2,2,1),MID(K2,3,1))&amp;DELTA(MID(K2,2,1),MID(K2,4,1))&amp;DELTA(MID(K2,2,1),MID(K2,5,1))&amp;DELTA(MID(K2,3,1),MID(K2,4,1))&amp;DELTA(MID(K2,3,1),MID(K2,5,1))&amp;DELTA(MID(K2,4,1),MID(K2,5,1)),1)=5,
       ISNUMBER(FIND(MID(K2,3,1),H76,1)),
       ISNUMBER(FIND(MID(K2,2,1),H77,1)),
       ISNUMBER(FIND(MID(K2,4,1),H77,1))
       ),I2*J76,
       IF(
        AND(FIND(1,DELTA(MID(K2,2,1),MID(K2,3,1))&amp;DELTA(MID(K2,2,1),MID(K2,4,1))&amp;DELTA(MID(K2,2,1),MID(K2,5,1))&amp;DELTA(MID(K2,3,1),MID(K2,4,1))&amp;DELTA(MID(K2,3,1),MID(K2,5,1))&amp;DELTA(MID(K2,4,1),MID(K2,5,1)),1)=6,
        ISNUMBER(FIND(MID(K2,4,1),H76,1)),
        ISNUMBER(FIND(MID(K2,2,1),H77,1)),
        ISNUMBER(FIND(MID(K2,3,1),H77,1))
        ),I2*J76,0
       )
      )
     )
    )
   )
  ),0
 )</f>
        <v>0</v>
      </c>
      <c r="O76" s="25" t="s">
        <v>178</v>
      </c>
    </row>
    <row r="77" spans="4:18" x14ac:dyDescent="0.15">
      <c r="D77" s="22"/>
      <c r="E77" s="22"/>
      <c r="F77" s="22"/>
      <c r="G77" s="9" t="s">
        <v>63</v>
      </c>
      <c r="H77" s="7" t="s">
        <v>21</v>
      </c>
      <c r="I77" s="23"/>
      <c r="J77" s="23"/>
      <c r="K77" s="23"/>
      <c r="M77" s="23"/>
      <c r="N77" s="23"/>
      <c r="O77" s="25"/>
    </row>
    <row r="78" spans="4:18" x14ac:dyDescent="0.15">
      <c r="D78" s="22"/>
      <c r="E78" s="22"/>
      <c r="F78" s="9" t="s">
        <v>64</v>
      </c>
      <c r="G78" s="9" t="s">
        <v>62</v>
      </c>
      <c r="H78" s="7" t="s">
        <v>21</v>
      </c>
      <c r="I78" s="23"/>
      <c r="J78" s="1">
        <v>3266.66</v>
      </c>
      <c r="K78" s="23"/>
      <c r="N78" s="15">
        <f>IF(
 OR(
  AND(EXACT(MID(K2,2,1),MID(K2,3,1)),EXACT(MID(K2,4,1),MID(K2,5,1)),MID(K2,2,1)&lt;&gt;MID(K2,4,1)),
  AND(EXACT(MID(K2,2,1),MID(K2,4,1)),EXACT(MID(K2,3,1),MID(K2,5,1)),MID(K2,2,1)&lt;&gt;MID(K2,3,1)),
  AND(EXACT(MID(K2,3,1),MID(K2,4,1)),EXACT(MID(K2,2,1),MID(K2,5,1)),MID(K2,3,1)&lt;&gt;MID(K2,2,1))
 ),
 IF(AND(
  ISNUMBER(FIND(MID(K2,2,1),H78,1)),
  ISNUMBER(FIND(MID(K2,3,1),H78,1)),
  ISNUMBER(FIND(MID(K2,4,1),H78,1))
  ),I2*J78,0
 ),0
)</f>
        <v>0</v>
      </c>
      <c r="O78" s="14" t="s">
        <v>176</v>
      </c>
      <c r="P78" s="15"/>
      <c r="R78" s="15"/>
    </row>
    <row r="79" spans="4:18" x14ac:dyDescent="0.15">
      <c r="D79" s="22"/>
      <c r="E79" s="22"/>
      <c r="F79" s="22" t="s">
        <v>65</v>
      </c>
      <c r="G79" s="9" t="s">
        <v>67</v>
      </c>
      <c r="H79" s="7" t="s">
        <v>21</v>
      </c>
      <c r="I79" s="23"/>
      <c r="J79" s="23">
        <v>4900</v>
      </c>
      <c r="K79" s="23"/>
      <c r="N79" s="23">
        <f>IF(
 OR(
  AND(MID(K2,2,1)=MID(K2,3,1),MID(K2,3,1)=MID(K2,4,1),MID(K2,4,1)&lt;&gt;MID(K2,5,1)),
  AND(MID(K2,2,1)=MID(K2,3,1),MID(K2,3,1)=MID(K2,5,1),MID(K2,4,1)&lt;&gt;MID(K2,5,1)),
  AND(MID(K2,2,1)=MID(K2,4,1),MID(K2,4,1)=MID(K2,5,1),MID(K2,3,1)&lt;&gt;MID(K2,4,1)),
  AND(MID(K2,3,1)=MID(K2,4,1),MID(K2,3,1)=MID(K2,5,1),MID(K2,2,1)&lt;&gt;MID(K2,3,1))
 ),
 IF(
  OR(
   AND(ISNUMBER(FIND(MID(K2,5,1),H80,1)),ISNUMBER(FIND(MID(K2,4,1),H79,1))),
   AND(ISNUMBER(FIND(MID(K2,4,1),H80,1)),ISNUMBER(FIND(MID(K2,5,1),H79,1))),
   AND(ISNUMBER(FIND(MID(K2,2,1),H80,1)),ISNUMBER(FIND(MID(K2,3,1),H79,1))),
   AND(ISNUMBER(FIND(MID(K2,3,1),H80,1)),ISNUMBER(FIND(MID(K2,2,1),H79,1)))
  ),I2*J79,0
 ),0
)</f>
        <v>0</v>
      </c>
      <c r="O79" s="25" t="s">
        <v>178</v>
      </c>
      <c r="P79" s="15"/>
      <c r="R79" s="15"/>
    </row>
    <row r="80" spans="4:18" x14ac:dyDescent="0.15">
      <c r="D80" s="22"/>
      <c r="E80" s="22"/>
      <c r="F80" s="22"/>
      <c r="G80" s="9" t="s">
        <v>66</v>
      </c>
      <c r="H80" s="7" t="s">
        <v>21</v>
      </c>
      <c r="I80" s="23"/>
      <c r="J80" s="23"/>
      <c r="K80" s="23"/>
      <c r="N80" s="23"/>
      <c r="O80" s="25"/>
      <c r="P80" s="15"/>
    </row>
    <row r="81" spans="4:18" x14ac:dyDescent="0.15">
      <c r="D81" s="22"/>
      <c r="E81" s="22" t="s">
        <v>68</v>
      </c>
      <c r="F81" s="9" t="s">
        <v>69</v>
      </c>
      <c r="G81" s="9" t="s">
        <v>71</v>
      </c>
      <c r="H81" s="7" t="s">
        <v>21</v>
      </c>
      <c r="I81" s="23"/>
      <c r="J81" s="1">
        <v>5.69</v>
      </c>
      <c r="K81" s="23"/>
      <c r="N81" s="15">
        <f ca="1">IF(OR(ISNUMBER(FIND(MID(K2,2,1),H81,1)),ISNUMBER(FIND(MID(K2,3,1),H81,1)),ISNUMBER(FIND(MID(K2,4,1),H81,1)),ISNUMBER(FIND(MID(K2,5,1),H81,1))),I2*J81,0)</f>
        <v>73.97</v>
      </c>
      <c r="O81" s="14" t="s">
        <v>176</v>
      </c>
      <c r="P81" s="15"/>
    </row>
    <row r="82" spans="4:18" x14ac:dyDescent="0.15">
      <c r="D82" s="22"/>
      <c r="E82" s="22"/>
      <c r="F82" s="9" t="s">
        <v>70</v>
      </c>
      <c r="G82" s="9" t="s">
        <v>68</v>
      </c>
      <c r="H82" s="7" t="s">
        <v>21</v>
      </c>
      <c r="I82" s="23"/>
      <c r="J82" s="1">
        <v>20.12</v>
      </c>
      <c r="K82" s="23"/>
      <c r="N82" s="15">
        <f ca="1">IF(
 OR(
  AND(ISNUMBER(FIND(MID(K2,2,1),H82,1)),ISNUMBER(FIND(MID(K2,3,1),H82,1))),
  AND(ISNUMBER(FIND(MID(K2,2,1),H82,1)),ISNUMBER(FIND(MID(K2,4,1),H82,1))),
  AND(ISNUMBER(FIND(MID(K2,2,1),H82,1)),ISNUMBER(FIND(MID(K2,5,1),H82,1))),
  AND(ISNUMBER(FIND(MID(K2,3,1),H82,1)),ISNUMBER(FIND(MID(K2,4,1),H82,1))),
  AND(ISNUMBER(FIND(MID(K2,3,1),H82,1)),ISNUMBER(FIND(MID(K2,5,1),H82,1))),
  AND(ISNUMBER(FIND(MID(K2,4,1),H82,1)),ISNUMBER(FIND(MID(K2,5,1),H82,1)))
 ),I2*J69,0
)</f>
        <v>471.77</v>
      </c>
      <c r="O82" s="14" t="s">
        <v>181</v>
      </c>
      <c r="P82" s="15"/>
    </row>
    <row r="83" spans="4:18" x14ac:dyDescent="0.15">
      <c r="D83" s="22" t="s">
        <v>72</v>
      </c>
      <c r="E83" s="22" t="s">
        <v>73</v>
      </c>
      <c r="F83" s="22" t="s">
        <v>74</v>
      </c>
      <c r="G83" s="6" t="s">
        <v>8</v>
      </c>
      <c r="H83" s="7" t="s">
        <v>21</v>
      </c>
      <c r="I83" s="23"/>
      <c r="J83" s="23">
        <v>196000</v>
      </c>
      <c r="K83" s="23"/>
      <c r="N83" s="23">
        <f ca="1">IF(AND(ISNUMBER(FIND(LEFT(K2,1),H83,1)),ISNUMBER(FIND(MID(K2,2,1),H84,1)),ISNUMBER(FIND(MID(K2,3,1),H85,1)),ISNUMBER(FIND(MID(K2,4,1),H86,1)),ISNUMBER(FIND(RIGHT(K2,1),H87,1))),I2*J83,0)</f>
        <v>2548000</v>
      </c>
      <c r="O83" s="25" t="s">
        <v>181</v>
      </c>
      <c r="P83" s="15"/>
    </row>
    <row r="84" spans="4:18" x14ac:dyDescent="0.15">
      <c r="D84" s="22"/>
      <c r="E84" s="22"/>
      <c r="F84" s="22"/>
      <c r="G84" s="2" t="s">
        <v>10</v>
      </c>
      <c r="H84" s="7" t="s">
        <v>21</v>
      </c>
      <c r="I84" s="23"/>
      <c r="J84" s="23"/>
      <c r="K84" s="23"/>
      <c r="N84" s="23"/>
      <c r="O84" s="25"/>
      <c r="P84" s="15"/>
    </row>
    <row r="85" spans="4:18" x14ac:dyDescent="0.15">
      <c r="D85" s="22"/>
      <c r="E85" s="22"/>
      <c r="F85" s="22"/>
      <c r="G85" s="2" t="s">
        <v>11</v>
      </c>
      <c r="H85" s="7" t="s">
        <v>21</v>
      </c>
      <c r="I85" s="23"/>
      <c r="J85" s="23"/>
      <c r="K85" s="23"/>
      <c r="N85" s="23"/>
      <c r="O85" s="25"/>
      <c r="P85" s="15"/>
    </row>
    <row r="86" spans="4:18" x14ac:dyDescent="0.15">
      <c r="D86" s="22"/>
      <c r="E86" s="22"/>
      <c r="F86" s="22"/>
      <c r="G86" s="6" t="s">
        <v>22</v>
      </c>
      <c r="H86" s="7" t="s">
        <v>21</v>
      </c>
      <c r="I86" s="23"/>
      <c r="J86" s="23"/>
      <c r="K86" s="23"/>
      <c r="N86" s="23"/>
      <c r="O86" s="25"/>
      <c r="P86" s="15"/>
    </row>
    <row r="87" spans="4:18" x14ac:dyDescent="0.15">
      <c r="D87" s="22"/>
      <c r="E87" s="22"/>
      <c r="F87" s="22"/>
      <c r="G87" s="6" t="s">
        <v>23</v>
      </c>
      <c r="H87" s="7" t="s">
        <v>21</v>
      </c>
      <c r="I87" s="23"/>
      <c r="J87" s="23"/>
      <c r="K87" s="23"/>
      <c r="N87" s="23"/>
      <c r="O87" s="25"/>
      <c r="P87" s="15"/>
    </row>
    <row r="88" spans="4:18" x14ac:dyDescent="0.15">
      <c r="D88" s="22"/>
      <c r="E88" s="22"/>
      <c r="F88" s="9" t="s">
        <v>75</v>
      </c>
      <c r="G88" s="9" t="s">
        <v>76</v>
      </c>
      <c r="H88" s="10" t="s">
        <v>182</v>
      </c>
      <c r="I88" s="23"/>
      <c r="J88" s="1">
        <v>196000</v>
      </c>
      <c r="K88" s="23"/>
      <c r="N88" s="15">
        <f>IF(ISNUMBER(FIND(","&amp;K2&amp;",",H88,1)),I2*J88,0)</f>
        <v>0</v>
      </c>
      <c r="O88" s="14" t="s">
        <v>181</v>
      </c>
      <c r="P88" s="15"/>
    </row>
    <row r="89" spans="4:18" x14ac:dyDescent="0.15">
      <c r="D89" s="22"/>
      <c r="E89" s="22" t="s">
        <v>77</v>
      </c>
      <c r="F89" s="9" t="s">
        <v>78</v>
      </c>
      <c r="G89" s="9" t="s">
        <v>84</v>
      </c>
      <c r="H89" s="7" t="s">
        <v>21</v>
      </c>
      <c r="I89" s="23"/>
      <c r="J89" s="1">
        <v>1633.33</v>
      </c>
      <c r="K89" s="23"/>
      <c r="N89" s="15">
        <f ca="1">IF(AND(ISNUMBER(FIND(LEFT(K2,1),H89,1)),ISNUMBER(FIND(MID(K2,2,1),H89,1)),ISNUMBER(FIND(MID(K2,3,1),H89,1)),ISNUMBER(FIND(MID(K2,4,1),H89,1)),ISNUMBER(FIND(MID(K2,5,1),H89,1))),I2*J89,0)</f>
        <v>21233.29</v>
      </c>
      <c r="O89" s="14" t="s">
        <v>181</v>
      </c>
      <c r="P89" s="15"/>
    </row>
    <row r="90" spans="4:18" x14ac:dyDescent="0.15">
      <c r="D90" s="22"/>
      <c r="E90" s="22"/>
      <c r="F90" s="22" t="s">
        <v>79</v>
      </c>
      <c r="G90" s="9" t="s">
        <v>85</v>
      </c>
      <c r="H90" s="7" t="s">
        <v>21</v>
      </c>
      <c r="I90" s="23"/>
      <c r="J90" s="23">
        <v>3266.66</v>
      </c>
      <c r="K90" s="23"/>
      <c r="N90" s="23"/>
      <c r="O90" s="23">
        <v>66666</v>
      </c>
      <c r="P90" s="15" t="str">
        <f>IF(MAX(FREQUENCY(-MID(O90,{1,2,3,4,5},1),-MID(O90,{1,2,3,4,5},1)))=1,"组六","组三")</f>
        <v>组三</v>
      </c>
      <c r="Q90" s="1">
        <f>MAX(FREQUENCY(-MID(O90,{1,2,3,4,5},1),-MID(O90,{1,2,3,4,5},1)))</f>
        <v>5</v>
      </c>
      <c r="R90" s="1">
        <v>11112</v>
      </c>
    </row>
    <row r="91" spans="4:18" x14ac:dyDescent="0.15">
      <c r="D91" s="22"/>
      <c r="E91" s="22"/>
      <c r="F91" s="22"/>
      <c r="G91" s="9" t="s">
        <v>63</v>
      </c>
      <c r="H91" s="7" t="s">
        <v>21</v>
      </c>
      <c r="I91" s="23"/>
      <c r="J91" s="23"/>
      <c r="K91" s="23"/>
      <c r="N91" s="23"/>
      <c r="O91" s="23"/>
      <c r="R91" s="1">
        <v>11121</v>
      </c>
    </row>
    <row r="92" spans="4:18" x14ac:dyDescent="0.15">
      <c r="D92" s="22"/>
      <c r="E92" s="22"/>
      <c r="F92" s="22" t="s">
        <v>80</v>
      </c>
      <c r="G92" s="9" t="s">
        <v>85</v>
      </c>
      <c r="H92" s="7" t="s">
        <v>21</v>
      </c>
      <c r="I92" s="23"/>
      <c r="J92" s="23">
        <v>6533.33</v>
      </c>
      <c r="K92" s="23"/>
      <c r="N92" s="23"/>
      <c r="O92" s="23"/>
      <c r="R92" s="1">
        <v>11211</v>
      </c>
    </row>
    <row r="93" spans="4:18" x14ac:dyDescent="0.15">
      <c r="D93" s="22"/>
      <c r="E93" s="22"/>
      <c r="F93" s="22"/>
      <c r="G93" s="9" t="s">
        <v>63</v>
      </c>
      <c r="H93" s="7" t="s">
        <v>21</v>
      </c>
      <c r="I93" s="23"/>
      <c r="J93" s="23"/>
      <c r="K93" s="23"/>
      <c r="N93" s="23"/>
      <c r="O93" s="23"/>
      <c r="R93" s="1">
        <v>12111</v>
      </c>
    </row>
    <row r="94" spans="4:18" x14ac:dyDescent="0.15">
      <c r="D94" s="22"/>
      <c r="E94" s="22"/>
      <c r="F94" s="22" t="s">
        <v>81</v>
      </c>
      <c r="G94" s="9" t="s">
        <v>86</v>
      </c>
      <c r="H94" s="7" t="s">
        <v>21</v>
      </c>
      <c r="I94" s="23"/>
      <c r="J94" s="23">
        <v>9800</v>
      </c>
      <c r="K94" s="23"/>
      <c r="N94" s="23"/>
      <c r="O94" s="23"/>
      <c r="R94" s="1">
        <v>21111</v>
      </c>
    </row>
    <row r="95" spans="4:18" x14ac:dyDescent="0.15">
      <c r="D95" s="22"/>
      <c r="E95" s="22"/>
      <c r="F95" s="22"/>
      <c r="G95" s="9" t="s">
        <v>63</v>
      </c>
      <c r="H95" s="7" t="s">
        <v>21</v>
      </c>
      <c r="I95" s="23"/>
      <c r="J95" s="23"/>
      <c r="K95" s="23"/>
      <c r="N95" s="23"/>
      <c r="O95" s="23"/>
    </row>
    <row r="96" spans="4:18" x14ac:dyDescent="0.15">
      <c r="D96" s="22"/>
      <c r="E96" s="22"/>
      <c r="F96" s="22" t="s">
        <v>82</v>
      </c>
      <c r="G96" s="9" t="s">
        <v>87</v>
      </c>
      <c r="H96" s="7" t="s">
        <v>21</v>
      </c>
      <c r="I96" s="23"/>
      <c r="J96" s="23">
        <v>19600</v>
      </c>
      <c r="K96" s="23"/>
      <c r="N96" s="23"/>
      <c r="O96" s="23"/>
    </row>
    <row r="97" spans="4:17" x14ac:dyDescent="0.15">
      <c r="D97" s="22"/>
      <c r="E97" s="22"/>
      <c r="F97" s="22"/>
      <c r="G97" s="9" t="s">
        <v>63</v>
      </c>
      <c r="H97" s="7" t="s">
        <v>21</v>
      </c>
      <c r="I97" s="23"/>
      <c r="J97" s="23"/>
      <c r="K97" s="23"/>
      <c r="N97" s="23"/>
      <c r="O97" s="23"/>
    </row>
    <row r="98" spans="4:17" x14ac:dyDescent="0.15">
      <c r="D98" s="22"/>
      <c r="E98" s="22"/>
      <c r="F98" s="22" t="s">
        <v>83</v>
      </c>
      <c r="G98" s="9" t="s">
        <v>88</v>
      </c>
      <c r="H98" s="7" t="s">
        <v>21</v>
      </c>
      <c r="I98" s="23"/>
      <c r="J98" s="23">
        <v>39200</v>
      </c>
      <c r="K98" s="23"/>
      <c r="N98" s="23"/>
      <c r="O98" s="23"/>
    </row>
    <row r="99" spans="4:17" x14ac:dyDescent="0.15">
      <c r="D99" s="22"/>
      <c r="E99" s="22"/>
      <c r="F99" s="22"/>
      <c r="G99" s="9" t="s">
        <v>89</v>
      </c>
      <c r="H99" s="7" t="s">
        <v>21</v>
      </c>
      <c r="I99" s="23"/>
      <c r="J99" s="23"/>
      <c r="K99" s="23"/>
      <c r="N99" s="23"/>
      <c r="O99" s="23"/>
    </row>
    <row r="100" spans="4:17" x14ac:dyDescent="0.15">
      <c r="D100" s="22"/>
      <c r="E100" s="22" t="s">
        <v>68</v>
      </c>
      <c r="F100" s="9" t="s">
        <v>90</v>
      </c>
      <c r="G100" s="9" t="s">
        <v>93</v>
      </c>
      <c r="H100" s="7" t="s">
        <v>21</v>
      </c>
      <c r="I100" s="23"/>
      <c r="J100" s="1">
        <v>4.78</v>
      </c>
      <c r="K100" s="23"/>
      <c r="N100" s="15">
        <f ca="1">IF(OR(ISNUMBER(FIND(MID(K2,1,1),H100,1)),ISNUMBER(FIND(MID(K2,2,1),H100,1)),ISNUMBER(FIND(MID(K2,3,1),H100,1)),ISNUMBER(FIND(MID(K2,4,1),H100,1)),ISNUMBER(FIND(MID(K2,5,1),H100,1))),I2*J100,0)</f>
        <v>62.14</v>
      </c>
      <c r="O100" s="14" t="s">
        <v>189</v>
      </c>
    </row>
    <row r="101" spans="4:17" x14ac:dyDescent="0.15">
      <c r="D101" s="22"/>
      <c r="E101" s="22"/>
      <c r="F101" s="9" t="s">
        <v>91</v>
      </c>
      <c r="G101" s="9" t="s">
        <v>93</v>
      </c>
      <c r="H101" s="7" t="s">
        <v>21</v>
      </c>
      <c r="I101" s="23"/>
      <c r="J101" s="1">
        <v>13.36</v>
      </c>
      <c r="K101" s="23"/>
      <c r="N101" s="10">
        <f ca="1">IF(
  SUM(IF(ISNUMBER(FIND(MID(K2,1,1),H101,1)),1,0),
   IF(ISNUMBER(FIND(MID(K2,2,1),H101,1)),1,0),
   IF(ISNUMBER(FIND(MID(K2,3,1),H101,1)),1,0),
   IF(ISNUMBER(FIND(MID(K2,4,1),H101,1)),1,0),
   IF(ISNUMBER(FIND(MID(K2,5,1),H101,1)),1,0)
  )&gt;=2,I2*J101,0)</f>
        <v>173.68</v>
      </c>
      <c r="O101" s="16" t="s">
        <v>184</v>
      </c>
      <c r="P101" s="16" t="s">
        <v>185</v>
      </c>
    </row>
    <row r="102" spans="4:17" x14ac:dyDescent="0.15">
      <c r="D102" s="22"/>
      <c r="E102" s="22"/>
      <c r="F102" s="9" t="s">
        <v>92</v>
      </c>
      <c r="G102" s="9" t="s">
        <v>93</v>
      </c>
      <c r="H102" s="7" t="s">
        <v>21</v>
      </c>
      <c r="I102" s="23"/>
      <c r="J102" s="1">
        <v>45.05</v>
      </c>
      <c r="K102" s="23"/>
      <c r="N102" s="10"/>
    </row>
    <row r="103" spans="4:17" x14ac:dyDescent="0.15">
      <c r="D103" s="22"/>
      <c r="E103" s="22" t="s">
        <v>94</v>
      </c>
      <c r="F103" s="9" t="s">
        <v>95</v>
      </c>
      <c r="G103" s="9" t="s">
        <v>95</v>
      </c>
      <c r="H103" s="7" t="s">
        <v>21</v>
      </c>
      <c r="I103" s="23"/>
      <c r="J103" s="1">
        <v>4.78</v>
      </c>
      <c r="K103" s="23"/>
      <c r="N103" s="1">
        <f ca="1">IF(OR(ISNUMBER(FIND(MID(K2,1,1),H103,1)),ISNUMBER(FIND(MID(K2,2,1),H103,1)),ISNUMBER(FIND(MID(K2,3,1),H103,1)),ISNUMBER(FIND(MID(K2,4,1),H103,1)),ISNUMBER(FIND(MID(K2,5,1),H103,1))),I2*J103,0)</f>
        <v>62.14</v>
      </c>
      <c r="O103" s="14" t="s">
        <v>181</v>
      </c>
    </row>
    <row r="104" spans="4:17" x14ac:dyDescent="0.15">
      <c r="D104" s="22"/>
      <c r="E104" s="22"/>
      <c r="F104" s="9" t="s">
        <v>96</v>
      </c>
      <c r="G104" s="9" t="s">
        <v>96</v>
      </c>
      <c r="H104" s="7" t="s">
        <v>21</v>
      </c>
      <c r="I104" s="23"/>
      <c r="J104" s="1">
        <v>24.06</v>
      </c>
      <c r="K104" s="23"/>
    </row>
    <row r="105" spans="4:17" x14ac:dyDescent="0.15">
      <c r="D105" s="22"/>
      <c r="E105" s="22"/>
      <c r="F105" s="9" t="s">
        <v>97</v>
      </c>
      <c r="G105" s="9" t="s">
        <v>97</v>
      </c>
      <c r="H105" s="7" t="s">
        <v>21</v>
      </c>
      <c r="I105" s="23"/>
      <c r="J105" s="1">
        <v>228.97</v>
      </c>
      <c r="K105" s="23"/>
    </row>
    <row r="106" spans="4:17" x14ac:dyDescent="0.15">
      <c r="D106" s="22"/>
      <c r="E106" s="22"/>
      <c r="F106" s="9" t="s">
        <v>98</v>
      </c>
      <c r="G106" s="9" t="s">
        <v>98</v>
      </c>
      <c r="H106" s="7" t="s">
        <v>21</v>
      </c>
      <c r="I106" s="23"/>
      <c r="J106" s="1">
        <v>4260.8599999999997</v>
      </c>
      <c r="K106" s="23"/>
      <c r="P106" s="16"/>
    </row>
    <row r="107" spans="4:17" x14ac:dyDescent="0.15">
      <c r="D107" s="9" t="s">
        <v>99</v>
      </c>
      <c r="E107" s="22" t="s">
        <v>100</v>
      </c>
      <c r="F107" s="22" t="s">
        <v>101</v>
      </c>
      <c r="G107" s="9" t="s">
        <v>102</v>
      </c>
      <c r="H107" s="10" t="s">
        <v>187</v>
      </c>
      <c r="I107" s="23"/>
      <c r="J107" s="23">
        <v>7.84</v>
      </c>
      <c r="K107" s="23"/>
      <c r="L107" s="15" t="b">
        <f>IF(INT(LEFT(K2,1))&lt;5,
 IF(MOD(LEFT(K2,1),2)=1,
  IF(OR(ISNUMBER(FIND("小",H107,1)),ISNUMBER(FIND("单",H107,1))),TRUE,FALSE),
   IF(OR(ISNUMBER(FIND("小",H107,1)),ISNUMBER(FIND("双",H107,1))),TRUE,FALSE)),
 IF(MOD(LEFT(K2,1),2)=1,
  IF(OR(ISNUMBER(FIND("大",H107,1)),ISNUMBER(FIND("单",H107,1))),TRUE,FALSE),
   IF(OR(ISNUMBER(FIND("大",H107,1)),ISNUMBER(FIND("双",H107,1))),TRUE,FALSE))
)</f>
        <v>0</v>
      </c>
      <c r="M107" s="16"/>
      <c r="N107" s="22">
        <f>IF(IF(INT(LEFT(K2,1))&lt;5,
 IF(MOD(LEFT(K2,1),2)=1,
  IF(OR(ISNUMBER(FIND("小",H107,1)),ISNUMBER(FIND("单",H107,1))),1,0),
   IF(OR(ISNUMBER(FIND("小",H107,1)),ISNUMBER(FIND("双",H107,1))),1,0)),
 IF(MOD(LEFT(K2,1),2)=1,
  IF(OR(ISNUMBER(FIND("大",H107,1)),ISNUMBER(FIND("单",H107,1))),1,0),
   IF(OR(ISNUMBER(FIND("大",H107,1)),ISNUMBER(FIND("双",H107,1))),1,0))
)+IF(INT(MID(K2,2,1))&lt;5,
 IF(MOD(MID(K2,2,1),2)=1,
  IF(OR(ISNUMBER(FIND("小",H108,1)),ISNUMBER(FIND("单",H108,1))),1,0),
   IF(OR(ISNUMBER(FIND("小",H108,1)),ISNUMBER(FIND("双",H108,1))),1,0)),
 IF(MOD(MID(K2,2,1),2)=1,
  IF(OR(ISNUMBER(FIND("大",H108,1)),ISNUMBER(FIND("单",H108,1))),1,0),
   IF(OR(ISNUMBER(FIND("大",H108,1)),ISNUMBER(FIND("双",H108,1))),1,0))
)=2,I2*J107,0)</f>
        <v>0</v>
      </c>
      <c r="O107" s="25" t="s">
        <v>190</v>
      </c>
      <c r="P107" s="20"/>
      <c r="Q107" s="20"/>
    </row>
    <row r="108" spans="4:17" x14ac:dyDescent="0.15">
      <c r="E108" s="22"/>
      <c r="F108" s="22"/>
      <c r="G108" s="9" t="s">
        <v>103</v>
      </c>
      <c r="H108" s="10" t="s">
        <v>188</v>
      </c>
      <c r="I108" s="23"/>
      <c r="J108" s="23"/>
      <c r="K108" s="23"/>
      <c r="L108" s="1" t="b">
        <f>IF(INT(MID(K2,2,1))&lt;5,
 IF(MOD(MID(K2,2,1),2)=1,
  IF(OR(ISNUMBER(FIND("小",H108,1)),ISNUMBER(FIND("单",H108,1))),TRUE,FALSE),
   IF(OR(ISNUMBER(FIND("小",H108,1)),ISNUMBER(FIND("双",H108,1))),TRUE,FALSE)),
 IF(MOD(MID(K2,2,1),2)=1,
  IF(OR(ISNUMBER(FIND("大",H108,1)),ISNUMBER(FIND("单",H108,1))),TRUE,FALSE),
   IF(OR(ISNUMBER(FIND("大",H108,1)),ISNUMBER(FIND("双",H108,1))),TRUE,FALSE))
)</f>
        <v>1</v>
      </c>
      <c r="N108" s="22"/>
      <c r="O108" s="25"/>
      <c r="Q108" s="20"/>
    </row>
    <row r="109" spans="4:17" x14ac:dyDescent="0.15">
      <c r="E109" s="22"/>
      <c r="F109" s="22" t="s">
        <v>105</v>
      </c>
      <c r="G109" s="9" t="s">
        <v>106</v>
      </c>
      <c r="H109" s="10" t="s">
        <v>191</v>
      </c>
      <c r="I109" s="23"/>
      <c r="J109" s="23">
        <v>7.84</v>
      </c>
      <c r="K109" s="23"/>
      <c r="L109" s="1" t="b">
        <f>IF(INT(MID(K2,4,1))&lt;5,
 IF(MOD(MID(K2,4,1),2)=1,
  IF(OR(ISNUMBER(FIND("小",H109,1)),ISNUMBER(FIND("单",H109,1))),TRUE,FALSE),
   IF(OR(ISNUMBER(FIND("小",H109,1)),ISNUMBER(FIND("双",H109,1))),TRUE,FALSE)),
 IF(MOD(MID(K2,4,1),2)=1,
  IF(OR(ISNUMBER(FIND("大",H109,1)),ISNUMBER(FIND("单",H109,1))),TRUE,FALSE),
   IF(OR(ISNUMBER(FIND("大",H109,1)),ISNUMBER(FIND("双",H109,1))),TRUE,FALSE))
)</f>
        <v>1</v>
      </c>
      <c r="N109" s="23">
        <f>IF(IF(INT(MID(K2,4,1))&lt;5,
 IF(MOD(MID(K2,4,1),2)=1,
  IF(OR(ISNUMBER(FIND("小",H109,1)),ISNUMBER(FIND("单",H109,1))),1,0),
   IF(OR(ISNUMBER(FIND("小",H109,1)),ISNUMBER(FIND("双",H109,1))),1,0)),
 IF(MOD(MID(K2,4,1),2)=1,
  IF(OR(ISNUMBER(FIND("大",H109,1)),ISNUMBER(FIND("单",H109,1))),1,0),
   IF(OR(ISNUMBER(FIND("大",H109,1)),ISNUMBER(FIND("双",H109,1))),1,0))
)+IF(INT(MID(K2,5,1))&lt;5,
 IF(MOD(MID(K2,5,1),2)=1,
  IF(OR(ISNUMBER(FIND("小",H110,1)),ISNUMBER(FIND("单",H110,1))),1,0),
   IF(OR(ISNUMBER(FIND("小",H110,1)),ISNUMBER(FIND("双",H110,1))),1,0)),
 IF(MOD(MID(K2,5,1),2)=1,
  IF(OR(ISNUMBER(FIND("大",H110,1)),ISNUMBER(FIND("单",H110,1))),1,0),
   IF(OR(ISNUMBER(FIND("大",H110,1)),ISNUMBER(FIND("双",H110,1))),1,0))
)=2,I2*J109,0)</f>
        <v>0</v>
      </c>
      <c r="O109" s="25" t="s">
        <v>192</v>
      </c>
      <c r="P109" s="20"/>
      <c r="Q109" s="20"/>
    </row>
    <row r="110" spans="4:17" x14ac:dyDescent="0.15">
      <c r="E110" s="22"/>
      <c r="F110" s="22"/>
      <c r="G110" s="9" t="s">
        <v>107</v>
      </c>
      <c r="H110" s="10" t="s">
        <v>187</v>
      </c>
      <c r="I110" s="23"/>
      <c r="J110" s="23"/>
      <c r="K110" s="23"/>
      <c r="L110" s="1" t="b">
        <f>IF(INT(MID(K2,5,1))&lt;5,
 IF(MOD(MID(K2,5,1),2)=1,
  IF(OR(ISNUMBER(FIND("小",H110,1)),ISNUMBER(FIND("单",H110,1))),TRUE,FALSE),
   IF(OR(ISNUMBER(FIND("小",H110,1)),ISNUMBER(FIND("双",H110,1))),TRUE,FALSE)),
 IF(MOD(MID(K2,5,1),2)=1,
  IF(OR(ISNUMBER(FIND("大",H110,1)),ISNUMBER(FIND("单",H110,1))),TRUE,FALSE),
   IF(OR(ISNUMBER(FIND("大",H110,1)),ISNUMBER(FIND("双",H110,1))),TRUE,FALSE))
)</f>
        <v>0</v>
      </c>
      <c r="N110" s="23"/>
      <c r="O110" s="25"/>
      <c r="Q110" s="20"/>
    </row>
    <row r="111" spans="4:17" x14ac:dyDescent="0.15">
      <c r="E111" s="22"/>
      <c r="F111" s="22" t="s">
        <v>108</v>
      </c>
      <c r="G111" s="9" t="s">
        <v>109</v>
      </c>
      <c r="H111" s="10" t="s">
        <v>104</v>
      </c>
      <c r="I111" s="23"/>
      <c r="J111" s="23">
        <v>15.68</v>
      </c>
      <c r="K111" s="23"/>
      <c r="L111" s="1" t="b">
        <f>IF(INT(LEFT(K2,1))&lt;5,
 IF(MOD(LEFT(K2,1),2)=1,
  IF(OR(ISNUMBER(FIND("小",H111,1)),ISNUMBER(FIND("单",H111,1))),TRUE,FALSE),
   IF(OR(ISNUMBER(FIND("小",H111,1)),ISNUMBER(FIND("双",H111,1))),TRUE,FALSE)),
 IF(MOD(LEFT(K2,1),2)=1,
  IF(OR(ISNUMBER(FIND("大",H111,1)),ISNUMBER(FIND("单",H111,1))),TRUE,FALSE),
   IF(OR(ISNUMBER(FIND("大",H111,1)),ISNUMBER(FIND("双",H111,1))),TRUE,FALSE))
)</f>
        <v>1</v>
      </c>
      <c r="N111" s="23">
        <f ca="1">IF(IF(INT(LEFT(K2,1))&lt;5,
 IF(MOD(LEFT(K2,1),2)=1,
  IF(OR(ISNUMBER(FIND("小",H111,1)),ISNUMBER(FIND("单",H111,1))),1,0),
   IF(OR(ISNUMBER(FIND("小",H111,1)),ISNUMBER(FIND("双",H111,1))),1,0)),
 IF(MOD(LEFT(K2,1),2)=1,
  IF(OR(ISNUMBER(FIND("大",H111,1)),ISNUMBER(FIND("单",H111,1))),1,0),
   IF(OR(ISNUMBER(FIND("大",H111,1)),ISNUMBER(FIND("双",H111,1))),1,0))
)+IF(INT(MID(K2,2,1))&lt;5,
 IF(MOD(MID(K2,2,1),2)=1,
  IF(OR(ISNUMBER(FIND("小",H112,1)),ISNUMBER(FIND("单",H112,1))),1,0),
   IF(OR(ISNUMBER(FIND("小",H112,1)),ISNUMBER(FIND("双",H112,1))),1,0)),
 IF(MOD(MID(K2,2,1),2)=1,
  IF(OR(ISNUMBER(FIND("大",H112,1)),ISNUMBER(FIND("单",H112,1))),1,0),
   IF(OR(ISNUMBER(FIND("大",H112,1)),ISNUMBER(FIND("双",H112,1))),1,0))
)+IF(INT(MID(K2,3,1))&lt;5,
 IF(MOD(MID(K2,3,1),2)=1,
  IF(OR(ISNUMBER(FIND("小",H113,1)),ISNUMBER(FIND("单",H113,1))),1,0),
   IF(OR(ISNUMBER(FIND("小",H113,1)),ISNUMBER(FIND("双",H113,1))),1,0)),
 IF(MOD(MID(K2,3,1),2)=1,
  IF(OR(ISNUMBER(FIND("大",H113,1)),ISNUMBER(FIND("单",H113,1))),1,0),
   IF(OR(ISNUMBER(FIND("大",H113,1)),ISNUMBER(FIND("双",H113,1))),1,0))
)=3,I2*J111,0)</f>
        <v>203.84</v>
      </c>
      <c r="O111" s="25" t="s">
        <v>192</v>
      </c>
    </row>
    <row r="112" spans="4:17" x14ac:dyDescent="0.15">
      <c r="E112" s="22"/>
      <c r="F112" s="22"/>
      <c r="G112" s="9" t="s">
        <v>110</v>
      </c>
      <c r="H112" s="10" t="s">
        <v>104</v>
      </c>
      <c r="I112" s="23"/>
      <c r="J112" s="23"/>
      <c r="K112" s="23"/>
      <c r="L112" s="20" t="b">
        <f>IF(INT(MID(K2,2,1))&lt;5,
 IF(MOD(MID(K2,2,1),2)=1,
  IF(OR(ISNUMBER(FIND("小",H112,1)),ISNUMBER(FIND("单",H112,1))),TRUE,FALSE),
   IF(OR(ISNUMBER(FIND("小",H112,1)),ISNUMBER(FIND("双",H112,1))),TRUE,FALSE)),
 IF(MOD(MID(K2,2,1),2)=1,
  IF(OR(ISNUMBER(FIND("大",H112,1)),ISNUMBER(FIND("单",H112,1))),TRUE,FALSE),
   IF(OR(ISNUMBER(FIND("大",H112,1)),ISNUMBER(FIND("双",H112,1))),TRUE,FALSE))
)</f>
        <v>1</v>
      </c>
      <c r="N112" s="23"/>
      <c r="O112" s="25"/>
    </row>
    <row r="113" spans="4:15" x14ac:dyDescent="0.15">
      <c r="E113" s="22"/>
      <c r="F113" s="22"/>
      <c r="G113" s="9" t="s">
        <v>111</v>
      </c>
      <c r="H113" s="10" t="s">
        <v>104</v>
      </c>
      <c r="I113" s="23"/>
      <c r="J113" s="23"/>
      <c r="K113" s="23"/>
      <c r="L113" s="1" t="b">
        <f>IF(INT(MID(K2,3,1))&lt;5,
 IF(MOD(MID(K2,3,1),2)=1,
  IF(OR(ISNUMBER(FIND("小",H113,1)),ISNUMBER(FIND("单",H113,1))),TRUE,FALSE),
   IF(OR(ISNUMBER(FIND("小",H113,1)),ISNUMBER(FIND("双",H113,1))),TRUE,FALSE)),
 IF(MOD(MID(K2,3,1),2)=1,
  IF(OR(ISNUMBER(FIND("大",H113,1)),ISNUMBER(FIND("单",H113,1))),TRUE,FALSE),
   IF(OR(ISNUMBER(FIND("大",H113,1)),ISNUMBER(FIND("双",H113,1))),TRUE,FALSE))
)</f>
        <v>1</v>
      </c>
      <c r="N113" s="23"/>
      <c r="O113" s="25"/>
    </row>
    <row r="114" spans="4:15" x14ac:dyDescent="0.15">
      <c r="E114" s="22"/>
      <c r="F114" s="22" t="s">
        <v>52</v>
      </c>
      <c r="G114" s="9" t="s">
        <v>112</v>
      </c>
      <c r="H114" s="10" t="s">
        <v>104</v>
      </c>
      <c r="I114" s="23"/>
      <c r="J114" s="23">
        <v>15.68</v>
      </c>
      <c r="K114" s="23"/>
      <c r="L114" s="20" t="b">
        <f>IF(INT(MID(K2,3,1))&lt;5,
 IF(MOD(MID(K2,3,1),2)=1,
  IF(OR(ISNUMBER(FIND("小",H114,1)),ISNUMBER(FIND("单",H114,1))),TRUE,FALSE),
   IF(OR(ISNUMBER(FIND("小",H114,1)),ISNUMBER(FIND("双",H114,1))),TRUE,FALSE)),
 IF(MOD(MID(K2,3,1),2)=1,
  IF(OR(ISNUMBER(FIND("大",H114,1)),ISNUMBER(FIND("单",H114,1))),TRUE,FALSE),
   IF(OR(ISNUMBER(FIND("大",H114,1)),ISNUMBER(FIND("双",H114,1))),TRUE,FALSE))
)</f>
        <v>1</v>
      </c>
      <c r="N114" s="23">
        <f ca="1">IF(IF(INT(MID(K2,3,1))&lt;5,
 IF(MOD(MID(K2,3,1),2)=1,
  IF(OR(ISNUMBER(FIND("小",H114,1)),ISNUMBER(FIND("单",H114,1))),1,0),
   IF(OR(ISNUMBER(FIND("小",H114,1)),ISNUMBER(FIND("双",H114,1))),1,0)),
 IF(MOD(MID(K2,3,1),2)=1,
  IF(OR(ISNUMBER(FIND("大",H114,1)),ISNUMBER(FIND("单",H114,1))),1,0),
   IF(OR(ISNUMBER(FIND("大",H114,1)),ISNUMBER(FIND("双",H114,1))),1,0))
)+IF(INT(MID(K2,4,1))&lt;5,
 IF(MOD(MID(K2,4,1),2)=1,
  IF(OR(ISNUMBER(FIND("小",H115,1)),ISNUMBER(FIND("单",H115,1))),1,0),
   IF(OR(ISNUMBER(FIND("小",H115,1)),ISNUMBER(FIND("双",H115,1))),1,0)),
 IF(MOD(MID(K2,4,1),2)=1,
  IF(OR(ISNUMBER(FIND("大",H115,1)),ISNUMBER(FIND("单",H115,1))),1,0),
   IF(OR(ISNUMBER(FIND("大",H115,1)),ISNUMBER(FIND("双",H115,1))),1,0))
)+IF(INT(MID(K2,5,1))&lt;5,
 IF(MOD(MID(K2,5,1),2)=1,
  IF(OR(ISNUMBER(FIND("小",H116,1)),ISNUMBER(FIND("单",H116,1))),1,0),
   IF(OR(ISNUMBER(FIND("小",H116,1)),ISNUMBER(FIND("双",H116,1))),1,0)),
 IF(MOD(MID(K2,5,1),2)=1,
  IF(OR(ISNUMBER(FIND("大",H116,1)),ISNUMBER(FIND("单",H116,1))),1,0),
   IF(OR(ISNUMBER(FIND("大",H116,1)),ISNUMBER(FIND("双",H116,1))),1,0))
)=3,I2*J114,0)</f>
        <v>203.84</v>
      </c>
      <c r="O114" s="25" t="s">
        <v>190</v>
      </c>
    </row>
    <row r="115" spans="4:15" x14ac:dyDescent="0.15">
      <c r="E115" s="22"/>
      <c r="F115" s="22"/>
      <c r="G115" s="9" t="s">
        <v>113</v>
      </c>
      <c r="H115" s="10" t="s">
        <v>104</v>
      </c>
      <c r="I115" s="23"/>
      <c r="J115" s="23"/>
      <c r="K115" s="23"/>
      <c r="L115" s="20" t="b">
        <f>IF(INT(MID(K2,4,1))&lt;5,
 IF(MOD(MID(K2,4,1),2)=1,
  IF(OR(ISNUMBER(FIND("小",H115,1)),ISNUMBER(FIND("单",H115,1))),TRUE,FALSE),
   IF(OR(ISNUMBER(FIND("小",H115,1)),ISNUMBER(FIND("双",H115,1))),TRUE,FALSE)),
 IF(MOD(MID(K2,4,1),2)=1,
  IF(OR(ISNUMBER(FIND("大",H115,1)),ISNUMBER(FIND("单",H115,1))),TRUE,FALSE),
   IF(OR(ISNUMBER(FIND("大",H115,1)),ISNUMBER(FIND("双",H115,1))),TRUE,FALSE))
)</f>
        <v>1</v>
      </c>
      <c r="N115" s="23"/>
      <c r="O115" s="25"/>
    </row>
    <row r="116" spans="4:15" x14ac:dyDescent="0.15">
      <c r="E116" s="22"/>
      <c r="F116" s="22"/>
      <c r="G116" s="9" t="s">
        <v>107</v>
      </c>
      <c r="H116" s="10" t="s">
        <v>104</v>
      </c>
      <c r="I116" s="23"/>
      <c r="J116" s="23"/>
      <c r="K116" s="23"/>
      <c r="L116" s="20" t="b">
        <f>IF(INT(MID(K2,5,1))&lt;5,
 IF(MOD(MID(K2,5,1),2)=1,
  IF(OR(ISNUMBER(FIND("小",H116,1)),ISNUMBER(FIND("单",H116,1))),TRUE,FALSE),
   IF(OR(ISNUMBER(FIND("小",H116,1)),ISNUMBER(FIND("双",H116,1))),TRUE,FALSE)),
 IF(MOD(MID(K2,5,1),2)=1,
  IF(OR(ISNUMBER(FIND("大",H116,1)),ISNUMBER(FIND("单",H116,1))),TRUE,FALSE),
   IF(OR(ISNUMBER(FIND("大",H116,1)),ISNUMBER(FIND("双",H116,1))),TRUE,FALSE))
)</f>
        <v>1</v>
      </c>
      <c r="N116" s="23"/>
      <c r="O116" s="25"/>
    </row>
    <row r="117" spans="4:15" x14ac:dyDescent="0.15">
      <c r="D117" s="23" t="s">
        <v>114</v>
      </c>
      <c r="E117" s="22" t="s">
        <v>119</v>
      </c>
      <c r="F117" s="22" t="s">
        <v>114</v>
      </c>
      <c r="G117" s="1" t="s">
        <v>116</v>
      </c>
      <c r="H117" s="10" t="s">
        <v>193</v>
      </c>
      <c r="I117" s="23"/>
      <c r="J117" s="23">
        <v>1.96</v>
      </c>
      <c r="K117" s="23"/>
      <c r="L117" s="1">
        <f>IF(SUM(MID(K2,1,1),MID(K2,2,1),MID(K2,3,1),MID(K2,4,1),MID(K2,5,1))&lt;23,
 IF(MOD(SUM(MID(K2,1,1),MID(K2,2,1),MID(K2,3,1),MID(K2,4,1),MID(K2,5,1)),2)=1,
  IF(OR(ISNUMBER(FIND("和小",H117,1)),ISNUMBER(FIND("和单",H117,1))),1,0),
  IF(OR(ISNUMBER(FIND("和小",H117,1)),ISNUMBER(FIND("和双",H117,1))),1,0)),
 IF(MOD(SUM(MID(K2,1,1),MID(K2,2,1),MID(K2,3,1),MID(K2,4,1),MID(K2,5,1)),2)=1,
  IF(OR(ISNUMBER(FIND("和大",H117,1)),ISNUMBER(FIND("和单",H117,1))),1,0),
  IF(OR(ISNUMBER(FIND("和大",H117,1)),ISNUMBER(FIND("和双",H117,1))),1,0))
)</f>
        <v>0</v>
      </c>
      <c r="M117" s="23"/>
      <c r="N117" s="23">
        <f ca="1">IF(SUM(L117:L122)&gt;0,SUM(L117:L122)*I2*J117,0)</f>
        <v>101.92</v>
      </c>
      <c r="O117" s="25" t="s">
        <v>192</v>
      </c>
    </row>
    <row r="118" spans="4:15" x14ac:dyDescent="0.15">
      <c r="D118" s="23"/>
      <c r="E118" s="22"/>
      <c r="F118" s="22"/>
      <c r="G118" s="6" t="s">
        <v>8</v>
      </c>
      <c r="H118" s="10" t="s">
        <v>194</v>
      </c>
      <c r="I118" s="23"/>
      <c r="J118" s="23"/>
      <c r="K118" s="23"/>
      <c r="L118" s="1">
        <f>IF(INT(LEFT(K2,1))&lt;5,
  IF(MOD(MID(K2,1,1),2)=1,
   IF(OR(MID(K2,1,1)=1,MID(K2,1,1)=2,MID(K2,1,1)=3,MID(K2,1,1)=5,MID(K2,1,1)=7),
    IF(OR(ISNUMBER(FIND("小",H118,1)),ISNUMBER(FIND("单",H118,1)),ISNUMBER(FIND("质",H118,1))),1,0),
    IF(OR(ISNUMBER(FIND("小",H118,1)),ISNUMBER(FIND("单",H118,1)),ISNUMBER(FIND("合",H118,1))),1,0)),
   IF(OR(MID(K2,1,1)=1,MID(K2,1,1)=2,MID(K2,1,1)=3,MID(K2,1,1)=5,MID(K2,1,1)=7),
    IF(OR(ISNUMBER(FIND("小",H118,1)),ISNUMBER(FIND("双",H118,1)),ISNUMBER(FIND("质",H118,1))),1,0),
    IF(OR(ISNUMBER(FIND("小",H118,1)),ISNUMBER(FIND("双",H118,1)),ISNUMBER(FIND("合",H118,1))),1,0))),
  IF(MOD(MID(K2,1,1),2)=1,
   IF(OR(MID(K2,1,1)=1,MID(K2,1,1)=2,MID(K2,1,1)=3,MID(K2,1,1)=5,MID(K2,1,1)=7),
    IF(OR(ISNUMBER(FIND("大",H118,1)),ISNUMBER(FIND("单",H118,1)),ISNUMBER(FIND("质",H118,1))),1,0),
    IF(OR(ISNUMBER(FIND("大",H118,1)),ISNUMBER(FIND("单",H118,1)),ISNUMBER(FIND("合",H118,1))),1,0)),
   IF(OR(MID(K2,1,1)=1,MID(K2,1,1)=2,MID(K2,1,1)=3,MID(K2,1,1)=5,MID(K2,1,1)=7),
    IF(OR(ISNUMBER(FIND("大",H118,1)),ISNUMBER(FIND("双",H118,1)),ISNUMBER(FIND("质",H118,1))),1,0),
    IF(OR(ISNUMBER(FIND("大",H118,1)),ISNUMBER(FIND("双",H118,1)),ISNUMBER(FIND("合",H118,1))),1,0)))
 )</f>
        <v>1</v>
      </c>
      <c r="M118" s="23"/>
      <c r="N118" s="23"/>
      <c r="O118" s="25"/>
    </row>
    <row r="119" spans="4:15" x14ac:dyDescent="0.15">
      <c r="D119" s="23"/>
      <c r="E119" s="22"/>
      <c r="F119" s="22"/>
      <c r="G119" s="2" t="s">
        <v>10</v>
      </c>
      <c r="H119" s="10" t="s">
        <v>195</v>
      </c>
      <c r="I119" s="23"/>
      <c r="J119" s="23"/>
      <c r="K119" s="23"/>
      <c r="L119" s="1">
        <f>IF(INT(MID(K2,2,1))&lt;5,
 IF(MOD(MID(K2,2,1),2)=1,
  IF(OR(MID(K2,2,1)=1,MID(K2,2,1)=2,MID(K2,2,1)=3,MID(K2,2,1)=5,MID(K2,2,1)=7),
   IF(OR(ISNUMBER(FIND("小",H119,1)),ISNUMBER(FIND("单",H119,1)),ISNUMBER(FIND("质",H119,1))),1,0),
   IF(OR(ISNUMBER(FIND("小",H119,1)),ISNUMBER(FIND("单",H119,1)),ISNUMBER(FIND("合",H119,1))),1,0)),
  IF(OR(MID(K2,2,1)=1,MID(K2,2,1)=2,MID(K2,2,1)=3,MID(K2,2,1)=5,MID(K2,2,1)=7),
   IF(OR(ISNUMBER(FIND("小",H119,1)),ISNUMBER(FIND("双",H119,1)),ISNUMBER(FIND("质",H119,1))),1,0),
   IF(OR(ISNUMBER(FIND("小",H119,1)),ISNUMBER(FIND("双",H119,1)),ISNUMBER(FIND("合",H119,1))),1,0))),
 IF(MOD(MID(K2,2,1),2)=1,
  IF(OR(MID(K2,2,1)=1,MID(K2,2,1)=2,MID(K2,2,1)=3,MID(K2,2,1)=5,MID(K2,2,1)=7),
   IF(OR(ISNUMBER(FIND("大",H119,1)),ISNUMBER(FIND("单",H119,1)),ISNUMBER(FIND("质",H119,1))),1,0),
   IF(OR(ISNUMBER(FIND("大",H119,1)),ISNUMBER(FIND("单",H119,1)),ISNUMBER(FIND("合",H119,1))),1,0)),
  IF(OR(MID(K2,2,1)=1,MID(K2,2,1)=2,MID(K2,2,1)=3,MID(K2,2,1)=5,MID(K2,2,1)=7),
   IF(OR(ISNUMBER(FIND("大",H119,1)),ISNUMBER(FIND("双",H119,1)),ISNUMBER(FIND("质",H119,1))),1,0),
   IF(OR(ISNUMBER(FIND("大",H119,1)),ISNUMBER(FIND("双",H119,1)),ISNUMBER(FIND("合",H119,1))),1,0)))
)</f>
        <v>1</v>
      </c>
      <c r="M119" s="23"/>
      <c r="N119" s="23"/>
      <c r="O119" s="25"/>
    </row>
    <row r="120" spans="4:15" x14ac:dyDescent="0.15">
      <c r="D120" s="23"/>
      <c r="E120" s="22"/>
      <c r="F120" s="22"/>
      <c r="G120" s="2" t="s">
        <v>11</v>
      </c>
      <c r="H120" s="10" t="s">
        <v>117</v>
      </c>
      <c r="I120" s="23"/>
      <c r="J120" s="23"/>
      <c r="K120" s="23"/>
      <c r="L120" s="1">
        <f>IF(INT(MID(K2,3,1))&lt;5,
 IF(MOD(MID(K2,3,1),2)=1,
  IF(OR(MID(K2,3,1)=1,MID(K2,3,1)=2,MID(K2,3,1)=3,MID(K2,3,1)=5,MID(K2,3,1)=7),
   IF(OR(ISNUMBER(FIND("小",H120,1)),ISNUMBER(FIND("单",H120,1)),ISNUMBER(FIND("质",H120,1))),1,0),
   IF(OR(ISNUMBER(FIND("小",H120,1)),ISNUMBER(FIND("单",H120,1)),ISNUMBER(FIND("合",H120,1))),1,0)),
  IF(OR(MID(K2,3,1)=1,MID(K2,3,1)=2,MID(K2,3,1)=3,MID(K2,3,1)=5,MID(K2,3,1)=7),
   IF(OR(ISNUMBER(FIND("小",H120,1)),ISNUMBER(FIND("双",H120,1)),ISNUMBER(FIND("质",H120,1))),1,0),
   IF(OR(ISNUMBER(FIND("小",H120,1)),ISNUMBER(FIND("双",H120,1)),ISNUMBER(FIND("合",H120,1))),1,0))),
 IF(MOD(MID(K2,3,1),2)=1,
  IF(OR(MID(K2,3,1)=1,MID(K2,3,1)=2,MID(K2,3,1)=3,MID(K2,3,1)=5,MID(K2,3,1)=7),
   IF(OR(ISNUMBER(FIND("大",H120,1)),ISNUMBER(FIND("单",H120,1)),ISNUMBER(FIND("质",H120,1))),1,0),
   IF(OR(ISNUMBER(FIND("大",H120,1)),ISNUMBER(FIND("单",H120,1)),ISNUMBER(FIND("合",H120,1))),1,0)),
  IF(OR(MID(K2,3,1)=1,MID(K2,3,1)=2,MID(K2,3,1)=3,MID(K2,3,1)=5,MID(K2,3,1)=7),
   IF(OR(ISNUMBER(FIND("大",H120,1)),ISNUMBER(FIND("双",H120,1)),ISNUMBER(FIND("质",H120,1))),1,0),
   IF(OR(ISNUMBER(FIND("大",H120,1)),ISNUMBER(FIND("双",H120,1)),ISNUMBER(FIND("合",H120,1))),1,0)))
)</f>
        <v>1</v>
      </c>
      <c r="M120" s="23"/>
      <c r="N120" s="23"/>
      <c r="O120" s="25"/>
    </row>
    <row r="121" spans="4:15" x14ac:dyDescent="0.15">
      <c r="D121" s="23"/>
      <c r="E121" s="22"/>
      <c r="F121" s="22"/>
      <c r="G121" s="6" t="s">
        <v>22</v>
      </c>
      <c r="H121" s="10" t="s">
        <v>186</v>
      </c>
      <c r="I121" s="23"/>
      <c r="J121" s="23"/>
      <c r="K121" s="23"/>
      <c r="L121" s="1">
        <f>IF(INT(MID(K2,4,1))&lt;5,
 IF(MOD(MID(K2,4,1),2)=1,
  IF(OR(MID(K2,4,1)=1,MID(K2,4,1)=2,MID(K2,4,1)=3,MID(K2,4,1)=5,MID(K2,4,1)=7),
   IF(OR(ISNUMBER(FIND("小",H121,1)),ISNUMBER(FIND("单",H121,1)),ISNUMBER(FIND("质",H121,1))),1,0),
   IF(OR(ISNUMBER(FIND("小",H121,1)),ISNUMBER(FIND("单",H121,1)),ISNUMBER(FIND("合",H121,1))),1,0)),
  IF(OR(MID(K2,4,1)=1,MID(K2,4,1)=2,MID(K2,4,1)=3,MID(K2,4,1)=5,MID(K2,4,1)=7),
   IF(OR(ISNUMBER(FIND("小",H121,1)),ISNUMBER(FIND("双",H121,1)),ISNUMBER(FIND("质",H121,1))),1,0),
   IF(OR(ISNUMBER(FIND("小",H121,1)),ISNUMBER(FIND("双",H121,1)),ISNUMBER(FIND("合",H121,1))),1,0))),
 IF(MOD(MID(K2,4,1),2)=1,
  IF(OR(MID(K2,4,1)=1,MID(K2,4,1)=2,MID(K2,4,1)=3,MID(K2,4,1)=5,MID(K2,4,1)=7),
   IF(OR(ISNUMBER(FIND("大",H121,1)),ISNUMBER(FIND("单",H121,1)),ISNUMBER(FIND("质",H121,1))),1,0),
   IF(OR(ISNUMBER(FIND("大",H121,1)),ISNUMBER(FIND("单",H121,1)),ISNUMBER(FIND("合",H121,1))),1,0)),
  IF(OR(MID(K2,4,1)=1,MID(K2,4,1)=2,MID(K2,4,1)=3,MID(K2,4,1)=5,MID(K2,4,1)=7),
   IF(OR(ISNUMBER(FIND("大",H121,1)),ISNUMBER(FIND("双",H121,1)),ISNUMBER(FIND("质",H121,1))),1,0),
   IF(OR(ISNUMBER(FIND("大",H121,1)),ISNUMBER(FIND("双",H121,1)),ISNUMBER(FIND("合",H121,1))),1,0)))
)</f>
        <v>1</v>
      </c>
      <c r="M121" s="23"/>
      <c r="N121" s="23"/>
      <c r="O121" s="25"/>
    </row>
    <row r="122" spans="4:15" x14ac:dyDescent="0.15">
      <c r="D122" s="23"/>
      <c r="E122" s="22"/>
      <c r="F122" s="22"/>
      <c r="G122" s="6" t="s">
        <v>23</v>
      </c>
      <c r="H122" s="10"/>
      <c r="I122" s="23"/>
      <c r="J122" s="23"/>
      <c r="K122" s="23"/>
      <c r="L122" s="1">
        <f>IF(INT(MID(K2,5,1))&lt;5,
 IF(MOD(MID(K2,5,1),2)=1,
  IF(OR(MID(K2,5,1)=1,MID(K2,5,1)=2,MID(K2,5,1)=3,MID(K2,5,1)=5,MID(K2,5,1)=7),
   IF(OR(ISNUMBER(FIND("小",H122,1)),ISNUMBER(FIND("单",H122,1)),ISNUMBER(FIND("质",H122,1))),1,0),
   IF(OR(ISNUMBER(FIND("小",H122,1)),ISNUMBER(FIND("单",H122,1)),ISNUMBER(FIND("合",H122,1))),1,0)),
  IF(OR(MID(K2,5,1)=1,MID(K2,5,1)=2,MID(K2,5,1)=3,MID(K2,5,1)=5,MID(K2,5,1)=7),
   IF(OR(ISNUMBER(FIND("小",H122,1)),ISNUMBER(FIND("双",H122,1)),ISNUMBER(FIND("质",H122,1))),1,0),
   IF(OR(ISNUMBER(FIND("小",H122,1)),ISNUMBER(FIND("双",H122,1)),ISNUMBER(FIND("合",H122,1))),1,0))),
 IF(MOD(MID(K2,5,1),2)=1,
  IF(OR(MID(K2,5,1)=1,MID(K2,5,1)=2,MID(K2,5,1)=3,MID(K2,5,1)=5,MID(K2,5,1)=7),
   IF(OR(ISNUMBER(FIND("大",H122,1)),ISNUMBER(FIND("单",H122,1)),ISNUMBER(FIND("质",H122,1))),1,0),
   IF(OR(ISNUMBER(FIND("大",H122,1)),ISNUMBER(FIND("单",H122,1)),ISNUMBER(FIND("合",H122,1))),1,0)),
  IF(OR(MID(K2,5,1)=1,MID(K2,5,1)=2,MID(K2,5,1)=3,MID(K2,5,1)=5,MID(K2,5,1)=7),
   IF(OR(ISNUMBER(FIND("大",H122,1)),ISNUMBER(FIND("双",H122,1)),ISNUMBER(FIND("质",H122,1))),1,0),
   IF(OR(ISNUMBER(FIND("大",H122,1)),ISNUMBER(FIND("双",H122,1)),ISNUMBER(FIND("合",H122,1))),1,0)))
)</f>
        <v>0</v>
      </c>
      <c r="M122" s="23"/>
      <c r="N122" s="23"/>
      <c r="O122" s="25"/>
    </row>
    <row r="123" spans="4:15" x14ac:dyDescent="0.15">
      <c r="D123" s="22" t="s">
        <v>118</v>
      </c>
      <c r="E123" s="22" t="s">
        <v>120</v>
      </c>
      <c r="F123" s="22" t="s">
        <v>121</v>
      </c>
      <c r="G123" s="9" t="s">
        <v>122</v>
      </c>
      <c r="H123" s="10" t="s">
        <v>196</v>
      </c>
      <c r="I123" s="23"/>
      <c r="J123" s="23">
        <v>2.177</v>
      </c>
      <c r="K123" s="23"/>
      <c r="L123" s="1">
        <f>IF(LEFT(K2,1)=MID(K2,2,1),IF(ISNUMBER(FIND("和",H123,1)),100,0),IF(LEFT(K2,1)&gt;MID(K2,2,1),IF(ISNUMBER(FIND("龙",H123,1)),1,0),IF(ISNUMBER(FIND("虎",H123,1)),1,0)))</f>
        <v>1</v>
      </c>
      <c r="N123" s="22">
        <f ca="1">IF(SUM(L123:L132)&gt;0,IF(SUM(L123:L132)=1000,I2*J128*10,IF(SUM(L123:L132)&gt;=100,LEFT(SUM(L123:L132),1)*I2*J128+RIGHT(SUM(L123:L132),1)*I2*J123,SUM(L123:L132)*J123*I2)),0)</f>
        <v>283.01</v>
      </c>
      <c r="O123" s="25" t="s">
        <v>200</v>
      </c>
    </row>
    <row r="124" spans="4:15" x14ac:dyDescent="0.15">
      <c r="D124" s="22"/>
      <c r="E124" s="22"/>
      <c r="F124" s="22"/>
      <c r="G124" s="9" t="s">
        <v>123</v>
      </c>
      <c r="H124" s="10" t="s">
        <v>197</v>
      </c>
      <c r="I124" s="23"/>
      <c r="J124" s="23"/>
      <c r="K124" s="23"/>
      <c r="L124" s="1">
        <f>IF(LEFT(K2,1)=MID(K2,3,1),IF(ISNUMBER(FIND("和",H124,1)),100,0),IF(LEFT(K2,1)&gt;MID(K2,3,1),IF(ISNUMBER(FIND("龙",H124,1)),1,0),IF(ISNUMBER(FIND("虎",H124,1)),1,0)))</f>
        <v>1</v>
      </c>
      <c r="N124" s="23"/>
      <c r="O124" s="25"/>
    </row>
    <row r="125" spans="4:15" x14ac:dyDescent="0.15">
      <c r="D125" s="22"/>
      <c r="E125" s="22"/>
      <c r="F125" s="22"/>
      <c r="G125" s="9" t="s">
        <v>124</v>
      </c>
      <c r="H125" s="10" t="s">
        <v>196</v>
      </c>
      <c r="I125" s="23"/>
      <c r="J125" s="23"/>
      <c r="K125" s="23"/>
      <c r="L125" s="1">
        <f>IF(LEFT(K2,1)=MID(K2,4,1),IF(ISNUMBER(FIND("和",H125,1)),100,0),IF(LEFT(K2,1)&gt;MID(K2,4,1),IF(ISNUMBER(FIND("龙",H125,1)),1,0),IF(ISNUMBER(FIND("虎",H125,1)),1,0)))</f>
        <v>1</v>
      </c>
      <c r="N125" s="23"/>
      <c r="O125" s="25"/>
    </row>
    <row r="126" spans="4:15" x14ac:dyDescent="0.15">
      <c r="D126" s="22"/>
      <c r="E126" s="22"/>
      <c r="F126" s="22"/>
      <c r="G126" s="9" t="s">
        <v>125</v>
      </c>
      <c r="H126" s="10" t="s">
        <v>196</v>
      </c>
      <c r="I126" s="23"/>
      <c r="J126" s="23"/>
      <c r="K126" s="23"/>
      <c r="L126" s="1">
        <f>IF(LEFT(K2,1)=MID(K2,5,1),IF(ISNUMBER(FIND("和",H126,1)),100,0),IF(LEFT(K2,1)&gt;MID(K2,5,1),IF(ISNUMBER(FIND("龙",H126,1)),1,0),IF(ISNUMBER(FIND("虎",H126,1)),1,0)))</f>
        <v>1</v>
      </c>
      <c r="N126" s="23"/>
      <c r="O126" s="25"/>
    </row>
    <row r="127" spans="4:15" x14ac:dyDescent="0.15">
      <c r="D127" s="22"/>
      <c r="E127" s="22"/>
      <c r="F127" s="22"/>
      <c r="G127" s="9" t="s">
        <v>126</v>
      </c>
      <c r="H127" s="10" t="s">
        <v>198</v>
      </c>
      <c r="I127" s="23"/>
      <c r="J127" s="23"/>
      <c r="K127" s="23"/>
      <c r="L127" s="1">
        <f>IF(MID(K2,2,1)=MID(K2,3,1),IF(ISNUMBER(FIND("和",H127,1)),100,0),IF(MID(K2,2,1)&gt;MID(K2,3,1),IF(ISNUMBER(FIND("龙",H127,1)),1,0),IF(ISNUMBER(FIND("虎",H127,1)),1,0)))</f>
        <v>1</v>
      </c>
      <c r="N127" s="23"/>
      <c r="O127" s="25"/>
    </row>
    <row r="128" spans="4:15" x14ac:dyDescent="0.15">
      <c r="D128" s="22"/>
      <c r="E128" s="22"/>
      <c r="F128" s="22"/>
      <c r="G128" s="9" t="s">
        <v>127</v>
      </c>
      <c r="H128" s="10" t="s">
        <v>198</v>
      </c>
      <c r="I128" s="23"/>
      <c r="J128" s="23">
        <v>9.8000000000000007</v>
      </c>
      <c r="K128" s="23"/>
      <c r="L128" s="1">
        <f>IF(MID(K2,3,1)=MID(K2,4,1),IF(ISNUMBER(FIND("和",H128,1)),100,0),IF(MID(K2,3,1)&gt;MID(K2,4,1),IF(ISNUMBER(FIND("龙",H128,1)),1,0),IF(ISNUMBER(FIND("虎",H128,1)),1,0)))</f>
        <v>1</v>
      </c>
      <c r="N128" s="23"/>
      <c r="O128" s="25"/>
    </row>
    <row r="129" spans="4:15" x14ac:dyDescent="0.15">
      <c r="D129" s="22"/>
      <c r="E129" s="22"/>
      <c r="F129" s="22"/>
      <c r="G129" s="9" t="s">
        <v>128</v>
      </c>
      <c r="H129" s="10" t="s">
        <v>196</v>
      </c>
      <c r="I129" s="23"/>
      <c r="J129" s="23"/>
      <c r="K129" s="23"/>
      <c r="L129" s="1">
        <f>IF(MID(K2,2,1)=MID(K2,5,1),IF(ISNUMBER(FIND("和",H129,1)),100,0),IF(MID(K2,2,1)&gt;MID(K2,5,1),IF(ISNUMBER(FIND("龙",H129,1)),1,0),IF(ISNUMBER(FIND("虎",H129,1)),1,0)))</f>
        <v>1</v>
      </c>
      <c r="N129" s="23"/>
      <c r="O129" s="25"/>
    </row>
    <row r="130" spans="4:15" x14ac:dyDescent="0.15">
      <c r="D130" s="22"/>
      <c r="E130" s="22"/>
      <c r="F130" s="22"/>
      <c r="G130" s="9" t="s">
        <v>129</v>
      </c>
      <c r="H130" s="10" t="s">
        <v>199</v>
      </c>
      <c r="I130" s="23"/>
      <c r="J130" s="23"/>
      <c r="K130" s="23"/>
      <c r="L130" s="20">
        <f>IF(MID(K2,3,1)=MID(K2,4,1),IF(ISNUMBER(FIND("和",H130,1)),100,0),IF(MID(K2,3,1)&gt;MID(K2,4,1),IF(ISNUMBER(FIND("龙",H130,1)),1,0),IF(ISNUMBER(FIND("虎",H130,1)),1,0)))</f>
        <v>1</v>
      </c>
      <c r="N130" s="23"/>
      <c r="O130" s="25"/>
    </row>
    <row r="131" spans="4:15" x14ac:dyDescent="0.15">
      <c r="D131" s="22"/>
      <c r="E131" s="22"/>
      <c r="F131" s="22"/>
      <c r="G131" s="9" t="s">
        <v>130</v>
      </c>
      <c r="H131" s="10" t="s">
        <v>197</v>
      </c>
      <c r="I131" s="23"/>
      <c r="J131" s="23"/>
      <c r="K131" s="23"/>
      <c r="L131" s="1">
        <f>IF(MID(K2,3,1)=MID(K2,5,1),IF(ISNUMBER(FIND("和",H131,1)),100,0),IF(MID(K2,3,1)&gt;MID(K2,5,1),IF(ISNUMBER(FIND("龙",H131,1)),1,0),IF(ISNUMBER(FIND("虎",H131,1)),1,0)))</f>
        <v>1</v>
      </c>
      <c r="N131" s="23"/>
      <c r="O131" s="25"/>
    </row>
    <row r="132" spans="4:15" x14ac:dyDescent="0.15">
      <c r="D132" s="22"/>
      <c r="E132" s="22"/>
      <c r="F132" s="22"/>
      <c r="G132" s="9" t="s">
        <v>131</v>
      </c>
      <c r="H132" s="10" t="s">
        <v>196</v>
      </c>
      <c r="I132" s="23"/>
      <c r="J132" s="23"/>
      <c r="K132" s="23"/>
      <c r="L132" s="1">
        <f>IF(MID(K2,4,1)=MID(K2,5,1),IF(ISNUMBER(FIND("和",H132,1)),100,0),IF(MID(K2,4,1)&gt;MID(K2,5,1),IF(ISNUMBER(FIND("龙",H132,1)),1,0),IF(ISNUMBER(FIND("虎",H132,1)),1,0)))</f>
        <v>1</v>
      </c>
      <c r="N132" s="23"/>
      <c r="O132" s="25"/>
    </row>
    <row r="133" spans="4:15" x14ac:dyDescent="0.15">
      <c r="D133" s="9" t="s">
        <v>132</v>
      </c>
      <c r="E133" s="1" t="s">
        <v>115</v>
      </c>
      <c r="F133" s="9" t="s">
        <v>133</v>
      </c>
      <c r="G133" s="9" t="s">
        <v>134</v>
      </c>
      <c r="H133" s="7" t="s">
        <v>21</v>
      </c>
      <c r="I133" s="23"/>
      <c r="J133" s="1">
        <v>98000</v>
      </c>
      <c r="K133" s="23"/>
      <c r="N133" s="1">
        <f ca="1">IF(SUM(LEFT(K2,1),MID(K2,2,1),MID(K2,3,1),MID(K2,4,1),MID(K2,5,1))=LEFT(K2,1)*5,I2*J133,0)</f>
        <v>1274000</v>
      </c>
      <c r="O133" s="21" t="s">
        <v>192</v>
      </c>
    </row>
  </sheetData>
  <mergeCells count="124">
    <mergeCell ref="N123:N132"/>
    <mergeCell ref="O123:O132"/>
    <mergeCell ref="J123:J127"/>
    <mergeCell ref="J128:J132"/>
    <mergeCell ref="N90:N91"/>
    <mergeCell ref="N92:N93"/>
    <mergeCell ref="N94:N95"/>
    <mergeCell ref="N96:N97"/>
    <mergeCell ref="N98:N99"/>
    <mergeCell ref="N111:N113"/>
    <mergeCell ref="N109:N110"/>
    <mergeCell ref="O109:O110"/>
    <mergeCell ref="N114:N116"/>
    <mergeCell ref="O114:O116"/>
    <mergeCell ref="O111:O113"/>
    <mergeCell ref="N117:N122"/>
    <mergeCell ref="M117:M122"/>
    <mergeCell ref="O117:O122"/>
    <mergeCell ref="M76:M77"/>
    <mergeCell ref="O76:O77"/>
    <mergeCell ref="N40:N42"/>
    <mergeCell ref="O40:O42"/>
    <mergeCell ref="N55:N57"/>
    <mergeCell ref="O55:O57"/>
    <mergeCell ref="N107:N108"/>
    <mergeCell ref="O107:O108"/>
    <mergeCell ref="O79:O80"/>
    <mergeCell ref="N79:N80"/>
    <mergeCell ref="N83:N87"/>
    <mergeCell ref="O83:O87"/>
    <mergeCell ref="O98:O99"/>
    <mergeCell ref="O96:O97"/>
    <mergeCell ref="O94:O95"/>
    <mergeCell ref="O92:O93"/>
    <mergeCell ref="O90:O91"/>
    <mergeCell ref="N25:N27"/>
    <mergeCell ref="D25:D39"/>
    <mergeCell ref="E25:E30"/>
    <mergeCell ref="F25:F27"/>
    <mergeCell ref="J25:J27"/>
    <mergeCell ref="O25:O27"/>
    <mergeCell ref="K2:K133"/>
    <mergeCell ref="I2:I133"/>
    <mergeCell ref="O2:O6"/>
    <mergeCell ref="O7:O8"/>
    <mergeCell ref="N16:N17"/>
    <mergeCell ref="O16:O17"/>
    <mergeCell ref="N2:N6"/>
    <mergeCell ref="J40:J42"/>
    <mergeCell ref="J90:J91"/>
    <mergeCell ref="J92:J93"/>
    <mergeCell ref="J94:J95"/>
    <mergeCell ref="J96:J97"/>
    <mergeCell ref="J98:J99"/>
    <mergeCell ref="J107:J108"/>
    <mergeCell ref="N70:N73"/>
    <mergeCell ref="O70:O73"/>
    <mergeCell ref="N76:N77"/>
    <mergeCell ref="E61:E67"/>
    <mergeCell ref="E68:E69"/>
    <mergeCell ref="D2:D6"/>
    <mergeCell ref="E2:E6"/>
    <mergeCell ref="F2:F6"/>
    <mergeCell ref="J2:J6"/>
    <mergeCell ref="E31:E37"/>
    <mergeCell ref="E38:E39"/>
    <mergeCell ref="D16:D24"/>
    <mergeCell ref="E16:E20"/>
    <mergeCell ref="F16:F17"/>
    <mergeCell ref="J16:J17"/>
    <mergeCell ref="E21:E24"/>
    <mergeCell ref="D7:D15"/>
    <mergeCell ref="E7:E11"/>
    <mergeCell ref="F7:F8"/>
    <mergeCell ref="J7:J8"/>
    <mergeCell ref="E12:E15"/>
    <mergeCell ref="D70:D82"/>
    <mergeCell ref="F83:F87"/>
    <mergeCell ref="J83:J87"/>
    <mergeCell ref="M5:M9"/>
    <mergeCell ref="E83:E88"/>
    <mergeCell ref="N7:N8"/>
    <mergeCell ref="F79:F80"/>
    <mergeCell ref="J76:J77"/>
    <mergeCell ref="J79:J80"/>
    <mergeCell ref="E75:E80"/>
    <mergeCell ref="E81:E82"/>
    <mergeCell ref="J55:J57"/>
    <mergeCell ref="F70:F73"/>
    <mergeCell ref="J70:J73"/>
    <mergeCell ref="E70:E74"/>
    <mergeCell ref="F76:F77"/>
    <mergeCell ref="D40:D54"/>
    <mergeCell ref="E40:E45"/>
    <mergeCell ref="F40:F42"/>
    <mergeCell ref="E46:E52"/>
    <mergeCell ref="E53:E54"/>
    <mergeCell ref="D55:D69"/>
    <mergeCell ref="E55:E60"/>
    <mergeCell ref="F55:F57"/>
    <mergeCell ref="E89:E99"/>
    <mergeCell ref="E100:E102"/>
    <mergeCell ref="E103:E106"/>
    <mergeCell ref="D83:D106"/>
    <mergeCell ref="F107:F108"/>
    <mergeCell ref="F90:F91"/>
    <mergeCell ref="F92:F93"/>
    <mergeCell ref="F94:F95"/>
    <mergeCell ref="F96:F97"/>
    <mergeCell ref="F98:F99"/>
    <mergeCell ref="E107:E116"/>
    <mergeCell ref="F109:F110"/>
    <mergeCell ref="F111:F113"/>
    <mergeCell ref="F114:F116"/>
    <mergeCell ref="J109:J110"/>
    <mergeCell ref="J111:J113"/>
    <mergeCell ref="J114:J116"/>
    <mergeCell ref="J117:J122"/>
    <mergeCell ref="E123:E132"/>
    <mergeCell ref="D123:D132"/>
    <mergeCell ref="F117:F122"/>
    <mergeCell ref="E117:E122"/>
    <mergeCell ref="D117:D122"/>
    <mergeCell ref="F123:F132"/>
  </mergeCells>
  <phoneticPr fontId="1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Lance</cp:lastModifiedBy>
  <dcterms:created xsi:type="dcterms:W3CDTF">2018-02-27T11:14:00Z</dcterms:created>
  <dcterms:modified xsi:type="dcterms:W3CDTF">2018-05-21T10:59:57Z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