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fobyd\Desktop\SUJAN Project\"/>
    </mc:Choice>
  </mc:AlternateContent>
  <bookViews>
    <workbookView xWindow="0" yWindow="0" windowWidth="19200" windowHeight="6600" tabRatio="799" firstSheet="1" activeTab="5"/>
  </bookViews>
  <sheets>
    <sheet name="Process Flow Doc" sheetId="30" r:id="rId1"/>
    <sheet name="RFCE" sheetId="12" r:id="rId2"/>
    <sheet name="FEASIBILITY" sheetId="34" r:id="rId3"/>
    <sheet name="BOP New" sheetId="31" r:id="rId4"/>
    <sheet name="Cost Estimation" sheetId="2" r:id="rId5"/>
    <sheet name="PRICE ESTIMATION" sheetId="35" r:id="rId6"/>
    <sheet name="Norms" sheetId="29" r:id="rId7"/>
    <sheet name="Molding and Testing" sheetId="14" state="hidden" r:id="rId8"/>
    <sheet name="Future Value Table (Jan 18)" sheetId="28" r:id="rId9"/>
    <sheet name="Change log" sheetId="1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Z" localSheetId="8">#REF!</definedName>
    <definedName name="\Z" localSheetId="7">#REF!</definedName>
    <definedName name="\Z">#REF!</definedName>
    <definedName name="__AD1" localSheetId="8" hidden="1">{#N/A,#N/A,FALSE,"Cash Flows";#N/A,#N/A,FALSE,"Fixed Assets";#N/A,#N/A,FALSE,"Balance Sheet";#N/A,#N/A,FALSE,"P &amp; L"}</definedName>
    <definedName name="__AD1" localSheetId="1" hidden="1">{#N/A,#N/A,FALSE,"Cash Flows";#N/A,#N/A,FALSE,"Fixed Assets";#N/A,#N/A,FALSE,"Balance Sheet";#N/A,#N/A,FALSE,"P &amp; L"}</definedName>
    <definedName name="__AD1" hidden="1">{#N/A,#N/A,FALSE,"Cash Flows";#N/A,#N/A,FALSE,"Fixed Assets";#N/A,#N/A,FALSE,"Balance Sheet";#N/A,#N/A,FALSE,"P &amp; L"}</definedName>
    <definedName name="__AD2" localSheetId="8" hidden="1">{#N/A,#N/A,FALSE,"Cash Flows";#N/A,#N/A,FALSE,"Fixed Assets";#N/A,#N/A,FALSE,"Balance Sheet";#N/A,#N/A,FALSE,"P &amp; L"}</definedName>
    <definedName name="__AD2" localSheetId="1" hidden="1">{#N/A,#N/A,FALSE,"Cash Flows";#N/A,#N/A,FALSE,"Fixed Assets";#N/A,#N/A,FALSE,"Balance Sheet";#N/A,#N/A,FALSE,"P &amp; L"}</definedName>
    <definedName name="__AD2" hidden="1">{#N/A,#N/A,FALSE,"Cash Flows";#N/A,#N/A,FALSE,"Fixed Assets";#N/A,#N/A,FALSE,"Balance Sheet";#N/A,#N/A,FALSE,"P &amp; L"}</definedName>
    <definedName name="__AD3" localSheetId="8" hidden="1">{#N/A,#N/A,FALSE,"Cash Flows";#N/A,#N/A,FALSE,"Fixed Assets";#N/A,#N/A,FALSE,"Balance Sheet";#N/A,#N/A,FALSE,"P &amp; L"}</definedName>
    <definedName name="__AD3" localSheetId="1" hidden="1">{#N/A,#N/A,FALSE,"Cash Flows";#N/A,#N/A,FALSE,"Fixed Assets";#N/A,#N/A,FALSE,"Balance Sheet";#N/A,#N/A,FALSE,"P &amp; L"}</definedName>
    <definedName name="__AD3" hidden="1">{#N/A,#N/A,FALSE,"Cash Flows";#N/A,#N/A,FALSE,"Fixed Assets";#N/A,#N/A,FALSE,"Balance Sheet";#N/A,#N/A,FALSE,"P &amp; L"}</definedName>
    <definedName name="__AD5" localSheetId="8" hidden="1">{#N/A,#N/A,FALSE,"Cash Flows";#N/A,#N/A,FALSE,"Fixed Assets";#N/A,#N/A,FALSE,"Balance Sheet";#N/A,#N/A,FALSE,"P &amp; L"}</definedName>
    <definedName name="__AD5" localSheetId="1" hidden="1">{#N/A,#N/A,FALSE,"Cash Flows";#N/A,#N/A,FALSE,"Fixed Assets";#N/A,#N/A,FALSE,"Balance Sheet";#N/A,#N/A,FALSE,"P &amp; L"}</definedName>
    <definedName name="__AD5" hidden="1">{#N/A,#N/A,FALSE,"Cash Flows";#N/A,#N/A,FALSE,"Fixed Assets";#N/A,#N/A,FALSE,"Balance Sheet";#N/A,#N/A,FALSE,"P &amp; L"}</definedName>
    <definedName name="__AD8" localSheetId="8" hidden="1">{#N/A,#N/A,FALSE,"Cash Flows";#N/A,#N/A,FALSE,"Fixed Assets";#N/A,#N/A,FALSE,"Balance Sheet";#N/A,#N/A,FALSE,"P &amp; L"}</definedName>
    <definedName name="__AD8" localSheetId="1" hidden="1">{#N/A,#N/A,FALSE,"Cash Flows";#N/A,#N/A,FALSE,"Fixed Assets";#N/A,#N/A,FALSE,"Balance Sheet";#N/A,#N/A,FALSE,"P &amp; L"}</definedName>
    <definedName name="__AD8" hidden="1">{#N/A,#N/A,FALSE,"Cash Flows";#N/A,#N/A,FALSE,"Fixed Assets";#N/A,#N/A,FALSE,"Balance Sheet";#N/A,#N/A,FALSE,"P &amp; L"}</definedName>
    <definedName name="__DGI2050" localSheetId="8">#REF!</definedName>
    <definedName name="__DGI2050" localSheetId="7">#REF!</definedName>
    <definedName name="__DGI2050">#REF!</definedName>
    <definedName name="__DGI2051" localSheetId="8">#REF!</definedName>
    <definedName name="__DGI2051" localSheetId="7">#REF!</definedName>
    <definedName name="__DGI2051">#REF!</definedName>
    <definedName name="__DGI2052" localSheetId="8">#REF!</definedName>
    <definedName name="__DGI2052" localSheetId="7">#REF!</definedName>
    <definedName name="__DGI2052">#REF!</definedName>
    <definedName name="__DGI2053" localSheetId="8">#REF!</definedName>
    <definedName name="__DGI2053" localSheetId="7">#REF!</definedName>
    <definedName name="__DGI2053">#REF!</definedName>
    <definedName name="__DGI2054" localSheetId="8">#REF!</definedName>
    <definedName name="__DGI2054" localSheetId="7">#REF!</definedName>
    <definedName name="__DGI2054">#REF!</definedName>
    <definedName name="__DGI2055" localSheetId="8">#REF!</definedName>
    <definedName name="__DGI2055" localSheetId="7">#REF!</definedName>
    <definedName name="__DGI2055">#REF!</definedName>
    <definedName name="__DGI2056" localSheetId="8">#REF!</definedName>
    <definedName name="__DGI2056" localSheetId="7">#REF!</definedName>
    <definedName name="__DGI2056">#REF!</definedName>
    <definedName name="__DGI2057" localSheetId="8">#REF!</definedName>
    <definedName name="__DGI2057" localSheetId="7">#REF!</definedName>
    <definedName name="__DGI2057">#REF!</definedName>
    <definedName name="__FEb05" localSheetId="8" hidden="1">{#N/A,#N/A,TRUE,"Summary";#N/A,#N/A,TRUE,"Balance Sheet";#N/A,#N/A,TRUE,"P &amp; L";#N/A,#N/A,TRUE,"Fixed Assets";#N/A,#N/A,TRUE,"Cash Flows"}</definedName>
    <definedName name="__FEb05" localSheetId="1" hidden="1">{#N/A,#N/A,TRUE,"Summary";#N/A,#N/A,TRUE,"Balance Sheet";#N/A,#N/A,TRUE,"P &amp; L";#N/A,#N/A,TRUE,"Fixed Assets";#N/A,#N/A,TRUE,"Cash Flows"}</definedName>
    <definedName name="__FEb05" hidden="1">{#N/A,#N/A,TRUE,"Summary";#N/A,#N/A,TRUE,"Balance Sheet";#N/A,#N/A,TRUE,"P &amp; L";#N/A,#N/A,TRUE,"Fixed Assets";#N/A,#N/A,TRUE,"Cash Flows"}</definedName>
    <definedName name="__Q2" localSheetId="8">#REF!</definedName>
    <definedName name="__Q2" localSheetId="7">#REF!</definedName>
    <definedName name="__Q2">#REF!</definedName>
    <definedName name="__rtl1" localSheetId="8">[1]fcl!#REF!</definedName>
    <definedName name="__rtl1" localSheetId="7">[1]fcl!#REF!</definedName>
    <definedName name="__rtl1">[1]fcl!#REF!</definedName>
    <definedName name="__WB2" localSheetId="8" hidden="1">{#N/A,#N/A,FALSE,"Cash Flows";#N/A,#N/A,FALSE,"Fixed Assets";#N/A,#N/A,FALSE,"Balance Sheet";#N/A,#N/A,FALSE,"P &amp; L"}</definedName>
    <definedName name="__WB2" localSheetId="1" hidden="1">{#N/A,#N/A,FALSE,"Cash Flows";#N/A,#N/A,FALSE,"Fixed Assets";#N/A,#N/A,FALSE,"Balance Sheet";#N/A,#N/A,FALSE,"P &amp; L"}</definedName>
    <definedName name="__WB2" hidden="1">{#N/A,#N/A,FALSE,"Cash Flows";#N/A,#N/A,FALSE,"Fixed Assets";#N/A,#N/A,FALSE,"Balance Sheet";#N/A,#N/A,FALSE,"P &amp; L"}</definedName>
    <definedName name="_AD1" localSheetId="8" hidden="1">{#N/A,#N/A,FALSE,"Cash Flows";#N/A,#N/A,FALSE,"Fixed Assets";#N/A,#N/A,FALSE,"Balance Sheet";#N/A,#N/A,FALSE,"P &amp; L"}</definedName>
    <definedName name="_AD1" localSheetId="1" hidden="1">{#N/A,#N/A,FALSE,"Cash Flows";#N/A,#N/A,FALSE,"Fixed Assets";#N/A,#N/A,FALSE,"Balance Sheet";#N/A,#N/A,FALSE,"P &amp; L"}</definedName>
    <definedName name="_AD1" hidden="1">{#N/A,#N/A,FALSE,"Cash Flows";#N/A,#N/A,FALSE,"Fixed Assets";#N/A,#N/A,FALSE,"Balance Sheet";#N/A,#N/A,FALSE,"P &amp; L"}</definedName>
    <definedName name="_AD2" localSheetId="8" hidden="1">{#N/A,#N/A,FALSE,"Cash Flows";#N/A,#N/A,FALSE,"Fixed Assets";#N/A,#N/A,FALSE,"Balance Sheet";#N/A,#N/A,FALSE,"P &amp; L"}</definedName>
    <definedName name="_AD2" localSheetId="1" hidden="1">{#N/A,#N/A,FALSE,"Cash Flows";#N/A,#N/A,FALSE,"Fixed Assets";#N/A,#N/A,FALSE,"Balance Sheet";#N/A,#N/A,FALSE,"P &amp; L"}</definedName>
    <definedName name="_AD2" hidden="1">{#N/A,#N/A,FALSE,"Cash Flows";#N/A,#N/A,FALSE,"Fixed Assets";#N/A,#N/A,FALSE,"Balance Sheet";#N/A,#N/A,FALSE,"P &amp; L"}</definedName>
    <definedName name="_AD3" localSheetId="8" hidden="1">{#N/A,#N/A,FALSE,"Cash Flows";#N/A,#N/A,FALSE,"Fixed Assets";#N/A,#N/A,FALSE,"Balance Sheet";#N/A,#N/A,FALSE,"P &amp; L"}</definedName>
    <definedName name="_AD3" localSheetId="1" hidden="1">{#N/A,#N/A,FALSE,"Cash Flows";#N/A,#N/A,FALSE,"Fixed Assets";#N/A,#N/A,FALSE,"Balance Sheet";#N/A,#N/A,FALSE,"P &amp; L"}</definedName>
    <definedName name="_AD3" hidden="1">{#N/A,#N/A,FALSE,"Cash Flows";#N/A,#N/A,FALSE,"Fixed Assets";#N/A,#N/A,FALSE,"Balance Sheet";#N/A,#N/A,FALSE,"P &amp; L"}</definedName>
    <definedName name="_AD5" localSheetId="8" hidden="1">{#N/A,#N/A,FALSE,"Cash Flows";#N/A,#N/A,FALSE,"Fixed Assets";#N/A,#N/A,FALSE,"Balance Sheet";#N/A,#N/A,FALSE,"P &amp; L"}</definedName>
    <definedName name="_AD5" localSheetId="1" hidden="1">{#N/A,#N/A,FALSE,"Cash Flows";#N/A,#N/A,FALSE,"Fixed Assets";#N/A,#N/A,FALSE,"Balance Sheet";#N/A,#N/A,FALSE,"P &amp; L"}</definedName>
    <definedName name="_AD5" hidden="1">{#N/A,#N/A,FALSE,"Cash Flows";#N/A,#N/A,FALSE,"Fixed Assets";#N/A,#N/A,FALSE,"Balance Sheet";#N/A,#N/A,FALSE,"P &amp; L"}</definedName>
    <definedName name="_AD8" localSheetId="8" hidden="1">{#N/A,#N/A,FALSE,"Cash Flows";#N/A,#N/A,FALSE,"Fixed Assets";#N/A,#N/A,FALSE,"Balance Sheet";#N/A,#N/A,FALSE,"P &amp; L"}</definedName>
    <definedName name="_AD8" localSheetId="1" hidden="1">{#N/A,#N/A,FALSE,"Cash Flows";#N/A,#N/A,FALSE,"Fixed Assets";#N/A,#N/A,FALSE,"Balance Sheet";#N/A,#N/A,FALSE,"P &amp; L"}</definedName>
    <definedName name="_AD8" hidden="1">{#N/A,#N/A,FALSE,"Cash Flows";#N/A,#N/A,FALSE,"Fixed Assets";#N/A,#N/A,FALSE,"Balance Sheet";#N/A,#N/A,FALSE,"P &amp; L"}</definedName>
    <definedName name="_DGI2050" localSheetId="8">#REF!</definedName>
    <definedName name="_DGI2050" localSheetId="7">#REF!</definedName>
    <definedName name="_DGI2050">#REF!</definedName>
    <definedName name="_DGI2051" localSheetId="8">#REF!</definedName>
    <definedName name="_DGI2051" localSheetId="7">#REF!</definedName>
    <definedName name="_DGI2051">#REF!</definedName>
    <definedName name="_DGI2052" localSheetId="8">#REF!</definedName>
    <definedName name="_DGI2052" localSheetId="7">#REF!</definedName>
    <definedName name="_DGI2052">#REF!</definedName>
    <definedName name="_DGI2053" localSheetId="8">#REF!</definedName>
    <definedName name="_DGI2053" localSheetId="7">#REF!</definedName>
    <definedName name="_DGI2053">#REF!</definedName>
    <definedName name="_DGI2054" localSheetId="8">#REF!</definedName>
    <definedName name="_DGI2054" localSheetId="7">#REF!</definedName>
    <definedName name="_DGI2054">#REF!</definedName>
    <definedName name="_DGI2055" localSheetId="8">#REF!</definedName>
    <definedName name="_DGI2055" localSheetId="7">#REF!</definedName>
    <definedName name="_DGI2055">#REF!</definedName>
    <definedName name="_DGI2056" localSheetId="8">#REF!</definedName>
    <definedName name="_DGI2056" localSheetId="7">#REF!</definedName>
    <definedName name="_DGI2056">#REF!</definedName>
    <definedName name="_DGI2057" localSheetId="8">#REF!</definedName>
    <definedName name="_DGI2057" localSheetId="7">#REF!</definedName>
    <definedName name="_DGI2057">#REF!</definedName>
    <definedName name="_FEb05" localSheetId="8" hidden="1">{#N/A,#N/A,TRUE,"Summary";#N/A,#N/A,TRUE,"Balance Sheet";#N/A,#N/A,TRUE,"P &amp; L";#N/A,#N/A,TRUE,"Fixed Assets";#N/A,#N/A,TRUE,"Cash Flows"}</definedName>
    <definedName name="_FEb05" localSheetId="1" hidden="1">{#N/A,#N/A,TRUE,"Summary";#N/A,#N/A,TRUE,"Balance Sheet";#N/A,#N/A,TRUE,"P &amp; L";#N/A,#N/A,TRUE,"Fixed Assets";#N/A,#N/A,TRUE,"Cash Flows"}</definedName>
    <definedName name="_FEb05" hidden="1">{#N/A,#N/A,TRUE,"Summary";#N/A,#N/A,TRUE,"Balance Sheet";#N/A,#N/A,TRUE,"P &amp; L";#N/A,#N/A,TRUE,"Fixed Assets";#N/A,#N/A,TRUE,"Cash Flows"}</definedName>
    <definedName name="_Fill" localSheetId="8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Q2" localSheetId="8">#REF!</definedName>
    <definedName name="_Q2" localSheetId="7">#REF!</definedName>
    <definedName name="_Q2">#REF!</definedName>
    <definedName name="_rtl1" localSheetId="8">[1]fcl!#REF!</definedName>
    <definedName name="_rtl1" localSheetId="7">[1]fcl!#REF!</definedName>
    <definedName name="_rtl1">[1]fcl!#REF!</definedName>
    <definedName name="_Table2_In1" localSheetId="8" hidden="1">#REF!</definedName>
    <definedName name="_Table2_In1" localSheetId="7" hidden="1">#REF!</definedName>
    <definedName name="_Table2_In1" hidden="1">#REF!</definedName>
    <definedName name="_Table2_In2" localSheetId="8" hidden="1">#REF!</definedName>
    <definedName name="_Table2_In2" localSheetId="7" hidden="1">#REF!</definedName>
    <definedName name="_Table2_In2" hidden="1">#REF!</definedName>
    <definedName name="_WB2" localSheetId="8" hidden="1">{#N/A,#N/A,FALSE,"Cash Flows";#N/A,#N/A,FALSE,"Fixed Assets";#N/A,#N/A,FALSE,"Balance Sheet";#N/A,#N/A,FALSE,"P &amp; L"}</definedName>
    <definedName name="_WB2" localSheetId="1" hidden="1">{#N/A,#N/A,FALSE,"Cash Flows";#N/A,#N/A,FALSE,"Fixed Assets";#N/A,#N/A,FALSE,"Balance Sheet";#N/A,#N/A,FALSE,"P &amp; L"}</definedName>
    <definedName name="_WB2" hidden="1">{#N/A,#N/A,FALSE,"Cash Flows";#N/A,#N/A,FALSE,"Fixed Assets";#N/A,#N/A,FALSE,"Balance Sheet";#N/A,#N/A,FALSE,"P &amp; L"}</definedName>
    <definedName name="a" localSheetId="8" hidden="1">{"' calendrier 2000'!$A$1:$Q$38"}</definedName>
    <definedName name="a" localSheetId="1" hidden="1">{"' calendrier 2000'!$A$1:$Q$38"}</definedName>
    <definedName name="a" hidden="1">{"' calendrier 2000'!$A$1:$Q$38"}</definedName>
    <definedName name="aa" localSheetId="8" hidden="1">{#N/A,#N/A,FALSE,"Cash Flows";#N/A,#N/A,FALSE,"Fixed Assets";#N/A,#N/A,FALSE,"Balance Sheet";#N/A,#N/A,FALSE,"P &amp; L"}</definedName>
    <definedName name="aa" localSheetId="1" hidden="1">{#N/A,#N/A,FALSE,"Cash Flows";#N/A,#N/A,FALSE,"Fixed Assets";#N/A,#N/A,FALSE,"Balance Sheet";#N/A,#N/A,FALSE,"P &amp; L"}</definedName>
    <definedName name="aa" hidden="1">{#N/A,#N/A,FALSE,"Cash Flows";#N/A,#N/A,FALSE,"Fixed Assets";#N/A,#N/A,FALSE,"Balance Sheet";#N/A,#N/A,FALSE,"P &amp; L"}</definedName>
    <definedName name="aaa" localSheetId="8" hidden="1">{#N/A,#N/A,FALSE,"Cash Flows";#N/A,#N/A,FALSE,"Fixed Assets";#N/A,#N/A,FALSE,"Balance Sheet";#N/A,#N/A,FALSE,"P &amp; L"}</definedName>
    <definedName name="aaa" localSheetId="1" hidden="1">{#N/A,#N/A,FALSE,"Cash Flows";#N/A,#N/A,FALSE,"Fixed Assets";#N/A,#N/A,FALSE,"Balance Sheet";#N/A,#N/A,FALSE,"P &amp; L"}</definedName>
    <definedName name="aaa" hidden="1">{#N/A,#N/A,FALSE,"Cash Flows";#N/A,#N/A,FALSE,"Fixed Assets";#N/A,#N/A,FALSE,"Balance Sheet";#N/A,#N/A,FALSE,"P &amp; L"}</definedName>
    <definedName name="abcd" localSheetId="8" hidden="1">{#N/A,#N/A,FALSE,"Cash Flows";#N/A,#N/A,FALSE,"Fixed Assets";#N/A,#N/A,FALSE,"Balance Sheet";#N/A,#N/A,FALSE,"P &amp; L"}</definedName>
    <definedName name="abcd" localSheetId="1" hidden="1">{#N/A,#N/A,FALSE,"Cash Flows";#N/A,#N/A,FALSE,"Fixed Assets";#N/A,#N/A,FALSE,"Balance Sheet";#N/A,#N/A,FALSE,"P &amp; L"}</definedName>
    <definedName name="abcd" hidden="1">{#N/A,#N/A,FALSE,"Cash Flows";#N/A,#N/A,FALSE,"Fixed Assets";#N/A,#N/A,FALSE,"Balance Sheet";#N/A,#N/A,FALSE,"P &amp; L"}</definedName>
    <definedName name="Actif" localSheetId="8">#REF!</definedName>
    <definedName name="Actif" localSheetId="7">#REF!</definedName>
    <definedName name="Actif">#REF!</definedName>
    <definedName name="Actif_Colin" localSheetId="8">#REF!</definedName>
    <definedName name="Actif_Colin" localSheetId="7">#REF!</definedName>
    <definedName name="Actif_Colin">#REF!</definedName>
    <definedName name="AD" localSheetId="8" hidden="1">{#N/A,#N/A,FALSE,"Cash Flows";#N/A,#N/A,FALSE,"Fixed Assets";#N/A,#N/A,FALSE,"Balance Sheet";#N/A,#N/A,FALSE,"P &amp; L"}</definedName>
    <definedName name="AD" localSheetId="1" hidden="1">{#N/A,#N/A,FALSE,"Cash Flows";#N/A,#N/A,FALSE,"Fixed Assets";#N/A,#N/A,FALSE,"Balance Sheet";#N/A,#N/A,FALSE,"P &amp; L"}</definedName>
    <definedName name="AD" hidden="1">{#N/A,#N/A,FALSE,"Cash Flows";#N/A,#N/A,FALSE,"Fixed Assets";#N/A,#N/A,FALSE,"Balance Sheet";#N/A,#N/A,FALSE,"P &amp; L"}</definedName>
    <definedName name="ADMIN_EXP" localSheetId="8">#REF!</definedName>
    <definedName name="ADMIN_EXP" localSheetId="7">#REF!</definedName>
    <definedName name="ADMIN_EXP">#REF!</definedName>
    <definedName name="ALL_PR" localSheetId="8">#REF!</definedName>
    <definedName name="ALL_PR" localSheetId="7">#REF!</definedName>
    <definedName name="ALL_PR">#REF!</definedName>
    <definedName name="Alldata" localSheetId="8">[2]Data!$A$2:$BF$121</definedName>
    <definedName name="Alldata">#REF!</definedName>
    <definedName name="AP" localSheetId="8">#REF!</definedName>
    <definedName name="AP" localSheetId="7">#REF!</definedName>
    <definedName name="AP">#REF!</definedName>
    <definedName name="as" localSheetId="8" hidden="1">{#N/A,#N/A,TRUE,"Summary";#N/A,#N/A,TRUE,"Balance Sheet";#N/A,#N/A,TRUE,"P &amp; L";#N/A,#N/A,TRUE,"Fixed Assets";#N/A,#N/A,TRUE,"Cash Flows"}</definedName>
    <definedName name="as" localSheetId="1" hidden="1">{#N/A,#N/A,TRUE,"Summary";#N/A,#N/A,TRUE,"Balance Sheet";#N/A,#N/A,TRUE,"P &amp; L";#N/A,#N/A,TRUE,"Fixed Assets";#N/A,#N/A,TRUE,"Cash Flows"}</definedName>
    <definedName name="as" hidden="1">{#N/A,#N/A,TRUE,"Summary";#N/A,#N/A,TRUE,"Balance Sheet";#N/A,#N/A,TRUE,"P &amp; L";#N/A,#N/A,TRUE,"Fixed Assets";#N/A,#N/A,TRUE,"Cash Flows"}</definedName>
    <definedName name="asd" localSheetId="8" hidden="1">{#N/A,#N/A,FALSE,"Cash Flows";#N/A,#N/A,FALSE,"Fixed Assets";#N/A,#N/A,FALSE,"Balance Sheet";#N/A,#N/A,FALSE,"P &amp; L"}</definedName>
    <definedName name="asd" localSheetId="1" hidden="1">{#N/A,#N/A,FALSE,"Cash Flows";#N/A,#N/A,FALSE,"Fixed Assets";#N/A,#N/A,FALSE,"Balance Sheet";#N/A,#N/A,FALSE,"P &amp; L"}</definedName>
    <definedName name="asd" hidden="1">{#N/A,#N/A,FALSE,"Cash Flows";#N/A,#N/A,FALSE,"Fixed Assets";#N/A,#N/A,FALSE,"Balance Sheet";#N/A,#N/A,FALSE,"P &amp; L"}</definedName>
    <definedName name="asda" localSheetId="8" hidden="1">{#N/A,#N/A,FALSE,"Cash Flows";#N/A,#N/A,FALSE,"Fixed Assets";#N/A,#N/A,FALSE,"Balance Sheet";#N/A,#N/A,FALSE,"P &amp; L"}</definedName>
    <definedName name="asda" localSheetId="1" hidden="1">{#N/A,#N/A,FALSE,"Cash Flows";#N/A,#N/A,FALSE,"Fixed Assets";#N/A,#N/A,FALSE,"Balance Sheet";#N/A,#N/A,FALSE,"P &amp; L"}</definedName>
    <definedName name="asda" hidden="1">{#N/A,#N/A,FALSE,"Cash Flows";#N/A,#N/A,FALSE,"Fixed Assets";#N/A,#N/A,FALSE,"Balance Sheet";#N/A,#N/A,FALSE,"P &amp; L"}</definedName>
    <definedName name="asda1" localSheetId="8" hidden="1">{#N/A,#N/A,FALSE,"Cash Flows";#N/A,#N/A,FALSE,"Fixed Assets";#N/A,#N/A,FALSE,"Balance Sheet";#N/A,#N/A,FALSE,"P &amp; L"}</definedName>
    <definedName name="asda1" localSheetId="1" hidden="1">{#N/A,#N/A,FALSE,"Cash Flows";#N/A,#N/A,FALSE,"Fixed Assets";#N/A,#N/A,FALSE,"Balance Sheet";#N/A,#N/A,FALSE,"P &amp; L"}</definedName>
    <definedName name="asda1" hidden="1">{#N/A,#N/A,FALSE,"Cash Flows";#N/A,#N/A,FALSE,"Fixed Assets";#N/A,#N/A,FALSE,"Balance Sheet";#N/A,#N/A,FALSE,"P &amp; L"}</definedName>
    <definedName name="asda10" localSheetId="8" hidden="1">{#N/A,#N/A,FALSE,"Cash Flows";#N/A,#N/A,FALSE,"Fixed Assets";#N/A,#N/A,FALSE,"Balance Sheet";#N/A,#N/A,FALSE,"P &amp; L"}</definedName>
    <definedName name="asda10" localSheetId="1" hidden="1">{#N/A,#N/A,FALSE,"Cash Flows";#N/A,#N/A,FALSE,"Fixed Assets";#N/A,#N/A,FALSE,"Balance Sheet";#N/A,#N/A,FALSE,"P &amp; L"}</definedName>
    <definedName name="asda10" hidden="1">{#N/A,#N/A,FALSE,"Cash Flows";#N/A,#N/A,FALSE,"Fixed Assets";#N/A,#N/A,FALSE,"Balance Sheet";#N/A,#N/A,FALSE,"P &amp; L"}</definedName>
    <definedName name="asda11" localSheetId="8" hidden="1">{#N/A,#N/A,FALSE,"Cash Flows";#N/A,#N/A,FALSE,"Fixed Assets";#N/A,#N/A,FALSE,"Balance Sheet";#N/A,#N/A,FALSE,"P &amp; L"}</definedName>
    <definedName name="asda11" localSheetId="1" hidden="1">{#N/A,#N/A,FALSE,"Cash Flows";#N/A,#N/A,FALSE,"Fixed Assets";#N/A,#N/A,FALSE,"Balance Sheet";#N/A,#N/A,FALSE,"P &amp; L"}</definedName>
    <definedName name="asda11" hidden="1">{#N/A,#N/A,FALSE,"Cash Flows";#N/A,#N/A,FALSE,"Fixed Assets";#N/A,#N/A,FALSE,"Balance Sheet";#N/A,#N/A,FALSE,"P &amp; L"}</definedName>
    <definedName name="asda12" localSheetId="8" hidden="1">{#N/A,#N/A,FALSE,"Cash Flows";#N/A,#N/A,FALSE,"Fixed Assets";#N/A,#N/A,FALSE,"Balance Sheet";#N/A,#N/A,FALSE,"P &amp; L"}</definedName>
    <definedName name="asda12" localSheetId="1" hidden="1">{#N/A,#N/A,FALSE,"Cash Flows";#N/A,#N/A,FALSE,"Fixed Assets";#N/A,#N/A,FALSE,"Balance Sheet";#N/A,#N/A,FALSE,"P &amp; L"}</definedName>
    <definedName name="asda12" hidden="1">{#N/A,#N/A,FALSE,"Cash Flows";#N/A,#N/A,FALSE,"Fixed Assets";#N/A,#N/A,FALSE,"Balance Sheet";#N/A,#N/A,FALSE,"P &amp; L"}</definedName>
    <definedName name="asda2" localSheetId="8" hidden="1">{#N/A,#N/A,FALSE,"Cash Flows";#N/A,#N/A,FALSE,"Fixed Assets";#N/A,#N/A,FALSE,"Balance Sheet";#N/A,#N/A,FALSE,"P &amp; L"}</definedName>
    <definedName name="asda2" localSheetId="1" hidden="1">{#N/A,#N/A,FALSE,"Cash Flows";#N/A,#N/A,FALSE,"Fixed Assets";#N/A,#N/A,FALSE,"Balance Sheet";#N/A,#N/A,FALSE,"P &amp; L"}</definedName>
    <definedName name="asda2" hidden="1">{#N/A,#N/A,FALSE,"Cash Flows";#N/A,#N/A,FALSE,"Fixed Assets";#N/A,#N/A,FALSE,"Balance Sheet";#N/A,#N/A,FALSE,"P &amp; L"}</definedName>
    <definedName name="asda21" localSheetId="8" hidden="1">{#N/A,#N/A,FALSE,"Cash Flows";#N/A,#N/A,FALSE,"Fixed Assets";#N/A,#N/A,FALSE,"Balance Sheet";#N/A,#N/A,FALSE,"P &amp; L"}</definedName>
    <definedName name="asda21" localSheetId="1" hidden="1">{#N/A,#N/A,FALSE,"Cash Flows";#N/A,#N/A,FALSE,"Fixed Assets";#N/A,#N/A,FALSE,"Balance Sheet";#N/A,#N/A,FALSE,"P &amp; L"}</definedName>
    <definedName name="asda21" hidden="1">{#N/A,#N/A,FALSE,"Cash Flows";#N/A,#N/A,FALSE,"Fixed Assets";#N/A,#N/A,FALSE,"Balance Sheet";#N/A,#N/A,FALSE,"P &amp; L"}</definedName>
    <definedName name="asda22" localSheetId="8" hidden="1">{#N/A,#N/A,FALSE,"Cash Flows";#N/A,#N/A,FALSE,"Fixed Assets";#N/A,#N/A,FALSE,"Balance Sheet";#N/A,#N/A,FALSE,"P &amp; L"}</definedName>
    <definedName name="asda22" localSheetId="1" hidden="1">{#N/A,#N/A,FALSE,"Cash Flows";#N/A,#N/A,FALSE,"Fixed Assets";#N/A,#N/A,FALSE,"Balance Sheet";#N/A,#N/A,FALSE,"P &amp; L"}</definedName>
    <definedName name="asda22" hidden="1">{#N/A,#N/A,FALSE,"Cash Flows";#N/A,#N/A,FALSE,"Fixed Assets";#N/A,#N/A,FALSE,"Balance Sheet";#N/A,#N/A,FALSE,"P &amp; L"}</definedName>
    <definedName name="asda24" localSheetId="8" hidden="1">{#N/A,#N/A,FALSE,"Cash Flows";#N/A,#N/A,FALSE,"Fixed Assets";#N/A,#N/A,FALSE,"Balance Sheet";#N/A,#N/A,FALSE,"P &amp; L"}</definedName>
    <definedName name="asda24" localSheetId="1" hidden="1">{#N/A,#N/A,FALSE,"Cash Flows";#N/A,#N/A,FALSE,"Fixed Assets";#N/A,#N/A,FALSE,"Balance Sheet";#N/A,#N/A,FALSE,"P &amp; L"}</definedName>
    <definedName name="asda24" hidden="1">{#N/A,#N/A,FALSE,"Cash Flows";#N/A,#N/A,FALSE,"Fixed Assets";#N/A,#N/A,FALSE,"Balance Sheet";#N/A,#N/A,FALSE,"P &amp; L"}</definedName>
    <definedName name="asda8" localSheetId="8" hidden="1">{#N/A,#N/A,FALSE,"Cash Flows";#N/A,#N/A,FALSE,"Fixed Assets";#N/A,#N/A,FALSE,"Balance Sheet";#N/A,#N/A,FALSE,"P &amp; L"}</definedName>
    <definedName name="asda8" localSheetId="1" hidden="1">{#N/A,#N/A,FALSE,"Cash Flows";#N/A,#N/A,FALSE,"Fixed Assets";#N/A,#N/A,FALSE,"Balance Sheet";#N/A,#N/A,FALSE,"P &amp; L"}</definedName>
    <definedName name="asda8" hidden="1">{#N/A,#N/A,FALSE,"Cash Flows";#N/A,#N/A,FALSE,"Fixed Assets";#N/A,#N/A,FALSE,"Balance Sheet";#N/A,#N/A,FALSE,"P &amp; L"}</definedName>
    <definedName name="B" localSheetId="8">#REF!</definedName>
    <definedName name="B" localSheetId="7">#REF!</definedName>
    <definedName name="B">#REF!</definedName>
    <definedName name="BaseData_1" localSheetId="8" hidden="1">{#N/A,#N/A,FALSE,"Cash Flows";#N/A,#N/A,FALSE,"Fixed Assets";#N/A,#N/A,FALSE,"Balance Sheet";#N/A,#N/A,FALSE,"P &amp; L"}</definedName>
    <definedName name="BaseData_1" localSheetId="1" hidden="1">{#N/A,#N/A,FALSE,"Cash Flows";#N/A,#N/A,FALSE,"Fixed Assets";#N/A,#N/A,FALSE,"Balance Sheet";#N/A,#N/A,FALSE,"P &amp; L"}</definedName>
    <definedName name="BaseData_1" hidden="1">{#N/A,#N/A,FALSE,"Cash Flows";#N/A,#N/A,FALSE,"Fixed Assets";#N/A,#N/A,FALSE,"Balance Sheet";#N/A,#N/A,FALSE,"P &amp; L"}</definedName>
    <definedName name="basedata_2" localSheetId="8" hidden="1">{#N/A,#N/A,FALSE,"Cash Flows";#N/A,#N/A,FALSE,"Fixed Assets";#N/A,#N/A,FALSE,"Balance Sheet";#N/A,#N/A,FALSE,"P &amp; L"}</definedName>
    <definedName name="basedata_2" localSheetId="1" hidden="1">{#N/A,#N/A,FALSE,"Cash Flows";#N/A,#N/A,FALSE,"Fixed Assets";#N/A,#N/A,FALSE,"Balance Sheet";#N/A,#N/A,FALSE,"P &amp; L"}</definedName>
    <definedName name="basedata_2" hidden="1">{#N/A,#N/A,FALSE,"Cash Flows";#N/A,#N/A,FALSE,"Fixed Assets";#N/A,#N/A,FALSE,"Balance Sheet";#N/A,#N/A,FALSE,"P &amp; L"}</definedName>
    <definedName name="BaseData_7" localSheetId="8" hidden="1">{#N/A,#N/A,FALSE,"Cash Flows";#N/A,#N/A,FALSE,"Fixed Assets";#N/A,#N/A,FALSE,"Balance Sheet";#N/A,#N/A,FALSE,"P &amp; L"}</definedName>
    <definedName name="BaseData_7" localSheetId="1" hidden="1">{#N/A,#N/A,FALSE,"Cash Flows";#N/A,#N/A,FALSE,"Fixed Assets";#N/A,#N/A,FALSE,"Balance Sheet";#N/A,#N/A,FALSE,"P &amp; L"}</definedName>
    <definedName name="BaseData_7" hidden="1">{#N/A,#N/A,FALSE,"Cash Flows";#N/A,#N/A,FALSE,"Fixed Assets";#N/A,#N/A,FALSE,"Balance Sheet";#N/A,#N/A,FALSE,"P &amp; L"}</definedName>
    <definedName name="bha" localSheetId="8" hidden="1">{#N/A,#N/A,TRUE,"Summary";#N/A,#N/A,TRUE,"Balance Sheet";#N/A,#N/A,TRUE,"P &amp; L";#N/A,#N/A,TRUE,"Fixed Assets";#N/A,#N/A,TRUE,"Cash Flows"}</definedName>
    <definedName name="bha" localSheetId="1" hidden="1">{#N/A,#N/A,TRUE,"Summary";#N/A,#N/A,TRUE,"Balance Sheet";#N/A,#N/A,TRUE,"P &amp; L";#N/A,#N/A,TRUE,"Fixed Assets";#N/A,#N/A,TRUE,"Cash Flows"}</definedName>
    <definedName name="bha" hidden="1">{#N/A,#N/A,TRUE,"Summary";#N/A,#N/A,TRUE,"Balance Sheet";#N/A,#N/A,TRUE,"P &amp; L";#N/A,#N/A,TRUE,"Fixed Assets";#N/A,#N/A,TRUE,"Cash Flows"}</definedName>
    <definedName name="bhavesh" localSheetId="8" hidden="1">{#N/A,#N/A,FALSE,"Cash Flows";#N/A,#N/A,FALSE,"Fixed Assets";#N/A,#N/A,FALSE,"Balance Sheet";#N/A,#N/A,FALSE,"P &amp; L"}</definedName>
    <definedName name="bhavesh" localSheetId="1" hidden="1">{#N/A,#N/A,FALSE,"Cash Flows";#N/A,#N/A,FALSE,"Fixed Assets";#N/A,#N/A,FALSE,"Balance Sheet";#N/A,#N/A,FALSE,"P &amp; L"}</definedName>
    <definedName name="bhavesh" hidden="1">{#N/A,#N/A,FALSE,"Cash Flows";#N/A,#N/A,FALSE,"Fixed Assets";#N/A,#N/A,FALSE,"Balance Sheet";#N/A,#N/A,FALSE,"P &amp; L"}</definedName>
    <definedName name="bhaveshm" localSheetId="8" hidden="1">{#N/A,#N/A,FALSE,"Cash Flows";#N/A,#N/A,FALSE,"Fixed Assets";#N/A,#N/A,FALSE,"Balance Sheet";#N/A,#N/A,FALSE,"P &amp; L"}</definedName>
    <definedName name="bhaveshm" localSheetId="1" hidden="1">{#N/A,#N/A,FALSE,"Cash Flows";#N/A,#N/A,FALSE,"Fixed Assets";#N/A,#N/A,FALSE,"Balance Sheet";#N/A,#N/A,FALSE,"P &amp; L"}</definedName>
    <definedName name="bhaveshm" hidden="1">{#N/A,#N/A,FALSE,"Cash Flows";#N/A,#N/A,FALSE,"Fixed Assets";#N/A,#N/A,FALSE,"Balance Sheet";#N/A,#N/A,FALSE,"P &amp; L"}</definedName>
    <definedName name="BILACT" localSheetId="8">#REF!</definedName>
    <definedName name="BILACT" localSheetId="7">#REF!</definedName>
    <definedName name="BILACT">#REF!</definedName>
    <definedName name="BILACT.CONT" localSheetId="8">#REF!</definedName>
    <definedName name="BILACT.CONT" localSheetId="7">#REF!</definedName>
    <definedName name="BILACT.CONT">#REF!</definedName>
    <definedName name="BILPAS" localSheetId="8">#REF!</definedName>
    <definedName name="BILPAS" localSheetId="7">#REF!</definedName>
    <definedName name="BILPAS">#REF!</definedName>
    <definedName name="BILPAS.CONT" localSheetId="8">#REF!</definedName>
    <definedName name="BILPAS.CONT" localSheetId="7">#REF!</definedName>
    <definedName name="BILPAS.CONT">#REF!</definedName>
    <definedName name="BOTH" localSheetId="8">[3]!BS,[3]!PNL</definedName>
    <definedName name="BOTH" localSheetId="1">[0]!BS,[0]!PNL</definedName>
    <definedName name="BOTH">[0]!BS,[0]!PNL</definedName>
    <definedName name="BS" localSheetId="8">#REF!</definedName>
    <definedName name="BS">#REF!</definedName>
    <definedName name="BU" localSheetId="8">#REF!</definedName>
    <definedName name="BU" localSheetId="7">#REF!</definedName>
    <definedName name="BU">#REF!</definedName>
    <definedName name="CA" localSheetId="8">#REF!</definedName>
    <definedName name="CA" localSheetId="7">#REF!</definedName>
    <definedName name="CA">#REF!</definedName>
    <definedName name="CAPITAL" localSheetId="8">#REF!</definedName>
    <definedName name="CAPITAL" localSheetId="7">#REF!</definedName>
    <definedName name="CAPITAL">#REF!</definedName>
    <definedName name="ccc" localSheetId="8" hidden="1">{#N/A,#N/A,TRUE,"Summary";#N/A,#N/A,TRUE,"Balance Sheet";#N/A,#N/A,TRUE,"P &amp; L";#N/A,#N/A,TRUE,"Fixed Assets";#N/A,#N/A,TRUE,"Cash Flows"}</definedName>
    <definedName name="ccc" localSheetId="1" hidden="1">{#N/A,#N/A,TRUE,"Summary";#N/A,#N/A,TRUE,"Balance Sheet";#N/A,#N/A,TRUE,"P &amp; L";#N/A,#N/A,TRUE,"Fixed Assets";#N/A,#N/A,TRUE,"Cash Flows"}</definedName>
    <definedName name="ccc" hidden="1">{#N/A,#N/A,TRUE,"Summary";#N/A,#N/A,TRUE,"Balance Sheet";#N/A,#N/A,TRUE,"P &amp; L";#N/A,#N/A,TRUE,"Fixed Assets";#N/A,#N/A,TRUE,"Cash Flows"}</definedName>
    <definedName name="CL" localSheetId="8">#REF!</definedName>
    <definedName name="CL" localSheetId="7">#REF!</definedName>
    <definedName name="CL">#REF!</definedName>
    <definedName name="Commercial_Veh" localSheetId="8">#REF!</definedName>
    <definedName name="Commercial_Veh" localSheetId="7">#REF!</definedName>
    <definedName name="Commercial_Veh">#REF!</definedName>
    <definedName name="Complt_allégt_fiscal" localSheetId="8">#REF!</definedName>
    <definedName name="Complt_allégt_fiscal" localSheetId="7">#REF!</definedName>
    <definedName name="Complt_allégt_fiscal">#REF!</definedName>
    <definedName name="Customer_Program">[4]DrowDownLists!$Y$2:$Y$221</definedName>
    <definedName name="Customers" localSheetId="8">[5]DrowDownLists!$C$2:$C$277</definedName>
    <definedName name="d" localSheetId="8" hidden="1">{"' calendrier 2000'!$A$1:$Q$38"}</definedName>
    <definedName name="d" localSheetId="1" hidden="1">{"' calendrier 2000'!$A$1:$Q$38"}</definedName>
    <definedName name="d" hidden="1">{"' calendrier 2000'!$A$1:$Q$38"}</definedName>
    <definedName name="DEBEN" localSheetId="8">#REF!</definedName>
    <definedName name="DEBEN" localSheetId="7">#REF!</definedName>
    <definedName name="DEBEN">#REF!</definedName>
    <definedName name="DGI2054bis" localSheetId="8">#REF!</definedName>
    <definedName name="DGI2054bis" localSheetId="7">#REF!</definedName>
    <definedName name="DGI2054bis">#REF!</definedName>
    <definedName name="DGI2058.A" localSheetId="8">#REF!</definedName>
    <definedName name="DGI2058.A" localSheetId="7">#REF!</definedName>
    <definedName name="DGI2058.A">#REF!</definedName>
    <definedName name="DGI2058.B" localSheetId="8">#REF!</definedName>
    <definedName name="DGI2058.B" localSheetId="7">#REF!</definedName>
    <definedName name="DGI2058.B">#REF!</definedName>
    <definedName name="DGI2058.C" localSheetId="8">#REF!</definedName>
    <definedName name="DGI2058.C" localSheetId="7">#REF!</definedName>
    <definedName name="DGI2058.C">#REF!</definedName>
    <definedName name="DGI2059.A" localSheetId="8">#REF!</definedName>
    <definedName name="DGI2059.A" localSheetId="7">#REF!</definedName>
    <definedName name="DGI2059.A">#REF!</definedName>
    <definedName name="DGI2059.B" localSheetId="8">#REF!</definedName>
    <definedName name="DGI2059.B" localSheetId="7">#REF!</definedName>
    <definedName name="DGI2059.B">#REF!</definedName>
    <definedName name="DGI2059.C" localSheetId="8">#REF!</definedName>
    <definedName name="DGI2059.C" localSheetId="7">#REF!</definedName>
    <definedName name="DGI2059.C">#REF!</definedName>
    <definedName name="DGI2059.D" localSheetId="8">#REF!</definedName>
    <definedName name="DGI2059.D" localSheetId="7">#REF!</definedName>
    <definedName name="DGI2059.D">#REF!</definedName>
    <definedName name="DGI2059E" localSheetId="8">#REF!</definedName>
    <definedName name="DGI2059E" localSheetId="7">#REF!</definedName>
    <definedName name="DGI2059E">#REF!</definedName>
    <definedName name="diff" localSheetId="8">[6]fcl!#REF!</definedName>
    <definedName name="diff" localSheetId="7">[6]fcl!#REF!</definedName>
    <definedName name="diff">[6]fcl!#REF!</definedName>
    <definedName name="DPC" localSheetId="8">#REF!</definedName>
    <definedName name="DPC" localSheetId="7">#REF!</definedName>
    <definedName name="DPC">#REF!</definedName>
    <definedName name="e" localSheetId="8" hidden="1">{"' calendrier 2000'!$A$1:$Q$38"}</definedName>
    <definedName name="e" localSheetId="1" hidden="1">{"' calendrier 2000'!$A$1:$Q$38"}</definedName>
    <definedName name="e" hidden="1">{"' calendrier 2000'!$A$1:$Q$38"}</definedName>
    <definedName name="EEEE" localSheetId="8" hidden="1">{#N/A,#N/A,TRUE,"Summary";#N/A,#N/A,TRUE,"Balance Sheet";#N/A,#N/A,TRUE,"P &amp; L";#N/A,#N/A,TRUE,"Fixed Assets";#N/A,#N/A,TRUE,"Cash Flows"}</definedName>
    <definedName name="EEEE" localSheetId="1" hidden="1">{#N/A,#N/A,TRUE,"Summary";#N/A,#N/A,TRUE,"Balance Sheet";#N/A,#N/A,TRUE,"P &amp; L";#N/A,#N/A,TRUE,"Fixed Assets";#N/A,#N/A,TRUE,"Cash Flows"}</definedName>
    <definedName name="EEEE" hidden="1">{#N/A,#N/A,TRUE,"Summary";#N/A,#N/A,TRUE,"Balance Sheet";#N/A,#N/A,TRUE,"P &amp; L";#N/A,#N/A,TRUE,"Fixed Assets";#N/A,#N/A,TRUE,"Cash Flows"}</definedName>
    <definedName name="EIOEIOI" localSheetId="8" hidden="1">{#N/A,#N/A,FALSE,"Cash Flows";#N/A,#N/A,FALSE,"Fixed Assets";#N/A,#N/A,FALSE,"Balance Sheet";#N/A,#N/A,FALSE,"P &amp; L"}</definedName>
    <definedName name="EIOEIOI" localSheetId="1" hidden="1">{#N/A,#N/A,FALSE,"Cash Flows";#N/A,#N/A,FALSE,"Fixed Assets";#N/A,#N/A,FALSE,"Balance Sheet";#N/A,#N/A,FALSE,"P &amp; L"}</definedName>
    <definedName name="EIOEIOI" hidden="1">{#N/A,#N/A,FALSE,"Cash Flows";#N/A,#N/A,FALSE,"Fixed Assets";#N/A,#N/A,FALSE,"Balance Sheet";#N/A,#N/A,FALSE,"P &amp; L"}</definedName>
    <definedName name="emis_interco" localSheetId="8">#REF!</definedName>
    <definedName name="emis_interco" localSheetId="7">#REF!</definedName>
    <definedName name="emis_interco">#REF!</definedName>
    <definedName name="emis_nfe" localSheetId="8">#REF!</definedName>
    <definedName name="emis_nfe" localSheetId="7">#REF!</definedName>
    <definedName name="emis_nfe">#REF!</definedName>
    <definedName name="emis_profit_variance" localSheetId="8">#REF!</definedName>
    <definedName name="emis_profit_variance" localSheetId="7">#REF!</definedName>
    <definedName name="emis_profit_variance">#REF!</definedName>
    <definedName name="emis_pv" localSheetId="8">#REF!</definedName>
    <definedName name="emis_pv" localSheetId="7">#REF!</definedName>
    <definedName name="emis_pv">#REF!</definedName>
    <definedName name="emis_sales_variance" localSheetId="8">#REF!</definedName>
    <definedName name="emis_sales_variance" localSheetId="7">#REF!</definedName>
    <definedName name="emis_sales_variance">#REF!</definedName>
    <definedName name="emis_sv" localSheetId="8">#REF!</definedName>
    <definedName name="emis_sv" localSheetId="7">#REF!</definedName>
    <definedName name="emis_sv">#REF!</definedName>
    <definedName name="emis_sv_ftm" localSheetId="8">#REF!</definedName>
    <definedName name="emis_sv_ftm" localSheetId="7">#REF!</definedName>
    <definedName name="emis_sv_ftm">#REF!</definedName>
    <definedName name="emis_sv_ftm_taco" localSheetId="8">#REF!</definedName>
    <definedName name="emis_sv_ftm_taco" localSheetId="7">#REF!</definedName>
    <definedName name="emis_sv_ftm_taco">#REF!</definedName>
    <definedName name="emis_sv_ytd_taco" localSheetId="8">#REF!</definedName>
    <definedName name="emis_sv_ytd_taco" localSheetId="7">#REF!</definedName>
    <definedName name="emis_sv_ytd_taco">#REF!</definedName>
    <definedName name="EMP_BENFIT_EXP" localSheetId="8">#REF!</definedName>
    <definedName name="EMP_BENFIT_EXP" localSheetId="7">#REF!</definedName>
    <definedName name="EMP_BENFIT_EXP">#REF!</definedName>
    <definedName name="Enquirie_Format" localSheetId="8">#REF!</definedName>
    <definedName name="Enquirie_Format" localSheetId="7">#REF!</definedName>
    <definedName name="Enquirie_Format">#REF!</definedName>
    <definedName name="Entete_I" localSheetId="8">#REF!</definedName>
    <definedName name="Entete_I" localSheetId="7">#REF!</definedName>
    <definedName name="Entete_I">#REF!</definedName>
    <definedName name="FA" localSheetId="8">#REF!</definedName>
    <definedName name="FA" localSheetId="7">#REF!</definedName>
    <definedName name="FA">#REF!</definedName>
    <definedName name="fcl" localSheetId="8">#REF!</definedName>
    <definedName name="fcl" localSheetId="7">#REF!</definedName>
    <definedName name="fcl">#REF!</definedName>
    <definedName name="fdfwegerger" localSheetId="8" hidden="1">{#N/A,#N/A,FALSE,"Cash Flows";#N/A,#N/A,FALSE,"Fixed Assets";#N/A,#N/A,FALSE,"Balance Sheet";#N/A,#N/A,FALSE,"P &amp; L"}</definedName>
    <definedName name="fdfwegerger" localSheetId="1" hidden="1">{#N/A,#N/A,FALSE,"Cash Flows";#N/A,#N/A,FALSE,"Fixed Assets";#N/A,#N/A,FALSE,"Balance Sheet";#N/A,#N/A,FALSE,"P &amp; L"}</definedName>
    <definedName name="fdfwegerger" hidden="1">{#N/A,#N/A,FALSE,"Cash Flows";#N/A,#N/A,FALSE,"Fixed Assets";#N/A,#N/A,FALSE,"Balance Sheet";#N/A,#N/A,FALSE,"P &amp; L"}</definedName>
    <definedName name="FIAT_PR" localSheetId="8">#REF!</definedName>
    <definedName name="FIAT_PR" localSheetId="7">#REF!</definedName>
    <definedName name="FIAT_PR">#REF!</definedName>
    <definedName name="glc" localSheetId="8">#REF!</definedName>
    <definedName name="glc" localSheetId="7">#REF!</definedName>
    <definedName name="glc">#REF!</definedName>
    <definedName name="glcd" localSheetId="8">#REF!</definedName>
    <definedName name="glcd" localSheetId="7">#REF!</definedName>
    <definedName name="glcd">#REF!</definedName>
    <definedName name="GMI_PR" localSheetId="8">#REF!</definedName>
    <definedName name="GMI_PR" localSheetId="7">#REF!</definedName>
    <definedName name="GMI_PR">#REF!</definedName>
    <definedName name="HLREC" localSheetId="8">#REF!</definedName>
    <definedName name="HLREC" localSheetId="7">#REF!</definedName>
    <definedName name="HLREC">#REF!</definedName>
    <definedName name="HTML_CodePage" hidden="1">1252</definedName>
    <definedName name="HTML_Control" localSheetId="8" hidden="1">{"'Front'!$D$18:$E$18","'Front'!$D$18:$E$18"}</definedName>
    <definedName name="HTML_Control" localSheetId="1" hidden="1">{"'Front'!$D$18:$E$18","'Front'!$D$18:$E$18"}</definedName>
    <definedName name="HTML_Control" hidden="1">{"'Front'!$D$18:$E$18","'Front'!$D$18:$E$18"}</definedName>
    <definedName name="HTML_Description" hidden="1">""</definedName>
    <definedName name="HTML_Email" hidden="1">""</definedName>
    <definedName name="HTML_Header" hidden="1">"Front"</definedName>
    <definedName name="HTML_LastUpdate" hidden="1">"07/04/02"</definedName>
    <definedName name="HTML_LineAfter" hidden="1">FALSE</definedName>
    <definedName name="HTML_LineBefore" hidden="1">FALSE</definedName>
    <definedName name="HTML_Name" hidden="1">"PAVP"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"Daily Production Area 05"</definedName>
    <definedName name="IJIUI" localSheetId="8" hidden="1">{#N/A,#N/A,TRUE,"Summary";#N/A,#N/A,TRUE,"Balance Sheet";#N/A,#N/A,TRUE,"P &amp; L";#N/A,#N/A,TRUE,"Fixed Assets";#N/A,#N/A,TRUE,"Cash Flows"}</definedName>
    <definedName name="IJIUI" localSheetId="1" hidden="1">{#N/A,#N/A,TRUE,"Summary";#N/A,#N/A,TRUE,"Balance Sheet";#N/A,#N/A,TRUE,"P &amp; L";#N/A,#N/A,TRUE,"Fixed Assets";#N/A,#N/A,TRUE,"Cash Flows"}</definedName>
    <definedName name="IJIUI" hidden="1">{#N/A,#N/A,TRUE,"Summary";#N/A,#N/A,TRUE,"Balance Sheet";#N/A,#N/A,TRUE,"P &amp; L";#N/A,#N/A,TRUE,"Fixed Assets";#N/A,#N/A,TRUE,"Cash Flows"}</definedName>
    <definedName name="Income_tax" localSheetId="8">#REF!</definedName>
    <definedName name="Income_tax" localSheetId="7">#REF!</definedName>
    <definedName name="Income_tax">#REF!</definedName>
    <definedName name="interwisesept02" localSheetId="8">'[7]HBI NCD'!#REF!</definedName>
    <definedName name="interwisesept02" localSheetId="7">'[7]HBI NCD'!#REF!</definedName>
    <definedName name="interwisesept02">'[7]HBI NCD'!#REF!</definedName>
    <definedName name="INTT_EXP" localSheetId="8">#REF!</definedName>
    <definedName name="INTT_EXP" localSheetId="7">#REF!</definedName>
    <definedName name="INTT_EXP">#REF!</definedName>
    <definedName name="INV" localSheetId="8">#REF!</definedName>
    <definedName name="INV" localSheetId="7">#REF!</definedName>
    <definedName name="INV">#REF!</definedName>
    <definedName name="IUIU" localSheetId="8" hidden="1">{#N/A,#N/A,TRUE,"Summary";#N/A,#N/A,TRUE,"Balance Sheet";#N/A,#N/A,TRUE,"P &amp; L";#N/A,#N/A,TRUE,"Fixed Assets";#N/A,#N/A,TRUE,"Cash Flows"}</definedName>
    <definedName name="IUIU" localSheetId="1" hidden="1">{#N/A,#N/A,TRUE,"Summary";#N/A,#N/A,TRUE,"Balance Sheet";#N/A,#N/A,TRUE,"P &amp; L";#N/A,#N/A,TRUE,"Fixed Assets";#N/A,#N/A,TRUE,"Cash Flows"}</definedName>
    <definedName name="IUIU" hidden="1">{#N/A,#N/A,TRUE,"Summary";#N/A,#N/A,TRUE,"Balance Sheet";#N/A,#N/A,TRUE,"P &amp; L";#N/A,#N/A,TRUE,"Fixed Assets";#N/A,#N/A,TRUE,"Cash Flows"}</definedName>
    <definedName name="JJ" localSheetId="8">[8]Costs!$A$3:$A$17</definedName>
    <definedName name="jmgkdjgkdfjgkf" localSheetId="8" hidden="1">{#N/A,#N/A,FALSE,"Cash Flows";#N/A,#N/A,FALSE,"Fixed Assets";#N/A,#N/A,FALSE,"Balance Sheet";#N/A,#N/A,FALSE,"P &amp; L"}</definedName>
    <definedName name="jmgkdjgkdfjgkf" localSheetId="1" hidden="1">{#N/A,#N/A,FALSE,"Cash Flows";#N/A,#N/A,FALSE,"Fixed Assets";#N/A,#N/A,FALSE,"Balance Sheet";#N/A,#N/A,FALSE,"P &amp; L"}</definedName>
    <definedName name="jmgkdjgkdfjgkf" hidden="1">{#N/A,#N/A,FALSE,"Cash Flows";#N/A,#N/A,FALSE,"Fixed Assets";#N/A,#N/A,FALSE,"Balance Sheet";#N/A,#N/A,FALSE,"P &amp; L"}</definedName>
    <definedName name="L" localSheetId="8" hidden="1">{"' calendrier 2000'!$A$1:$Q$38"}</definedName>
    <definedName name="L" localSheetId="1" hidden="1">{"' calendrier 2000'!$A$1:$Q$38"}</definedName>
    <definedName name="L" hidden="1">{"' calendrier 2000'!$A$1:$Q$38"}</definedName>
    <definedName name="list" localSheetId="8">#REF!</definedName>
    <definedName name="list">#REF!</definedName>
    <definedName name="LIST1">'Future Value Table (Jan 18)'!$B$22:$B$50</definedName>
    <definedName name="machine">'Change log'!$D$8:$D$9</definedName>
    <definedName name="MachineList" localSheetId="8">#REF!</definedName>
    <definedName name="MachineList" localSheetId="7">#REF!</definedName>
    <definedName name="MachineList">#REF!</definedName>
    <definedName name="Management_Profile">'[9]Bajaj OS'!$A$1</definedName>
    <definedName name="Manpower" localSheetId="8">#REF!</definedName>
    <definedName name="Manpower" localSheetId="7">#REF!</definedName>
    <definedName name="Manpower">#REF!</definedName>
    <definedName name="MANU_EXP" localSheetId="8">#REF!</definedName>
    <definedName name="MANU_EXP" localSheetId="7">#REF!</definedName>
    <definedName name="MANU_EXP">#REF!</definedName>
    <definedName name="March" localSheetId="8" hidden="1">{#N/A,#N/A,FALSE,"Cash Flows";#N/A,#N/A,FALSE,"Fixed Assets";#N/A,#N/A,FALSE,"Balance Sheet";#N/A,#N/A,FALSE,"P &amp; L"}</definedName>
    <definedName name="March" localSheetId="1" hidden="1">{#N/A,#N/A,FALSE,"Cash Flows";#N/A,#N/A,FALSE,"Fixed Assets";#N/A,#N/A,FALSE,"Balance Sheet";#N/A,#N/A,FALSE,"P &amp; L"}</definedName>
    <definedName name="March" hidden="1">{#N/A,#N/A,FALSE,"Cash Flows";#N/A,#N/A,FALSE,"Fixed Assets";#N/A,#N/A,FALSE,"Balance Sheet";#N/A,#N/A,FALSE,"P &amp; L"}</definedName>
    <definedName name="MISC_EXP" localSheetId="8">#REF!</definedName>
    <definedName name="MISC_EXP" localSheetId="7">#REF!</definedName>
    <definedName name="MISC_EXP">#REF!</definedName>
    <definedName name="MonWC" localSheetId="8">#REF!</definedName>
    <definedName name="MonWC" localSheetId="7">#REF!</definedName>
    <definedName name="MonWC">#REF!</definedName>
    <definedName name="mylist" localSheetId="8">[10]Costs!$A$3:$A$14</definedName>
    <definedName name="mylist">#REF!</definedName>
    <definedName name="N_ENTITE" localSheetId="8">#REF!</definedName>
    <definedName name="N_ENTITE" localSheetId="7">#REF!</definedName>
    <definedName name="N_ENTITE">#REF!</definedName>
    <definedName name="no_quote_reason_range">NA()</definedName>
    <definedName name="NOTES" localSheetId="8">#REF!</definedName>
    <definedName name="NOTES" localSheetId="7">#REF!</definedName>
    <definedName name="NOTES">#REF!</definedName>
    <definedName name="oc" localSheetId="8">#REF!</definedName>
    <definedName name="oc" localSheetId="7">#REF!</definedName>
    <definedName name="oc">#REF!</definedName>
    <definedName name="Offer_Format" localSheetId="8">#REF!</definedName>
    <definedName name="Offer_Format" localSheetId="7">#REF!</definedName>
    <definedName name="Offer_Format">#REF!</definedName>
    <definedName name="Order_Format" localSheetId="8">#REF!</definedName>
    <definedName name="Order_Format" localSheetId="7">#REF!</definedName>
    <definedName name="Order_Format">#REF!</definedName>
    <definedName name="OTH_INC" localSheetId="8">#REF!</definedName>
    <definedName name="OTH_INC" localSheetId="7">#REF!</definedName>
    <definedName name="OTH_INC">#REF!</definedName>
    <definedName name="Ovh" localSheetId="8" hidden="1">{#N/A,#N/A,FALSE,"Cash Flows";#N/A,#N/A,FALSE,"Fixed Assets";#N/A,#N/A,FALSE,"Balance Sheet";#N/A,#N/A,FALSE,"P &amp; L"}</definedName>
    <definedName name="Ovh" localSheetId="1" hidden="1">{#N/A,#N/A,FALSE,"Cash Flows";#N/A,#N/A,FALSE,"Fixed Assets";#N/A,#N/A,FALSE,"Balance Sheet";#N/A,#N/A,FALSE,"P &amp; L"}</definedName>
    <definedName name="Ovh" hidden="1">{#N/A,#N/A,FALSE,"Cash Flows";#N/A,#N/A,FALSE,"Fixed Assets";#N/A,#N/A,FALSE,"Balance Sheet";#N/A,#N/A,FALSE,"P &amp; L"}</definedName>
    <definedName name="Page_10" localSheetId="8">#REF!</definedName>
    <definedName name="Page_10" localSheetId="7">#REF!</definedName>
    <definedName name="Page_10">#REF!</definedName>
    <definedName name="Page_11" localSheetId="8">#REF!</definedName>
    <definedName name="Page_11" localSheetId="7">#REF!</definedName>
    <definedName name="Page_11">#REF!</definedName>
    <definedName name="Page_12" localSheetId="8">#REF!</definedName>
    <definedName name="Page_12" localSheetId="7">#REF!</definedName>
    <definedName name="Page_12">#REF!</definedName>
    <definedName name="Page_13" localSheetId="8">#REF!</definedName>
    <definedName name="Page_13" localSheetId="7">#REF!</definedName>
    <definedName name="Page_13">#REF!</definedName>
    <definedName name="Page_14" localSheetId="8">#REF!</definedName>
    <definedName name="Page_14" localSheetId="7">#REF!</definedName>
    <definedName name="Page_14">#REF!</definedName>
    <definedName name="Page_15" localSheetId="8">#REF!</definedName>
    <definedName name="Page_15" localSheetId="7">#REF!</definedName>
    <definedName name="Page_15">#REF!</definedName>
    <definedName name="Page_16" localSheetId="8">#REF!</definedName>
    <definedName name="Page_16" localSheetId="7">#REF!</definedName>
    <definedName name="Page_16">#REF!</definedName>
    <definedName name="Page_17" localSheetId="8">#REF!</definedName>
    <definedName name="Page_17" localSheetId="7">#REF!</definedName>
    <definedName name="Page_17">#REF!</definedName>
    <definedName name="Passif" localSheetId="8">#REF!</definedName>
    <definedName name="Passif" localSheetId="7">#REF!</definedName>
    <definedName name="Passif">#REF!</definedName>
    <definedName name="Passif_Colin" localSheetId="8">#REF!</definedName>
    <definedName name="Passif_Colin" localSheetId="7">#REF!</definedName>
    <definedName name="Passif_Colin">#REF!</definedName>
    <definedName name="PIPPO" localSheetId="8">#REF!</definedName>
    <definedName name="PIPPO" localSheetId="7">#REF!</definedName>
    <definedName name="PIPPO">#REF!</definedName>
    <definedName name="PL" localSheetId="8">#REF!</definedName>
    <definedName name="PL" localSheetId="7">#REF!</definedName>
    <definedName name="PL">#REF!</definedName>
    <definedName name="PLN_EUR" localSheetId="8">#REF!</definedName>
    <definedName name="PLN_EUR" localSheetId="7">#REF!</definedName>
    <definedName name="PLN_EUR">#REF!</definedName>
    <definedName name="PLN_GBP" localSheetId="8">#REF!</definedName>
    <definedName name="PLN_GBP" localSheetId="7">#REF!</definedName>
    <definedName name="PLN_GBP">#REF!</definedName>
    <definedName name="pluto" localSheetId="8">#REF!</definedName>
    <definedName name="pluto" localSheetId="7">#REF!</definedName>
    <definedName name="pluto">#REF!</definedName>
    <definedName name="PNL">#REF!</definedName>
    <definedName name="pr" localSheetId="8">#REF!</definedName>
    <definedName name="pr" localSheetId="7">#REF!</definedName>
    <definedName name="pr">#REF!</definedName>
    <definedName name="_xlnm.Print_Area" localSheetId="4">'Cost Estimation'!$A$5:$AA$36</definedName>
    <definedName name="_xlnm.Print_Area" localSheetId="8">#REF!</definedName>
    <definedName name="_xlnm.Print_Area" localSheetId="7">#REF!</definedName>
    <definedName name="_xlnm.Print_Area" localSheetId="5">'PRICE ESTIMATION'!$B$6:$BB$24</definedName>
    <definedName name="_xlnm.Print_Area">#REF!</definedName>
    <definedName name="Print_Area_5" localSheetId="8">'[11]Opening Balance'!#REF!</definedName>
    <definedName name="Print_Area_5" localSheetId="7">'[11]Opening Balance'!#REF!</definedName>
    <definedName name="Print_Area_5">'[11]Opening Balance'!#REF!</definedName>
    <definedName name="PRINT_AREA_MI" localSheetId="8">#REF!</definedName>
    <definedName name="PRINT_AREA_MI" localSheetId="7">#REF!</definedName>
    <definedName name="PRINT_AREA_MI">#REF!</definedName>
    <definedName name="_xlnm.Print_Titles" localSheetId="5">'PRICE ESTIMATION'!#REF!</definedName>
    <definedName name="PRINT_TITLES_2" localSheetId="8">#REF!</definedName>
    <definedName name="PRINT_TITLES_2" localSheetId="7">#REF!</definedName>
    <definedName name="PRINT_TITLES_2">#REF!</definedName>
    <definedName name="PRINT_TITLES_MI" localSheetId="8">#REF!</definedName>
    <definedName name="PRINT_TITLES_MI" localSheetId="7">#REF!</definedName>
    <definedName name="PRINT_TITLES_MI">#REF!</definedName>
    <definedName name="Pritn_Area_2" localSheetId="8">#REF!</definedName>
    <definedName name="Pritn_Area_2" localSheetId="7">#REF!</definedName>
    <definedName name="Pritn_Area_2">#REF!</definedName>
    <definedName name="PRO" localSheetId="8">#REF!</definedName>
    <definedName name="PRO" localSheetId="7">#REF!</definedName>
    <definedName name="PRO">#REF!</definedName>
    <definedName name="Processlist" localSheetId="8">'Future Value Table (Jan 18)'!$B$22:$B$42</definedName>
    <definedName name="Processlist">#REF!</definedName>
    <definedName name="Q" localSheetId="8">#REF!</definedName>
    <definedName name="Q" localSheetId="7">#REF!</definedName>
    <definedName name="Q">#REF!</definedName>
    <definedName name="qewqeqwerq" localSheetId="8" hidden="1">{#N/A,#N/A,FALSE,"Cash Flows";#N/A,#N/A,FALSE,"Fixed Assets";#N/A,#N/A,FALSE,"Balance Sheet";#N/A,#N/A,FALSE,"P &amp; L"}</definedName>
    <definedName name="qewqeqwerq" localSheetId="1" hidden="1">{#N/A,#N/A,FALSE,"Cash Flows";#N/A,#N/A,FALSE,"Fixed Assets";#N/A,#N/A,FALSE,"Balance Sheet";#N/A,#N/A,FALSE,"P &amp; L"}</definedName>
    <definedName name="qewqeqwerq" hidden="1">{#N/A,#N/A,FALSE,"Cash Flows";#N/A,#N/A,FALSE,"Fixed Assets";#N/A,#N/A,FALSE,"Balance Sheet";#N/A,#N/A,FALSE,"P &amp; L"}</definedName>
    <definedName name="QTY_Pur" localSheetId="8">#REF!</definedName>
    <definedName name="QTY_Pur" localSheetId="7">#REF!</definedName>
    <definedName name="QTY_Pur">#REF!</definedName>
    <definedName name="quoted_currency">NA()</definedName>
    <definedName name="R_DSC" localSheetId="8">#REF!</definedName>
    <definedName name="R_DSC" localSheetId="7">#REF!</definedName>
    <definedName name="R_DSC">#REF!</definedName>
    <definedName name="R_Oxygen" localSheetId="8">[12]Propane!$E$6:$H$50</definedName>
    <definedName name="RESERVE" localSheetId="8">#REF!</definedName>
    <definedName name="RESERVE" localSheetId="7">#REF!</definedName>
    <definedName name="RESERVE">#REF!</definedName>
    <definedName name="Résult_I_Colin" localSheetId="8">#REF!</definedName>
    <definedName name="Résult_I_Colin" localSheetId="7">#REF!</definedName>
    <definedName name="Résult_I_Colin">#REF!</definedName>
    <definedName name="Résult_II_Colin" localSheetId="8">#REF!</definedName>
    <definedName name="Résult_II_Colin" localSheetId="7">#REF!</definedName>
    <definedName name="Résult_II_Colin">#REF!</definedName>
    <definedName name="RESULT1" localSheetId="8">#REF!</definedName>
    <definedName name="RESULT1" localSheetId="7">#REF!</definedName>
    <definedName name="RESULT1">#REF!</definedName>
    <definedName name="RESULT1.CONT" localSheetId="8">#REF!</definedName>
    <definedName name="RESULT1.CONT" localSheetId="7">#REF!</definedName>
    <definedName name="RESULT1.CONT">#REF!</definedName>
    <definedName name="RESULT2" localSheetId="8">#REF!</definedName>
    <definedName name="RESULT2" localSheetId="7">#REF!</definedName>
    <definedName name="RESULT2">#REF!</definedName>
    <definedName name="RESULT2.CONT" localSheetId="8">#REF!</definedName>
    <definedName name="RESULT2.CONT" localSheetId="7">#REF!</definedName>
    <definedName name="RESULT2.CONT">#REF!</definedName>
    <definedName name="Résultat_I" localSheetId="8">#REF!</definedName>
    <definedName name="Résultat_I" localSheetId="7">#REF!</definedName>
    <definedName name="Résultat_I">#REF!</definedName>
    <definedName name="Résultat_II" localSheetId="8">#REF!</definedName>
    <definedName name="Résultat_II" localSheetId="7">#REF!</definedName>
    <definedName name="Résultat_II">#REF!</definedName>
    <definedName name="rmannex" localSheetId="8">#REF!</definedName>
    <definedName name="rmannex" localSheetId="7">#REF!</definedName>
    <definedName name="rmannex">#REF!</definedName>
    <definedName name="rtl" localSheetId="8">[1]fcl!#REF!</definedName>
    <definedName name="rtl" localSheetId="7">[1]fcl!#REF!</definedName>
    <definedName name="rtl">[1]fcl!#REF!</definedName>
    <definedName name="rtlMar03" localSheetId="8">'[7]HBI NCD'!#REF!</definedName>
    <definedName name="rtlMar03" localSheetId="7">'[7]HBI NCD'!#REF!</definedName>
    <definedName name="rtlMar03">'[7]HBI NCD'!#REF!</definedName>
    <definedName name="RUPEE" localSheetId="8">#REF!</definedName>
    <definedName name="RUPEE" localSheetId="7">#REF!</definedName>
    <definedName name="RUPEE">#REF!</definedName>
    <definedName name="sec" localSheetId="8">#REF!</definedName>
    <definedName name="sec" localSheetId="7">#REF!</definedName>
    <definedName name="sec">#REF!</definedName>
    <definedName name="SEC_LOAN" localSheetId="8">#REF!</definedName>
    <definedName name="SEC_LOAN" localSheetId="7">#REF!</definedName>
    <definedName name="SEC_LOAN">#REF!</definedName>
    <definedName name="secln" localSheetId="8">#REF!</definedName>
    <definedName name="secln" localSheetId="7">#REF!</definedName>
    <definedName name="secln">#REF!</definedName>
    <definedName name="spcl">[13]deb!$A$45:$G$49</definedName>
    <definedName name="spcl1">[13]deb!$A$45:$G$49</definedName>
    <definedName name="ss" localSheetId="8">#REF!</definedName>
    <definedName name="ss" localSheetId="7">#REF!</definedName>
    <definedName name="ss">#REF!</definedName>
    <definedName name="SSS" localSheetId="8" hidden="1">{#N/A,#N/A,FALSE,"Cash Flows";#N/A,#N/A,FALSE,"Fixed Assets";#N/A,#N/A,FALSE,"Balance Sheet";#N/A,#N/A,FALSE,"P &amp; L"}</definedName>
    <definedName name="SSS" localSheetId="1" hidden="1">{#N/A,#N/A,FALSE,"Cash Flows";#N/A,#N/A,FALSE,"Fixed Assets";#N/A,#N/A,FALSE,"Balance Sheet";#N/A,#N/A,FALSE,"P &amp; L"}</definedName>
    <definedName name="SSS" hidden="1">{#N/A,#N/A,FALSE,"Cash Flows";#N/A,#N/A,FALSE,"Fixed Assets";#N/A,#N/A,FALSE,"Balance Sheet";#N/A,#N/A,FALSE,"P &amp; L"}</definedName>
    <definedName name="SSSSB" localSheetId="8" hidden="1">{#N/A,#N/A,TRUE,"Summary";#N/A,#N/A,TRUE,"Balance Sheet";#N/A,#N/A,TRUE,"P &amp; L";#N/A,#N/A,TRUE,"Fixed Assets";#N/A,#N/A,TRUE,"Cash Flows"}</definedName>
    <definedName name="SSSSB" localSheetId="1" hidden="1">{#N/A,#N/A,TRUE,"Summary";#N/A,#N/A,TRUE,"Balance Sheet";#N/A,#N/A,TRUE,"P &amp; L";#N/A,#N/A,TRUE,"Fixed Assets";#N/A,#N/A,TRUE,"Cash Flows"}</definedName>
    <definedName name="SSSSB" hidden="1">{#N/A,#N/A,TRUE,"Summary";#N/A,#N/A,TRUE,"Balance Sheet";#N/A,#N/A,TRUE,"P &amp; L";#N/A,#N/A,TRUE,"Fixed Assets";#N/A,#N/A,TRUE,"Cash Flows"}</definedName>
    <definedName name="SSSSSB" localSheetId="8" hidden="1">{#N/A,#N/A,FALSE,"Cash Flows";#N/A,#N/A,FALSE,"Fixed Assets";#N/A,#N/A,FALSE,"Balance Sheet";#N/A,#N/A,FALSE,"P &amp; L"}</definedName>
    <definedName name="SSSSSB" localSheetId="1" hidden="1">{#N/A,#N/A,FALSE,"Cash Flows";#N/A,#N/A,FALSE,"Fixed Assets";#N/A,#N/A,FALSE,"Balance Sheet";#N/A,#N/A,FALSE,"P &amp; L"}</definedName>
    <definedName name="SSSSSB" hidden="1">{#N/A,#N/A,FALSE,"Cash Flows";#N/A,#N/A,FALSE,"Fixed Assets";#N/A,#N/A,FALSE,"Balance Sheet";#N/A,#N/A,FALSE,"P &amp; L"}</definedName>
    <definedName name="START" localSheetId="8">#REF!</definedName>
    <definedName name="START" localSheetId="7">#REF!</definedName>
    <definedName name="START">#REF!</definedName>
    <definedName name="stk" localSheetId="8">#REF!</definedName>
    <definedName name="stk" localSheetId="7">#REF!</definedName>
    <definedName name="stk">#REF!</definedName>
    <definedName name="Stranding_1430" localSheetId="8">#REF!</definedName>
    <definedName name="Stranding_1430" localSheetId="7">#REF!</definedName>
    <definedName name="Stranding_1430">#REF!</definedName>
    <definedName name="sum" localSheetId="8">#REF!</definedName>
    <definedName name="sum" localSheetId="7">#REF!</definedName>
    <definedName name="sum">#REF!</definedName>
    <definedName name="Tab_5_exercices" localSheetId="8">#REF!</definedName>
    <definedName name="Tab_5_exercices" localSheetId="7">#REF!</definedName>
    <definedName name="Tab_5_exercices">#REF!</definedName>
    <definedName name="Tax_Rate">'[14]TJC - Total'!$N$172</definedName>
    <definedName name="TELCO_JsrLkw" localSheetId="8">#REF!</definedName>
    <definedName name="TELCO_JsrLkw" localSheetId="7">#REF!</definedName>
    <definedName name="TELCO_JsrLkw">#REF!</definedName>
    <definedName name="TELCO_PR" localSheetId="8">#REF!</definedName>
    <definedName name="TELCO_PR" localSheetId="7">#REF!</definedName>
    <definedName name="TELCO_PR">#REF!</definedName>
    <definedName name="TKML_PR" localSheetId="8">#REF!</definedName>
    <definedName name="TKML_PR" localSheetId="7">#REF!</definedName>
    <definedName name="TKML_PR">#REF!</definedName>
    <definedName name="U_11_FG_Variance" localSheetId="8">#REF!</definedName>
    <definedName name="U_11_FG_Variance" localSheetId="7">#REF!</definedName>
    <definedName name="U_11_FG_Variance">#REF!</definedName>
    <definedName name="U_4_Investments_2002" localSheetId="7">#REF!</definedName>
    <definedName name="U_4_Investments_2002">#REF!</definedName>
    <definedName name="U_4_Investments_2003" localSheetId="7">#REF!</definedName>
    <definedName name="U_4_Investments_2003">#REF!</definedName>
    <definedName name="U_4_Investments_2004" localSheetId="7">#REF!</definedName>
    <definedName name="U_4_Investments_2004">#REF!</definedName>
    <definedName name="U_6_RM_Variance" localSheetId="8">#REF!</definedName>
    <definedName name="U_6_RM_Variance" localSheetId="7">#REF!</definedName>
    <definedName name="U_6_RM_Variance">#REF!</definedName>
    <definedName name="U_8_Closing_FG" localSheetId="8">#REF!</definedName>
    <definedName name="U_8_Closing_FG" localSheetId="7">#REF!</definedName>
    <definedName name="U_8_Closing_FG">#REF!</definedName>
    <definedName name="U_8_COBO_Sales" localSheetId="8">#REF!</definedName>
    <definedName name="U_8_COBO_Sales" localSheetId="7">#REF!</definedName>
    <definedName name="U_8_COBO_Sales">#REF!</definedName>
    <definedName name="U_8_Crate_Rental" localSheetId="8">#REF!</definedName>
    <definedName name="U_8_Crate_Rental" localSheetId="7">#REF!</definedName>
    <definedName name="U_8_Crate_Rental">#REF!</definedName>
    <definedName name="U_8_Processing" localSheetId="8">#REF!</definedName>
    <definedName name="U_8_Processing" localSheetId="7">#REF!</definedName>
    <definedName name="U_8_Processing">#REF!</definedName>
    <definedName name="U_8_Purchases_COBO" localSheetId="8">#REF!</definedName>
    <definedName name="U_8_Purchases_COBO" localSheetId="7">#REF!</definedName>
    <definedName name="U_8_Purchases_COBO">#REF!</definedName>
    <definedName name="U_8_Purchases_FOBO" localSheetId="8">#REF!</definedName>
    <definedName name="U_8_Purchases_FOBO" localSheetId="7">#REF!</definedName>
    <definedName name="U_8_Purchases_FOBO">#REF!</definedName>
    <definedName name="U_8_Purchases_HCCM" localSheetId="8">#REF!</definedName>
    <definedName name="U_8_Purchases_HCCM" localSheetId="7">#REF!</definedName>
    <definedName name="U_8_Purchases_HCCM">#REF!</definedName>
    <definedName name="U_8_Sales" localSheetId="8">#REF!</definedName>
    <definedName name="U_8_Sales" localSheetId="7">#REF!</definedName>
    <definedName name="U_8_Sales">#REF!</definedName>
    <definedName name="U_8_Sales_FOBO" localSheetId="8">#REF!</definedName>
    <definedName name="U_8_Sales_FOBO" localSheetId="7">#REF!</definedName>
    <definedName name="U_8_Sales_FOBO">#REF!</definedName>
    <definedName name="U_8_Sales_HCCM" localSheetId="8">#REF!</definedName>
    <definedName name="U_8_Sales_HCCM" localSheetId="7">#REF!</definedName>
    <definedName name="U_8_Sales_HCCM">#REF!</definedName>
    <definedName name="UEIUIUE" localSheetId="8" hidden="1">{#N/A,#N/A,TRUE,"Summary";#N/A,#N/A,TRUE,"Balance Sheet";#N/A,#N/A,TRUE,"P &amp; L";#N/A,#N/A,TRUE,"Fixed Assets";#N/A,#N/A,TRUE,"Cash Flows"}</definedName>
    <definedName name="UEIUIUE" localSheetId="1" hidden="1">{#N/A,#N/A,TRUE,"Summary";#N/A,#N/A,TRUE,"Balance Sheet";#N/A,#N/A,TRUE,"P &amp; L";#N/A,#N/A,TRUE,"Fixed Assets";#N/A,#N/A,TRUE,"Cash Flows"}</definedName>
    <definedName name="UEIUIUE" hidden="1">{#N/A,#N/A,TRUE,"Summary";#N/A,#N/A,TRUE,"Balance Sheet";#N/A,#N/A,TRUE,"P &amp; L";#N/A,#N/A,TRUE,"Fixed Assets";#N/A,#N/A,TRUE,"Cash Flows"}</definedName>
    <definedName name="unsec" localSheetId="8">#REF!</definedName>
    <definedName name="unsec" localSheetId="7">#REF!</definedName>
    <definedName name="unsec">#REF!</definedName>
    <definedName name="UNSEC_LOAN" localSheetId="8">#REF!</definedName>
    <definedName name="UNSEC_LOAN" localSheetId="7">#REF!</definedName>
    <definedName name="UNSEC_LOAN">#REF!</definedName>
    <definedName name="UUIIE" localSheetId="8" hidden="1">{#N/A,#N/A,FALSE,"Cash Flows";#N/A,#N/A,FALSE,"Fixed Assets";#N/A,#N/A,FALSE,"Balance Sheet";#N/A,#N/A,FALSE,"P &amp; L"}</definedName>
    <definedName name="UUIIE" localSheetId="1" hidden="1">{#N/A,#N/A,FALSE,"Cash Flows";#N/A,#N/A,FALSE,"Fixed Assets";#N/A,#N/A,FALSE,"Balance Sheet";#N/A,#N/A,FALSE,"P &amp; L"}</definedName>
    <definedName name="UUIIE" hidden="1">{#N/A,#N/A,FALSE,"Cash Flows";#N/A,#N/A,FALSE,"Fixed Assets";#N/A,#N/A,FALSE,"Balance Sheet";#N/A,#N/A,FALSE,"P &amp; L"}</definedName>
    <definedName name="vga" localSheetId="8" hidden="1">{#N/A,#N/A,TRUE,"Summary";#N/A,#N/A,TRUE,"Balance Sheet";#N/A,#N/A,TRUE,"P &amp; L";#N/A,#N/A,TRUE,"Fixed Assets";#N/A,#N/A,TRUE,"Cash Flows"}</definedName>
    <definedName name="vga" localSheetId="1" hidden="1">{#N/A,#N/A,TRUE,"Summary";#N/A,#N/A,TRUE,"Balance Sheet";#N/A,#N/A,TRUE,"P &amp; L";#N/A,#N/A,TRUE,"Fixed Assets";#N/A,#N/A,TRUE,"Cash Flows"}</definedName>
    <definedName name="vga" hidden="1">{#N/A,#N/A,TRUE,"Summary";#N/A,#N/A,TRUE,"Balance Sheet";#N/A,#N/A,TRUE,"P &amp; L";#N/A,#N/A,TRUE,"Fixed Assets";#N/A,#N/A,TRUE,"Cash Flows"}</definedName>
    <definedName name="WB" localSheetId="8" hidden="1">{#N/A,#N/A,TRUE,"Summary";#N/A,#N/A,TRUE,"Balance Sheet";#N/A,#N/A,TRUE,"P &amp; L";#N/A,#N/A,TRUE,"Fixed Assets";#N/A,#N/A,TRUE,"Cash Flows"}</definedName>
    <definedName name="WB" localSheetId="1" hidden="1">{#N/A,#N/A,TRUE,"Summary";#N/A,#N/A,TRUE,"Balance Sheet";#N/A,#N/A,TRUE,"P &amp; L";#N/A,#N/A,TRUE,"Fixed Assets";#N/A,#N/A,TRUE,"Cash Flows"}</definedName>
    <definedName name="WB" hidden="1">{#N/A,#N/A,TRUE,"Summary";#N/A,#N/A,TRUE,"Balance Sheet";#N/A,#N/A,TRUE,"P &amp; L";#N/A,#N/A,TRUE,"Fixed Assets";#N/A,#N/A,TRUE,"Cash Flows"}</definedName>
    <definedName name="WBB" localSheetId="8" hidden="1">{#N/A,#N/A,TRUE,"Summary";#N/A,#N/A,TRUE,"Balance Sheet";#N/A,#N/A,TRUE,"P &amp; L";#N/A,#N/A,TRUE,"Fixed Assets";#N/A,#N/A,TRUE,"Cash Flows"}</definedName>
    <definedName name="WBB" localSheetId="1" hidden="1">{#N/A,#N/A,TRUE,"Summary";#N/A,#N/A,TRUE,"Balance Sheet";#N/A,#N/A,TRUE,"P &amp; L";#N/A,#N/A,TRUE,"Fixed Assets";#N/A,#N/A,TRUE,"Cash Flows"}</definedName>
    <definedName name="WBB" hidden="1">{#N/A,#N/A,TRUE,"Summary";#N/A,#N/A,TRUE,"Balance Sheet";#N/A,#N/A,TRUE,"P &amp; L";#N/A,#N/A,TRUE,"Fixed Assets";#N/A,#N/A,TRUE,"Cash Flows"}</definedName>
    <definedName name="WBBB" localSheetId="8" hidden="1">{#N/A,#N/A,FALSE,"Cash Flows";#N/A,#N/A,FALSE,"Fixed Assets";#N/A,#N/A,FALSE,"Balance Sheet";#N/A,#N/A,FALSE,"P &amp; L"}</definedName>
    <definedName name="WBBB" localSheetId="1" hidden="1">{#N/A,#N/A,FALSE,"Cash Flows";#N/A,#N/A,FALSE,"Fixed Assets";#N/A,#N/A,FALSE,"Balance Sheet";#N/A,#N/A,FALSE,"P &amp; L"}</definedName>
    <definedName name="WBBB" hidden="1">{#N/A,#N/A,FALSE,"Cash Flows";#N/A,#N/A,FALSE,"Fixed Assets";#N/A,#N/A,FALSE,"Balance Sheet";#N/A,#N/A,FALSE,"P &amp; L"}</definedName>
    <definedName name="WBBBBB" localSheetId="8" hidden="1">{#N/A,#N/A,TRUE,"Summary";#N/A,#N/A,TRUE,"Balance Sheet";#N/A,#N/A,TRUE,"P &amp; L";#N/A,#N/A,TRUE,"Fixed Assets";#N/A,#N/A,TRUE,"Cash Flows"}</definedName>
    <definedName name="WBBBBB" localSheetId="1" hidden="1">{#N/A,#N/A,TRUE,"Summary";#N/A,#N/A,TRUE,"Balance Sheet";#N/A,#N/A,TRUE,"P &amp; L";#N/A,#N/A,TRUE,"Fixed Assets";#N/A,#N/A,TRUE,"Cash Flows"}</definedName>
    <definedName name="WBBBBB" hidden="1">{#N/A,#N/A,TRUE,"Summary";#N/A,#N/A,TRUE,"Balance Sheet";#N/A,#N/A,TRUE,"P &amp; L";#N/A,#N/A,TRUE,"Fixed Assets";#N/A,#N/A,TRUE,"Cash Flows"}</definedName>
    <definedName name="WBBBBBB" localSheetId="8" hidden="1">{#N/A,#N/A,FALSE,"Cash Flows";#N/A,#N/A,FALSE,"Fixed Assets";#N/A,#N/A,FALSE,"Balance Sheet";#N/A,#N/A,FALSE,"P &amp; L"}</definedName>
    <definedName name="WBBBBBB" localSheetId="1" hidden="1">{#N/A,#N/A,FALSE,"Cash Flows";#N/A,#N/A,FALSE,"Fixed Assets";#N/A,#N/A,FALSE,"Balance Sheet";#N/A,#N/A,FALSE,"P &amp; L"}</definedName>
    <definedName name="WBBBBBB" hidden="1">{#N/A,#N/A,FALSE,"Cash Flows";#N/A,#N/A,FALSE,"Fixed Assets";#N/A,#N/A,FALSE,"Balance Sheet";#N/A,#N/A,FALSE,"P &amp; L"}</definedName>
    <definedName name="WBBBBBBB" localSheetId="8" hidden="1">{#N/A,#N/A,TRUE,"Summary";#N/A,#N/A,TRUE,"Balance Sheet";#N/A,#N/A,TRUE,"P &amp; L";#N/A,#N/A,TRUE,"Fixed Assets";#N/A,#N/A,TRUE,"Cash Flows"}</definedName>
    <definedName name="WBBBBBBB" localSheetId="1" hidden="1">{#N/A,#N/A,TRUE,"Summary";#N/A,#N/A,TRUE,"Balance Sheet";#N/A,#N/A,TRUE,"P &amp; L";#N/A,#N/A,TRUE,"Fixed Assets";#N/A,#N/A,TRUE,"Cash Flows"}</definedName>
    <definedName name="WBBBBBBB" hidden="1">{#N/A,#N/A,TRUE,"Summary";#N/A,#N/A,TRUE,"Balance Sheet";#N/A,#N/A,TRUE,"P &amp; L";#N/A,#N/A,TRUE,"Fixed Assets";#N/A,#N/A,TRUE,"Cash Flows"}</definedName>
    <definedName name="WBBBBCCC" localSheetId="8" hidden="1">{#N/A,#N/A,FALSE,"Cash Flows";#N/A,#N/A,FALSE,"Fixed Assets";#N/A,#N/A,FALSE,"Balance Sheet";#N/A,#N/A,FALSE,"P &amp; L"}</definedName>
    <definedName name="WBBBBCCC" localSheetId="1" hidden="1">{#N/A,#N/A,FALSE,"Cash Flows";#N/A,#N/A,FALSE,"Fixed Assets";#N/A,#N/A,FALSE,"Balance Sheet";#N/A,#N/A,FALSE,"P &amp; L"}</definedName>
    <definedName name="WBBBBCCC" hidden="1">{#N/A,#N/A,FALSE,"Cash Flows";#N/A,#N/A,FALSE,"Fixed Assets";#N/A,#N/A,FALSE,"Balance Sheet";#N/A,#N/A,FALSE,"P &amp; L"}</definedName>
    <definedName name="wcl" localSheetId="8">#REF!</definedName>
    <definedName name="wcl" localSheetId="7">#REF!</definedName>
    <definedName name="wcl">#REF!</definedName>
    <definedName name="wrn.brief" localSheetId="8" hidden="1">{#N/A,#N/A,TRUE,"Summary";#N/A,#N/A,TRUE,"Balance Sheet";#N/A,#N/A,TRUE,"P &amp; L";#N/A,#N/A,TRUE,"Fixed Assets";#N/A,#N/A,TRUE,"Cash Flows"}</definedName>
    <definedName name="wrn.brief" localSheetId="1" hidden="1">{#N/A,#N/A,TRUE,"Summary";#N/A,#N/A,TRUE,"Balance Sheet";#N/A,#N/A,TRUE,"P &amp; L";#N/A,#N/A,TRUE,"Fixed Assets";#N/A,#N/A,TRUE,"Cash Flows"}</definedName>
    <definedName name="wrn.brief" hidden="1">{#N/A,#N/A,TRUE,"Summary";#N/A,#N/A,TRUE,"Balance Sheet";#N/A,#N/A,TRUE,"P &amp; L";#N/A,#N/A,TRUE,"Fixed Assets";#N/A,#N/A,TRUE,"Cash Flows"}</definedName>
    <definedName name="wrn.Brief." localSheetId="8" hidden="1">{#N/A,#N/A,TRUE,"Summary";#N/A,#N/A,TRUE,"Balance Sheet";#N/A,#N/A,TRUE,"P &amp; L";#N/A,#N/A,TRUE,"Fixed Assets";#N/A,#N/A,TRUE,"Cash Flows"}</definedName>
    <definedName name="wrn.Brief." localSheetId="1" hidden="1">{#N/A,#N/A,TRUE,"Summary";#N/A,#N/A,TRUE,"Balance Sheet";#N/A,#N/A,TRUE,"P &amp; L";#N/A,#N/A,TRUE,"Fixed Assets";#N/A,#N/A,TRUE,"Cash Flows"}</definedName>
    <definedName name="wrn.Brief." hidden="1">{#N/A,#N/A,TRUE,"Summary";#N/A,#N/A,TRUE,"Balance Sheet";#N/A,#N/A,TRUE,"P &amp; L";#N/A,#N/A,TRUE,"Fixed Assets";#N/A,#N/A,TRUE,"Cash Flows"}</definedName>
    <definedName name="wrn.ela" localSheetId="8" hidden="1">{#N/A,#N/A,FALSE,"Cash Flows";#N/A,#N/A,FALSE,"Fixed Assets";#N/A,#N/A,FALSE,"Balance Sheet";#N/A,#N/A,FALSE,"P &amp; L"}</definedName>
    <definedName name="wrn.ela" localSheetId="1" hidden="1">{#N/A,#N/A,FALSE,"Cash Flows";#N/A,#N/A,FALSE,"Fixed Assets";#N/A,#N/A,FALSE,"Balance Sheet";#N/A,#N/A,FALSE,"P &amp; L"}</definedName>
    <definedName name="wrn.ela" hidden="1">{#N/A,#N/A,FALSE,"Cash Flows";#N/A,#N/A,FALSE,"Fixed Assets";#N/A,#N/A,FALSE,"Balance Sheet";#N/A,#N/A,FALSE,"P &amp; L"}</definedName>
    <definedName name="wrn.elaborate" localSheetId="8" hidden="1">{#N/A,#N/A,FALSE,"Cash Flows";#N/A,#N/A,FALSE,"Fixed Assets";#N/A,#N/A,FALSE,"Balance Sheet";#N/A,#N/A,FALSE,"P &amp; L"}</definedName>
    <definedName name="wrn.elaborate" localSheetId="1" hidden="1">{#N/A,#N/A,FALSE,"Cash Flows";#N/A,#N/A,FALSE,"Fixed Assets";#N/A,#N/A,FALSE,"Balance Sheet";#N/A,#N/A,FALSE,"P &amp; L"}</definedName>
    <definedName name="wrn.elaborate" hidden="1">{#N/A,#N/A,FALSE,"Cash Flows";#N/A,#N/A,FALSE,"Fixed Assets";#N/A,#N/A,FALSE,"Balance Sheet";#N/A,#N/A,FALSE,"P &amp; L"}</definedName>
    <definedName name="wrn.Elaborate." localSheetId="8" hidden="1">{#N/A,#N/A,FALSE,"Cash Flows";#N/A,#N/A,FALSE,"Fixed Assets";#N/A,#N/A,FALSE,"Balance Sheet";#N/A,#N/A,FALSE,"P &amp; L"}</definedName>
    <definedName name="wrn.Elaborate." localSheetId="1" hidden="1">{#N/A,#N/A,FALSE,"Cash Flows";#N/A,#N/A,FALSE,"Fixed Assets";#N/A,#N/A,FALSE,"Balance Sheet";#N/A,#N/A,FALSE,"P &amp; L"}</definedName>
    <definedName name="wrn.Elaborate." hidden="1">{#N/A,#N/A,FALSE,"Cash Flows";#N/A,#N/A,FALSE,"Fixed Assets";#N/A,#N/A,FALSE,"Balance Sheet";#N/A,#N/A,FALSE,"P &amp; L"}</definedName>
    <definedName name="wrn1.brief" localSheetId="8" hidden="1">{#N/A,#N/A,TRUE,"Summary";#N/A,#N/A,TRUE,"Balance Sheet";#N/A,#N/A,TRUE,"P &amp; L";#N/A,#N/A,TRUE,"Fixed Assets";#N/A,#N/A,TRUE,"Cash Flows"}</definedName>
    <definedName name="wrn1.brief" localSheetId="1" hidden="1">{#N/A,#N/A,TRUE,"Summary";#N/A,#N/A,TRUE,"Balance Sheet";#N/A,#N/A,TRUE,"P &amp; L";#N/A,#N/A,TRUE,"Fixed Assets";#N/A,#N/A,TRUE,"Cash Flows"}</definedName>
    <definedName name="wrn1.brief" hidden="1">{#N/A,#N/A,TRUE,"Summary";#N/A,#N/A,TRUE,"Balance Sheet";#N/A,#N/A,TRUE,"P &amp; L";#N/A,#N/A,TRUE,"Fixed Assets";#N/A,#N/A,TRUE,"Cash Flows"}</definedName>
    <definedName name="wrn1.elaborate" localSheetId="8" hidden="1">{#N/A,#N/A,FALSE,"Cash Flows";#N/A,#N/A,FALSE,"Fixed Assets";#N/A,#N/A,FALSE,"Balance Sheet";#N/A,#N/A,FALSE,"P &amp; L"}</definedName>
    <definedName name="wrn1.elaborate" localSheetId="1" hidden="1">{#N/A,#N/A,FALSE,"Cash Flows";#N/A,#N/A,FALSE,"Fixed Assets";#N/A,#N/A,FALSE,"Balance Sheet";#N/A,#N/A,FALSE,"P &amp; L"}</definedName>
    <definedName name="wrn1.elaborate" hidden="1">{#N/A,#N/A,FALSE,"Cash Flows";#N/A,#N/A,FALSE,"Fixed Assets";#N/A,#N/A,FALSE,"Balance Sheet";#N/A,#N/A,FALSE,"P &amp; L"}</definedName>
    <definedName name="wrn10.brief" localSheetId="8" hidden="1">{#N/A,#N/A,TRUE,"Summary";#N/A,#N/A,TRUE,"Balance Sheet";#N/A,#N/A,TRUE,"P &amp; L";#N/A,#N/A,TRUE,"Fixed Assets";#N/A,#N/A,TRUE,"Cash Flows"}</definedName>
    <definedName name="wrn10.brief" localSheetId="1" hidden="1">{#N/A,#N/A,TRUE,"Summary";#N/A,#N/A,TRUE,"Balance Sheet";#N/A,#N/A,TRUE,"P &amp; L";#N/A,#N/A,TRUE,"Fixed Assets";#N/A,#N/A,TRUE,"Cash Flows"}</definedName>
    <definedName name="wrn10.brief" hidden="1">{#N/A,#N/A,TRUE,"Summary";#N/A,#N/A,TRUE,"Balance Sheet";#N/A,#N/A,TRUE,"P &amp; L";#N/A,#N/A,TRUE,"Fixed Assets";#N/A,#N/A,TRUE,"Cash Flows"}</definedName>
    <definedName name="wrn10.elaborate" localSheetId="8" hidden="1">{#N/A,#N/A,FALSE,"Cash Flows";#N/A,#N/A,FALSE,"Fixed Assets";#N/A,#N/A,FALSE,"Balance Sheet";#N/A,#N/A,FALSE,"P &amp; L"}</definedName>
    <definedName name="wrn10.elaborate" localSheetId="1" hidden="1">{#N/A,#N/A,FALSE,"Cash Flows";#N/A,#N/A,FALSE,"Fixed Assets";#N/A,#N/A,FALSE,"Balance Sheet";#N/A,#N/A,FALSE,"P &amp; L"}</definedName>
    <definedName name="wrn10.elaborate" hidden="1">{#N/A,#N/A,FALSE,"Cash Flows";#N/A,#N/A,FALSE,"Fixed Assets";#N/A,#N/A,FALSE,"Balance Sheet";#N/A,#N/A,FALSE,"P &amp; L"}</definedName>
    <definedName name="wrn11.brief" localSheetId="8" hidden="1">{#N/A,#N/A,TRUE,"Summary";#N/A,#N/A,TRUE,"Balance Sheet";#N/A,#N/A,TRUE,"P &amp; L";#N/A,#N/A,TRUE,"Fixed Assets";#N/A,#N/A,TRUE,"Cash Flows"}</definedName>
    <definedName name="wrn11.brief" localSheetId="1" hidden="1">{#N/A,#N/A,TRUE,"Summary";#N/A,#N/A,TRUE,"Balance Sheet";#N/A,#N/A,TRUE,"P &amp; L";#N/A,#N/A,TRUE,"Fixed Assets";#N/A,#N/A,TRUE,"Cash Flows"}</definedName>
    <definedName name="wrn11.brief" hidden="1">{#N/A,#N/A,TRUE,"Summary";#N/A,#N/A,TRUE,"Balance Sheet";#N/A,#N/A,TRUE,"P &amp; L";#N/A,#N/A,TRUE,"Fixed Assets";#N/A,#N/A,TRUE,"Cash Flows"}</definedName>
    <definedName name="wrn11.elaborate" localSheetId="8" hidden="1">{#N/A,#N/A,FALSE,"Cash Flows";#N/A,#N/A,FALSE,"Fixed Assets";#N/A,#N/A,FALSE,"Balance Sheet";#N/A,#N/A,FALSE,"P &amp; L"}</definedName>
    <definedName name="wrn11.elaborate" localSheetId="1" hidden="1">{#N/A,#N/A,FALSE,"Cash Flows";#N/A,#N/A,FALSE,"Fixed Assets";#N/A,#N/A,FALSE,"Balance Sheet";#N/A,#N/A,FALSE,"P &amp; L"}</definedName>
    <definedName name="wrn11.elaborate" hidden="1">{#N/A,#N/A,FALSE,"Cash Flows";#N/A,#N/A,FALSE,"Fixed Assets";#N/A,#N/A,FALSE,"Balance Sheet";#N/A,#N/A,FALSE,"P &amp; L"}</definedName>
    <definedName name="wrn12.elaborate" localSheetId="8" hidden="1">{#N/A,#N/A,FALSE,"Cash Flows";#N/A,#N/A,FALSE,"Fixed Assets";#N/A,#N/A,FALSE,"Balance Sheet";#N/A,#N/A,FALSE,"P &amp; L"}</definedName>
    <definedName name="wrn12.elaborate" localSheetId="1" hidden="1">{#N/A,#N/A,FALSE,"Cash Flows";#N/A,#N/A,FALSE,"Fixed Assets";#N/A,#N/A,FALSE,"Balance Sheet";#N/A,#N/A,FALSE,"P &amp; L"}</definedName>
    <definedName name="wrn12.elaborate" hidden="1">{#N/A,#N/A,FALSE,"Cash Flows";#N/A,#N/A,FALSE,"Fixed Assets";#N/A,#N/A,FALSE,"Balance Sheet";#N/A,#N/A,FALSE,"P &amp; L"}</definedName>
    <definedName name="wrn13.brief" localSheetId="8" hidden="1">{#N/A,#N/A,TRUE,"Summary";#N/A,#N/A,TRUE,"Balance Sheet";#N/A,#N/A,TRUE,"P &amp; L";#N/A,#N/A,TRUE,"Fixed Assets";#N/A,#N/A,TRUE,"Cash Flows"}</definedName>
    <definedName name="wrn13.brief" localSheetId="1" hidden="1">{#N/A,#N/A,TRUE,"Summary";#N/A,#N/A,TRUE,"Balance Sheet";#N/A,#N/A,TRUE,"P &amp; L";#N/A,#N/A,TRUE,"Fixed Assets";#N/A,#N/A,TRUE,"Cash Flows"}</definedName>
    <definedName name="wrn13.brief" hidden="1">{#N/A,#N/A,TRUE,"Summary";#N/A,#N/A,TRUE,"Balance Sheet";#N/A,#N/A,TRUE,"P &amp; L";#N/A,#N/A,TRUE,"Fixed Assets";#N/A,#N/A,TRUE,"Cash Flows"}</definedName>
    <definedName name="wrn13.elaborate" localSheetId="8" hidden="1">{#N/A,#N/A,FALSE,"Cash Flows";#N/A,#N/A,FALSE,"Fixed Assets";#N/A,#N/A,FALSE,"Balance Sheet";#N/A,#N/A,FALSE,"P &amp; L"}</definedName>
    <definedName name="wrn13.elaborate" localSheetId="1" hidden="1">{#N/A,#N/A,FALSE,"Cash Flows";#N/A,#N/A,FALSE,"Fixed Assets";#N/A,#N/A,FALSE,"Balance Sheet";#N/A,#N/A,FALSE,"P &amp; L"}</definedName>
    <definedName name="wrn13.elaborate" hidden="1">{#N/A,#N/A,FALSE,"Cash Flows";#N/A,#N/A,FALSE,"Fixed Assets";#N/A,#N/A,FALSE,"Balance Sheet";#N/A,#N/A,FALSE,"P &amp; L"}</definedName>
    <definedName name="wrn14.elaborate" localSheetId="8" hidden="1">{#N/A,#N/A,FALSE,"Cash Flows";#N/A,#N/A,FALSE,"Fixed Assets";#N/A,#N/A,FALSE,"Balance Sheet";#N/A,#N/A,FALSE,"P &amp; L"}</definedName>
    <definedName name="wrn14.elaborate" localSheetId="1" hidden="1">{#N/A,#N/A,FALSE,"Cash Flows";#N/A,#N/A,FALSE,"Fixed Assets";#N/A,#N/A,FALSE,"Balance Sheet";#N/A,#N/A,FALSE,"P &amp; L"}</definedName>
    <definedName name="wrn14.elaborate" hidden="1">{#N/A,#N/A,FALSE,"Cash Flows";#N/A,#N/A,FALSE,"Fixed Assets";#N/A,#N/A,FALSE,"Balance Sheet";#N/A,#N/A,FALSE,"P &amp; L"}</definedName>
    <definedName name="wrn15.brief" localSheetId="8" hidden="1">{#N/A,#N/A,TRUE,"Summary";#N/A,#N/A,TRUE,"Balance Sheet";#N/A,#N/A,TRUE,"P &amp; L";#N/A,#N/A,TRUE,"Fixed Assets";#N/A,#N/A,TRUE,"Cash Flows"}</definedName>
    <definedName name="wrn15.brief" localSheetId="1" hidden="1">{#N/A,#N/A,TRUE,"Summary";#N/A,#N/A,TRUE,"Balance Sheet";#N/A,#N/A,TRUE,"P &amp; L";#N/A,#N/A,TRUE,"Fixed Assets";#N/A,#N/A,TRUE,"Cash Flows"}</definedName>
    <definedName name="wrn15.brief" hidden="1">{#N/A,#N/A,TRUE,"Summary";#N/A,#N/A,TRUE,"Balance Sheet";#N/A,#N/A,TRUE,"P &amp; L";#N/A,#N/A,TRUE,"Fixed Assets";#N/A,#N/A,TRUE,"Cash Flows"}</definedName>
    <definedName name="wrn16.elaborate" localSheetId="8" hidden="1">{#N/A,#N/A,FALSE,"Cash Flows";#N/A,#N/A,FALSE,"Fixed Assets";#N/A,#N/A,FALSE,"Balance Sheet";#N/A,#N/A,FALSE,"P &amp; L"}</definedName>
    <definedName name="wrn16.elaborate" localSheetId="1" hidden="1">{#N/A,#N/A,FALSE,"Cash Flows";#N/A,#N/A,FALSE,"Fixed Assets";#N/A,#N/A,FALSE,"Balance Sheet";#N/A,#N/A,FALSE,"P &amp; L"}</definedName>
    <definedName name="wrn16.elaborate" hidden="1">{#N/A,#N/A,FALSE,"Cash Flows";#N/A,#N/A,FALSE,"Fixed Assets";#N/A,#N/A,FALSE,"Balance Sheet";#N/A,#N/A,FALSE,"P &amp; L"}</definedName>
    <definedName name="wrn18.brief" localSheetId="8" hidden="1">{#N/A,#N/A,TRUE,"Summary";#N/A,#N/A,TRUE,"Balance Sheet";#N/A,#N/A,TRUE,"P &amp; L";#N/A,#N/A,TRUE,"Fixed Assets";#N/A,#N/A,TRUE,"Cash Flows"}</definedName>
    <definedName name="wrn18.brief" localSheetId="1" hidden="1">{#N/A,#N/A,TRUE,"Summary";#N/A,#N/A,TRUE,"Balance Sheet";#N/A,#N/A,TRUE,"P &amp; L";#N/A,#N/A,TRUE,"Fixed Assets";#N/A,#N/A,TRUE,"Cash Flows"}</definedName>
    <definedName name="wrn18.brief" hidden="1">{#N/A,#N/A,TRUE,"Summary";#N/A,#N/A,TRUE,"Balance Sheet";#N/A,#N/A,TRUE,"P &amp; L";#N/A,#N/A,TRUE,"Fixed Assets";#N/A,#N/A,TRUE,"Cash Flows"}</definedName>
    <definedName name="wrn19.elaborate" localSheetId="8" hidden="1">{#N/A,#N/A,FALSE,"Cash Flows";#N/A,#N/A,FALSE,"Fixed Assets";#N/A,#N/A,FALSE,"Balance Sheet";#N/A,#N/A,FALSE,"P &amp; L"}</definedName>
    <definedName name="wrn19.elaborate" localSheetId="1" hidden="1">{#N/A,#N/A,FALSE,"Cash Flows";#N/A,#N/A,FALSE,"Fixed Assets";#N/A,#N/A,FALSE,"Balance Sheet";#N/A,#N/A,FALSE,"P &amp; L"}</definedName>
    <definedName name="wrn19.elaborate" hidden="1">{#N/A,#N/A,FALSE,"Cash Flows";#N/A,#N/A,FALSE,"Fixed Assets";#N/A,#N/A,FALSE,"Balance Sheet";#N/A,#N/A,FALSE,"P &amp; L"}</definedName>
    <definedName name="wrn2.brief" localSheetId="8" hidden="1">{#N/A,#N/A,TRUE,"Summary";#N/A,#N/A,TRUE,"Balance Sheet";#N/A,#N/A,TRUE,"P &amp; L";#N/A,#N/A,TRUE,"Fixed Assets";#N/A,#N/A,TRUE,"Cash Flows"}</definedName>
    <definedName name="wrn2.brief" localSheetId="1" hidden="1">{#N/A,#N/A,TRUE,"Summary";#N/A,#N/A,TRUE,"Balance Sheet";#N/A,#N/A,TRUE,"P &amp; L";#N/A,#N/A,TRUE,"Fixed Assets";#N/A,#N/A,TRUE,"Cash Flows"}</definedName>
    <definedName name="wrn2.brief" hidden="1">{#N/A,#N/A,TRUE,"Summary";#N/A,#N/A,TRUE,"Balance Sheet";#N/A,#N/A,TRUE,"P &amp; L";#N/A,#N/A,TRUE,"Fixed Assets";#N/A,#N/A,TRUE,"Cash Flows"}</definedName>
    <definedName name="wrn20.brief" localSheetId="8" hidden="1">{#N/A,#N/A,TRUE,"Summary";#N/A,#N/A,TRUE,"Balance Sheet";#N/A,#N/A,TRUE,"P &amp; L";#N/A,#N/A,TRUE,"Fixed Assets";#N/A,#N/A,TRUE,"Cash Flows"}</definedName>
    <definedName name="wrn20.brief" localSheetId="1" hidden="1">{#N/A,#N/A,TRUE,"Summary";#N/A,#N/A,TRUE,"Balance Sheet";#N/A,#N/A,TRUE,"P &amp; L";#N/A,#N/A,TRUE,"Fixed Assets";#N/A,#N/A,TRUE,"Cash Flows"}</definedName>
    <definedName name="wrn20.brief" hidden="1">{#N/A,#N/A,TRUE,"Summary";#N/A,#N/A,TRUE,"Balance Sheet";#N/A,#N/A,TRUE,"P &amp; L";#N/A,#N/A,TRUE,"Fixed Assets";#N/A,#N/A,TRUE,"Cash Flows"}</definedName>
    <definedName name="wrn20.elaborate" localSheetId="8" hidden="1">{#N/A,#N/A,FALSE,"Cash Flows";#N/A,#N/A,FALSE,"Fixed Assets";#N/A,#N/A,FALSE,"Balance Sheet";#N/A,#N/A,FALSE,"P &amp; L"}</definedName>
    <definedName name="wrn20.elaborate" localSheetId="1" hidden="1">{#N/A,#N/A,FALSE,"Cash Flows";#N/A,#N/A,FALSE,"Fixed Assets";#N/A,#N/A,FALSE,"Balance Sheet";#N/A,#N/A,FALSE,"P &amp; L"}</definedName>
    <definedName name="wrn20.elaborate" hidden="1">{#N/A,#N/A,FALSE,"Cash Flows";#N/A,#N/A,FALSE,"Fixed Assets";#N/A,#N/A,FALSE,"Balance Sheet";#N/A,#N/A,FALSE,"P &amp; L"}</definedName>
    <definedName name="wrn21.elaborate" localSheetId="8" hidden="1">{#N/A,#N/A,FALSE,"Cash Flows";#N/A,#N/A,FALSE,"Fixed Assets";#N/A,#N/A,FALSE,"Balance Sheet";#N/A,#N/A,FALSE,"P &amp; L"}</definedName>
    <definedName name="wrn21.elaborate" localSheetId="1" hidden="1">{#N/A,#N/A,FALSE,"Cash Flows";#N/A,#N/A,FALSE,"Fixed Assets";#N/A,#N/A,FALSE,"Balance Sheet";#N/A,#N/A,FALSE,"P &amp; L"}</definedName>
    <definedName name="wrn21.elaborate" hidden="1">{#N/A,#N/A,FALSE,"Cash Flows";#N/A,#N/A,FALSE,"Fixed Assets";#N/A,#N/A,FALSE,"Balance Sheet";#N/A,#N/A,FALSE,"P &amp; L"}</definedName>
    <definedName name="Wrn22.brief" localSheetId="8" hidden="1">{#N/A,#N/A,TRUE,"Summary";#N/A,#N/A,TRUE,"Balance Sheet";#N/A,#N/A,TRUE,"P &amp; L";#N/A,#N/A,TRUE,"Fixed Assets";#N/A,#N/A,TRUE,"Cash Flows"}</definedName>
    <definedName name="Wrn22.brief" localSheetId="1" hidden="1">{#N/A,#N/A,TRUE,"Summary";#N/A,#N/A,TRUE,"Balance Sheet";#N/A,#N/A,TRUE,"P &amp; L";#N/A,#N/A,TRUE,"Fixed Assets";#N/A,#N/A,TRUE,"Cash Flows"}</definedName>
    <definedName name="Wrn22.brief" hidden="1">{#N/A,#N/A,TRUE,"Summary";#N/A,#N/A,TRUE,"Balance Sheet";#N/A,#N/A,TRUE,"P &amp; L";#N/A,#N/A,TRUE,"Fixed Assets";#N/A,#N/A,TRUE,"Cash Flows"}</definedName>
    <definedName name="wrn22.elaborate" localSheetId="8" hidden="1">{#N/A,#N/A,FALSE,"Cash Flows";#N/A,#N/A,FALSE,"Fixed Assets";#N/A,#N/A,FALSE,"Balance Sheet";#N/A,#N/A,FALSE,"P &amp; L"}</definedName>
    <definedName name="wrn22.elaborate" localSheetId="1" hidden="1">{#N/A,#N/A,FALSE,"Cash Flows";#N/A,#N/A,FALSE,"Fixed Assets";#N/A,#N/A,FALSE,"Balance Sheet";#N/A,#N/A,FALSE,"P &amp; L"}</definedName>
    <definedName name="wrn22.elaborate" hidden="1">{#N/A,#N/A,FALSE,"Cash Flows";#N/A,#N/A,FALSE,"Fixed Assets";#N/A,#N/A,FALSE,"Balance Sheet";#N/A,#N/A,FALSE,"P &amp; L"}</definedName>
    <definedName name="wrn24.brief" localSheetId="8" hidden="1">{#N/A,#N/A,TRUE,"Summary";#N/A,#N/A,TRUE,"Balance Sheet";#N/A,#N/A,TRUE,"P &amp; L";#N/A,#N/A,TRUE,"Fixed Assets";#N/A,#N/A,TRUE,"Cash Flows"}</definedName>
    <definedName name="wrn24.brief" localSheetId="1" hidden="1">{#N/A,#N/A,TRUE,"Summary";#N/A,#N/A,TRUE,"Balance Sheet";#N/A,#N/A,TRUE,"P &amp; L";#N/A,#N/A,TRUE,"Fixed Assets";#N/A,#N/A,TRUE,"Cash Flows"}</definedName>
    <definedName name="wrn24.brief" hidden="1">{#N/A,#N/A,TRUE,"Summary";#N/A,#N/A,TRUE,"Balance Sheet";#N/A,#N/A,TRUE,"P &amp; L";#N/A,#N/A,TRUE,"Fixed Assets";#N/A,#N/A,TRUE,"Cash Flows"}</definedName>
    <definedName name="wrn25.breif" localSheetId="8" hidden="1">{#N/A,#N/A,TRUE,"Summary";#N/A,#N/A,TRUE,"Balance Sheet";#N/A,#N/A,TRUE,"P &amp; L";#N/A,#N/A,TRUE,"Fixed Assets";#N/A,#N/A,TRUE,"Cash Flows"}</definedName>
    <definedName name="wrn25.breif" localSheetId="1" hidden="1">{#N/A,#N/A,TRUE,"Summary";#N/A,#N/A,TRUE,"Balance Sheet";#N/A,#N/A,TRUE,"P &amp; L";#N/A,#N/A,TRUE,"Fixed Assets";#N/A,#N/A,TRUE,"Cash Flows"}</definedName>
    <definedName name="wrn25.breif" hidden="1">{#N/A,#N/A,TRUE,"Summary";#N/A,#N/A,TRUE,"Balance Sheet";#N/A,#N/A,TRUE,"P &amp; L";#N/A,#N/A,TRUE,"Fixed Assets";#N/A,#N/A,TRUE,"Cash Flows"}</definedName>
    <definedName name="wrn25.elaborate" localSheetId="8" hidden="1">{#N/A,#N/A,FALSE,"Cash Flows";#N/A,#N/A,FALSE,"Fixed Assets";#N/A,#N/A,FALSE,"Balance Sheet";#N/A,#N/A,FALSE,"P &amp; L"}</definedName>
    <definedName name="wrn25.elaborate" localSheetId="1" hidden="1">{#N/A,#N/A,FALSE,"Cash Flows";#N/A,#N/A,FALSE,"Fixed Assets";#N/A,#N/A,FALSE,"Balance Sheet";#N/A,#N/A,FALSE,"P &amp; L"}</definedName>
    <definedName name="wrn25.elaborate" hidden="1">{#N/A,#N/A,FALSE,"Cash Flows";#N/A,#N/A,FALSE,"Fixed Assets";#N/A,#N/A,FALSE,"Balance Sheet";#N/A,#N/A,FALSE,"P &amp; L"}</definedName>
    <definedName name="wrn26.brief" localSheetId="8" hidden="1">{#N/A,#N/A,TRUE,"Summary";#N/A,#N/A,TRUE,"Balance Sheet";#N/A,#N/A,TRUE,"P &amp; L";#N/A,#N/A,TRUE,"Fixed Assets";#N/A,#N/A,TRUE,"Cash Flows"}</definedName>
    <definedName name="wrn26.brief" localSheetId="1" hidden="1">{#N/A,#N/A,TRUE,"Summary";#N/A,#N/A,TRUE,"Balance Sheet";#N/A,#N/A,TRUE,"P &amp; L";#N/A,#N/A,TRUE,"Fixed Assets";#N/A,#N/A,TRUE,"Cash Flows"}</definedName>
    <definedName name="wrn26.brief" hidden="1">{#N/A,#N/A,TRUE,"Summary";#N/A,#N/A,TRUE,"Balance Sheet";#N/A,#N/A,TRUE,"P &amp; L";#N/A,#N/A,TRUE,"Fixed Assets";#N/A,#N/A,TRUE,"Cash Flows"}</definedName>
    <definedName name="wrn27.elaborate" localSheetId="8" hidden="1">{#N/A,#N/A,FALSE,"Cash Flows";#N/A,#N/A,FALSE,"Fixed Assets";#N/A,#N/A,FALSE,"Balance Sheet";#N/A,#N/A,FALSE,"P &amp; L"}</definedName>
    <definedName name="wrn27.elaborate" localSheetId="1" hidden="1">{#N/A,#N/A,FALSE,"Cash Flows";#N/A,#N/A,FALSE,"Fixed Assets";#N/A,#N/A,FALSE,"Balance Sheet";#N/A,#N/A,FALSE,"P &amp; L"}</definedName>
    <definedName name="wrn27.elaborate" hidden="1">{#N/A,#N/A,FALSE,"Cash Flows";#N/A,#N/A,FALSE,"Fixed Assets";#N/A,#N/A,FALSE,"Balance Sheet";#N/A,#N/A,FALSE,"P &amp; L"}</definedName>
    <definedName name="wrn28.brief" localSheetId="8" hidden="1">{#N/A,#N/A,TRUE,"Summary";#N/A,#N/A,TRUE,"Balance Sheet";#N/A,#N/A,TRUE,"P &amp; L";#N/A,#N/A,TRUE,"Fixed Assets";#N/A,#N/A,TRUE,"Cash Flows"}</definedName>
    <definedName name="wrn28.brief" localSheetId="1" hidden="1">{#N/A,#N/A,TRUE,"Summary";#N/A,#N/A,TRUE,"Balance Sheet";#N/A,#N/A,TRUE,"P &amp; L";#N/A,#N/A,TRUE,"Fixed Assets";#N/A,#N/A,TRUE,"Cash Flows"}</definedName>
    <definedName name="wrn28.brief" hidden="1">{#N/A,#N/A,TRUE,"Summary";#N/A,#N/A,TRUE,"Balance Sheet";#N/A,#N/A,TRUE,"P &amp; L";#N/A,#N/A,TRUE,"Fixed Assets";#N/A,#N/A,TRUE,"Cash Flows"}</definedName>
    <definedName name="wrn29.brief" localSheetId="8" hidden="1">{#N/A,#N/A,TRUE,"Summary";#N/A,#N/A,TRUE,"Balance Sheet";#N/A,#N/A,TRUE,"P &amp; L";#N/A,#N/A,TRUE,"Fixed Assets";#N/A,#N/A,TRUE,"Cash Flows"}</definedName>
    <definedName name="wrn29.brief" localSheetId="1" hidden="1">{#N/A,#N/A,TRUE,"Summary";#N/A,#N/A,TRUE,"Balance Sheet";#N/A,#N/A,TRUE,"P &amp; L";#N/A,#N/A,TRUE,"Fixed Assets";#N/A,#N/A,TRUE,"Cash Flows"}</definedName>
    <definedName name="wrn29.brief" hidden="1">{#N/A,#N/A,TRUE,"Summary";#N/A,#N/A,TRUE,"Balance Sheet";#N/A,#N/A,TRUE,"P &amp; L";#N/A,#N/A,TRUE,"Fixed Assets";#N/A,#N/A,TRUE,"Cash Flows"}</definedName>
    <definedName name="wrn29.elaborate" localSheetId="8" hidden="1">{#N/A,#N/A,FALSE,"Cash Flows";#N/A,#N/A,FALSE,"Fixed Assets";#N/A,#N/A,FALSE,"Balance Sheet";#N/A,#N/A,FALSE,"P &amp; L"}</definedName>
    <definedName name="wrn29.elaborate" localSheetId="1" hidden="1">{#N/A,#N/A,FALSE,"Cash Flows";#N/A,#N/A,FALSE,"Fixed Assets";#N/A,#N/A,FALSE,"Balance Sheet";#N/A,#N/A,FALSE,"P &amp; L"}</definedName>
    <definedName name="wrn29.elaborate" hidden="1">{#N/A,#N/A,FALSE,"Cash Flows";#N/A,#N/A,FALSE,"Fixed Assets";#N/A,#N/A,FALSE,"Balance Sheet";#N/A,#N/A,FALSE,"P &amp; L"}</definedName>
    <definedName name="wrn3.brief" localSheetId="8" hidden="1">{#N/A,#N/A,TRUE,"Summary";#N/A,#N/A,TRUE,"Balance Sheet";#N/A,#N/A,TRUE,"P &amp; L";#N/A,#N/A,TRUE,"Fixed Assets";#N/A,#N/A,TRUE,"Cash Flows"}</definedName>
    <definedName name="wrn3.brief" localSheetId="1" hidden="1">{#N/A,#N/A,TRUE,"Summary";#N/A,#N/A,TRUE,"Balance Sheet";#N/A,#N/A,TRUE,"P &amp; L";#N/A,#N/A,TRUE,"Fixed Assets";#N/A,#N/A,TRUE,"Cash Flows"}</definedName>
    <definedName name="wrn3.brief" hidden="1">{#N/A,#N/A,TRUE,"Summary";#N/A,#N/A,TRUE,"Balance Sheet";#N/A,#N/A,TRUE,"P &amp; L";#N/A,#N/A,TRUE,"Fixed Assets";#N/A,#N/A,TRUE,"Cash Flows"}</definedName>
    <definedName name="wrn3.elaborate" localSheetId="8" hidden="1">{#N/A,#N/A,FALSE,"Cash Flows";#N/A,#N/A,FALSE,"Fixed Assets";#N/A,#N/A,FALSE,"Balance Sheet";#N/A,#N/A,FALSE,"P &amp; L"}</definedName>
    <definedName name="wrn3.elaborate" localSheetId="1" hidden="1">{#N/A,#N/A,FALSE,"Cash Flows";#N/A,#N/A,FALSE,"Fixed Assets";#N/A,#N/A,FALSE,"Balance Sheet";#N/A,#N/A,FALSE,"P &amp; L"}</definedName>
    <definedName name="wrn3.elaborate" hidden="1">{#N/A,#N/A,FALSE,"Cash Flows";#N/A,#N/A,FALSE,"Fixed Assets";#N/A,#N/A,FALSE,"Balance Sheet";#N/A,#N/A,FALSE,"P &amp; L"}</definedName>
    <definedName name="wrn4.brief" localSheetId="8" hidden="1">{#N/A,#N/A,FALSE,"Cash Flows";#N/A,#N/A,FALSE,"Fixed Assets";#N/A,#N/A,FALSE,"Balance Sheet";#N/A,#N/A,FALSE,"P &amp; L"}</definedName>
    <definedName name="wrn4.brief" localSheetId="1" hidden="1">{#N/A,#N/A,FALSE,"Cash Flows";#N/A,#N/A,FALSE,"Fixed Assets";#N/A,#N/A,FALSE,"Balance Sheet";#N/A,#N/A,FALSE,"P &amp; L"}</definedName>
    <definedName name="wrn4.brief" hidden="1">{#N/A,#N/A,FALSE,"Cash Flows";#N/A,#N/A,FALSE,"Fixed Assets";#N/A,#N/A,FALSE,"Balance Sheet";#N/A,#N/A,FALSE,"P &amp; L"}</definedName>
    <definedName name="wrn5.brief" localSheetId="8" hidden="1">{#N/A,#N/A,TRUE,"Summary";#N/A,#N/A,TRUE,"Balance Sheet";#N/A,#N/A,TRUE,"P &amp; L";#N/A,#N/A,TRUE,"Fixed Assets";#N/A,#N/A,TRUE,"Cash Flows"}</definedName>
    <definedName name="wrn5.brief" localSheetId="1" hidden="1">{#N/A,#N/A,TRUE,"Summary";#N/A,#N/A,TRUE,"Balance Sheet";#N/A,#N/A,TRUE,"P &amp; L";#N/A,#N/A,TRUE,"Fixed Assets";#N/A,#N/A,TRUE,"Cash Flows"}</definedName>
    <definedName name="wrn5.brief" hidden="1">{#N/A,#N/A,TRUE,"Summary";#N/A,#N/A,TRUE,"Balance Sheet";#N/A,#N/A,TRUE,"P &amp; L";#N/A,#N/A,TRUE,"Fixed Assets";#N/A,#N/A,TRUE,"Cash Flows"}</definedName>
    <definedName name="wrn6.elaborate" localSheetId="8" hidden="1">{#N/A,#N/A,FALSE,"Cash Flows";#N/A,#N/A,FALSE,"Fixed Assets";#N/A,#N/A,FALSE,"Balance Sheet";#N/A,#N/A,FALSE,"P &amp; L"}</definedName>
    <definedName name="wrn6.elaborate" localSheetId="1" hidden="1">{#N/A,#N/A,FALSE,"Cash Flows";#N/A,#N/A,FALSE,"Fixed Assets";#N/A,#N/A,FALSE,"Balance Sheet";#N/A,#N/A,FALSE,"P &amp; L"}</definedName>
    <definedName name="wrn6.elaborate" hidden="1">{#N/A,#N/A,FALSE,"Cash Flows";#N/A,#N/A,FALSE,"Fixed Assets";#N/A,#N/A,FALSE,"Balance Sheet";#N/A,#N/A,FALSE,"P &amp; L"}</definedName>
    <definedName name="wrn7.brief" localSheetId="8" hidden="1">{#N/A,#N/A,TRUE,"Summary";#N/A,#N/A,TRUE,"Balance Sheet";#N/A,#N/A,TRUE,"P &amp; L";#N/A,#N/A,TRUE,"Fixed Assets";#N/A,#N/A,TRUE,"Cash Flows"}</definedName>
    <definedName name="wrn7.brief" localSheetId="1" hidden="1">{#N/A,#N/A,TRUE,"Summary";#N/A,#N/A,TRUE,"Balance Sheet";#N/A,#N/A,TRUE,"P &amp; L";#N/A,#N/A,TRUE,"Fixed Assets";#N/A,#N/A,TRUE,"Cash Flows"}</definedName>
    <definedName name="wrn7.brief" hidden="1">{#N/A,#N/A,TRUE,"Summary";#N/A,#N/A,TRUE,"Balance Sheet";#N/A,#N/A,TRUE,"P &amp; L";#N/A,#N/A,TRUE,"Fixed Assets";#N/A,#N/A,TRUE,"Cash Flows"}</definedName>
    <definedName name="wrn8.brief" localSheetId="8" hidden="1">{#N/A,#N/A,TRUE,"Summary";#N/A,#N/A,TRUE,"Balance Sheet";#N/A,#N/A,TRUE,"P &amp; L";#N/A,#N/A,TRUE,"Fixed Assets";#N/A,#N/A,TRUE,"Cash Flows"}</definedName>
    <definedName name="wrn8.brief" localSheetId="1" hidden="1">{#N/A,#N/A,TRUE,"Summary";#N/A,#N/A,TRUE,"Balance Sheet";#N/A,#N/A,TRUE,"P &amp; L";#N/A,#N/A,TRUE,"Fixed Assets";#N/A,#N/A,TRUE,"Cash Flows"}</definedName>
    <definedName name="wrn8.brief" hidden="1">{#N/A,#N/A,TRUE,"Summary";#N/A,#N/A,TRUE,"Balance Sheet";#N/A,#N/A,TRUE,"P &amp; L";#N/A,#N/A,TRUE,"Fixed Assets";#N/A,#N/A,TRUE,"Cash Flows"}</definedName>
    <definedName name="wrn8.elaborate" localSheetId="8" hidden="1">{#N/A,#N/A,FALSE,"Cash Flows";#N/A,#N/A,FALSE,"Fixed Assets";#N/A,#N/A,FALSE,"Balance Sheet";#N/A,#N/A,FALSE,"P &amp; L"}</definedName>
    <definedName name="wrn8.elaborate" localSheetId="1" hidden="1">{#N/A,#N/A,FALSE,"Cash Flows";#N/A,#N/A,FALSE,"Fixed Assets";#N/A,#N/A,FALSE,"Balance Sheet";#N/A,#N/A,FALSE,"P &amp; L"}</definedName>
    <definedName name="wrn8.elaborate" hidden="1">{#N/A,#N/A,FALSE,"Cash Flows";#N/A,#N/A,FALSE,"Fixed Assets";#N/A,#N/A,FALSE,"Balance Sheet";#N/A,#N/A,FALSE,"P &amp; L"}</definedName>
    <definedName name="wrn9.brief" localSheetId="8" hidden="1">{#N/A,#N/A,TRUE,"Summary";#N/A,#N/A,TRUE,"Balance Sheet";#N/A,#N/A,TRUE,"P &amp; L";#N/A,#N/A,TRUE,"Fixed Assets";#N/A,#N/A,TRUE,"Cash Flows"}</definedName>
    <definedName name="wrn9.brief" localSheetId="1" hidden="1">{#N/A,#N/A,TRUE,"Summary";#N/A,#N/A,TRUE,"Balance Sheet";#N/A,#N/A,TRUE,"P &amp; L";#N/A,#N/A,TRUE,"Fixed Assets";#N/A,#N/A,TRUE,"Cash Flows"}</definedName>
    <definedName name="wrn9.brief" hidden="1">{#N/A,#N/A,TRUE,"Summary";#N/A,#N/A,TRUE,"Balance Sheet";#N/A,#N/A,TRUE,"P &amp; L";#N/A,#N/A,TRUE,"Fixed Assets";#N/A,#N/A,TRUE,"Cash Flows"}</definedName>
    <definedName name="wrn9.elaborate" localSheetId="8" hidden="1">{#N/A,#N/A,FALSE,"Cash Flows";#N/A,#N/A,FALSE,"Fixed Assets";#N/A,#N/A,FALSE,"Balance Sheet";#N/A,#N/A,FALSE,"P &amp; L"}</definedName>
    <definedName name="wrn9.elaborate" localSheetId="1" hidden="1">{#N/A,#N/A,FALSE,"Cash Flows";#N/A,#N/A,FALSE,"Fixed Assets";#N/A,#N/A,FALSE,"Balance Sheet";#N/A,#N/A,FALSE,"P &amp; L"}</definedName>
    <definedName name="wrn9.elaborate" hidden="1">{#N/A,#N/A,FALSE,"Cash Flows";#N/A,#N/A,FALSE,"Fixed Assets";#N/A,#N/A,FALSE,"Balance Sheet";#N/A,#N/A,FALSE,"P &amp; L"}</definedName>
    <definedName name="wwwwwwww" localSheetId="8" hidden="1">{#N/A,#N/A,FALSE,"Cash Flows";#N/A,#N/A,FALSE,"Fixed Assets";#N/A,#N/A,FALSE,"Balance Sheet";#N/A,#N/A,FALSE,"P &amp; L"}</definedName>
    <definedName name="wwwwwwww" localSheetId="1" hidden="1">{#N/A,#N/A,FALSE,"Cash Flows";#N/A,#N/A,FALSE,"Fixed Assets";#N/A,#N/A,FALSE,"Balance Sheet";#N/A,#N/A,FALSE,"P &amp; L"}</definedName>
    <definedName name="wwwwwwww" hidden="1">{#N/A,#N/A,FALSE,"Cash Flows";#N/A,#N/A,FALSE,"Fixed Assets";#N/A,#N/A,FALSE,"Balance Sheet";#N/A,#N/A,FALSE,"P &amp; L"}</definedName>
    <definedName name="xyz" localSheetId="8" hidden="1">{#N/A,#N/A,FALSE,"Cash Flows";#N/A,#N/A,FALSE,"Fixed Assets";#N/A,#N/A,FALSE,"Balance Sheet";#N/A,#N/A,FALSE,"P &amp; L"}</definedName>
    <definedName name="xyz" localSheetId="1" hidden="1">{#N/A,#N/A,FALSE,"Cash Flows";#N/A,#N/A,FALSE,"Fixed Assets";#N/A,#N/A,FALSE,"Balance Sheet";#N/A,#N/A,FALSE,"P &amp; L"}</definedName>
    <definedName name="xyz" hidden="1">{#N/A,#N/A,FALSE,"Cash Flows";#N/A,#N/A,FALSE,"Fixed Assets";#N/A,#N/A,FALSE,"Balance Sheet";#N/A,#N/A,FALSE,"P &amp; L"}</definedName>
    <definedName name="Z_26F1B120_222F_11D7_91EB_0050BA7F1DA7_.wvu.FilterData" localSheetId="8" hidden="1">#REF!</definedName>
    <definedName name="Z_26F1B120_222F_11D7_91EB_0050BA7F1DA7_.wvu.FilterData" localSheetId="7" hidden="1">#REF!</definedName>
    <definedName name="Z_26F1B120_222F_11D7_91EB_0050BA7F1DA7_.wvu.FilterData" hidden="1">#REF!</definedName>
  </definedNames>
  <calcPr calcId="162913"/>
</workbook>
</file>

<file path=xl/calcChain.xml><?xml version="1.0" encoding="utf-8"?>
<calcChain xmlns="http://schemas.openxmlformats.org/spreadsheetml/2006/main">
  <c r="C56" i="35" l="1"/>
  <c r="C55" i="35"/>
  <c r="C49" i="35"/>
  <c r="C45" i="35"/>
  <c r="C39" i="35"/>
  <c r="C40" i="35" s="1"/>
  <c r="C41" i="35" s="1"/>
  <c r="C32" i="35"/>
  <c r="C29" i="35"/>
  <c r="C31" i="35" s="1"/>
  <c r="C16" i="35"/>
  <c r="C14" i="35"/>
  <c r="C35" i="35" l="1"/>
  <c r="C50" i="35" s="1"/>
  <c r="C52" i="35" s="1"/>
  <c r="C37" i="35" l="1"/>
  <c r="K15" i="2"/>
  <c r="K19" i="2"/>
  <c r="K18" i="2"/>
  <c r="K17" i="2"/>
  <c r="K16" i="2"/>
  <c r="D55" i="31" l="1"/>
  <c r="G46" i="31"/>
  <c r="G45" i="31"/>
  <c r="G44" i="31"/>
  <c r="G43" i="31"/>
  <c r="G42" i="31"/>
  <c r="G41" i="31"/>
  <c r="G40" i="31"/>
  <c r="G39" i="31"/>
  <c r="G38" i="31"/>
  <c r="G37" i="31"/>
  <c r="C19" i="31"/>
  <c r="C23" i="31" s="1"/>
  <c r="D17" i="31"/>
  <c r="D20" i="31" s="1"/>
  <c r="C17" i="31"/>
  <c r="D21" i="31" s="1"/>
  <c r="C20" i="31" l="1"/>
  <c r="E48" i="31"/>
  <c r="E47" i="31"/>
  <c r="G47" i="31" s="1"/>
  <c r="C26" i="31"/>
  <c r="C29" i="31" s="1"/>
  <c r="C31" i="31" s="1"/>
  <c r="D52" i="31" s="1"/>
  <c r="G50" i="31"/>
  <c r="D53" i="31" s="1"/>
  <c r="E20" i="31"/>
  <c r="C21" i="31"/>
  <c r="E21" i="31" s="1"/>
  <c r="D54" i="31" l="1"/>
  <c r="D56" i="31"/>
  <c r="D59" i="31"/>
  <c r="D58" i="31"/>
  <c r="D57" i="31"/>
  <c r="G23" i="2" l="1"/>
  <c r="J16" i="2" l="1"/>
  <c r="J36" i="2" s="1"/>
  <c r="F36" i="2"/>
  <c r="D100" i="28" l="1"/>
  <c r="D102" i="28" s="1"/>
  <c r="C16" i="34" l="1"/>
  <c r="C15" i="34"/>
  <c r="G196" i="31" l="1"/>
  <c r="G197" i="31"/>
  <c r="G198" i="31"/>
  <c r="G195" i="31"/>
  <c r="D22" i="34" l="1"/>
  <c r="E22" i="34" s="1"/>
  <c r="D21" i="34"/>
  <c r="E21" i="34" s="1"/>
  <c r="D20" i="34"/>
  <c r="E20" i="34" s="1"/>
  <c r="J81" i="34"/>
  <c r="J83" i="34" s="1"/>
  <c r="C80" i="34"/>
  <c r="C77" i="34"/>
  <c r="J75" i="34"/>
  <c r="J77" i="34" s="1"/>
  <c r="C74" i="34"/>
  <c r="D25" i="34"/>
  <c r="C84" i="34" l="1"/>
  <c r="G17" i="2" l="1"/>
  <c r="C170" i="31"/>
  <c r="C120" i="31"/>
  <c r="G152" i="31"/>
  <c r="G179" i="31"/>
  <c r="I179" i="31" s="1"/>
  <c r="I178" i="31"/>
  <c r="J178" i="31" s="1"/>
  <c r="C178" i="31"/>
  <c r="C176" i="31"/>
  <c r="C186" i="31" l="1"/>
  <c r="F129" i="31"/>
  <c r="I127" i="31"/>
  <c r="H127" i="31"/>
  <c r="C84" i="31"/>
  <c r="C184" i="31" l="1"/>
  <c r="C181" i="31"/>
  <c r="C183" i="31" s="1"/>
  <c r="C185" i="31" l="1"/>
  <c r="C210" i="31"/>
  <c r="G205" i="31"/>
  <c r="I201" i="31"/>
  <c r="C213" i="31" s="1"/>
  <c r="H201" i="31"/>
  <c r="C212" i="31" s="1"/>
  <c r="G199" i="31"/>
  <c r="H189" i="31"/>
  <c r="C211" i="31" l="1"/>
  <c r="C187" i="31"/>
  <c r="C208" i="31"/>
  <c r="C207" i="31" l="1"/>
  <c r="C214" i="31" s="1"/>
  <c r="C209" i="31" l="1"/>
  <c r="C217" i="31" s="1"/>
  <c r="C158" i="31" l="1"/>
  <c r="G151" i="31"/>
  <c r="G153" i="31" s="1"/>
  <c r="I149" i="31"/>
  <c r="H149" i="31"/>
  <c r="G146" i="31"/>
  <c r="G145" i="31"/>
  <c r="G144" i="31"/>
  <c r="G143" i="31"/>
  <c r="H137" i="31"/>
  <c r="C159" i="31" s="1"/>
  <c r="C107" i="31"/>
  <c r="D19" i="2"/>
  <c r="D18" i="2"/>
  <c r="D17" i="2"/>
  <c r="D16" i="2"/>
  <c r="D15" i="2"/>
  <c r="C19" i="2"/>
  <c r="C18" i="2"/>
  <c r="C17" i="2"/>
  <c r="C16" i="2"/>
  <c r="E19" i="2"/>
  <c r="E17" i="2"/>
  <c r="G98" i="31"/>
  <c r="G97" i="31"/>
  <c r="G96" i="31"/>
  <c r="G95" i="31"/>
  <c r="E16" i="2"/>
  <c r="C109" i="31" l="1"/>
  <c r="C108" i="31"/>
  <c r="G101" i="31"/>
  <c r="C104" i="31" s="1"/>
  <c r="C111" i="31" s="1"/>
  <c r="C127" i="31"/>
  <c r="G147" i="31"/>
  <c r="C156" i="31" s="1"/>
  <c r="C160" i="31"/>
  <c r="C161" i="31"/>
  <c r="E18" i="2"/>
  <c r="C86" i="31"/>
  <c r="C89" i="31" s="1"/>
  <c r="C90" i="31" s="1"/>
  <c r="G15" i="2"/>
  <c r="F17" i="2" l="1"/>
  <c r="C103" i="31"/>
  <c r="F16" i="2"/>
  <c r="F19" i="2"/>
  <c r="C163" i="31"/>
  <c r="H17" i="2"/>
  <c r="I19" i="2" l="1"/>
  <c r="I17" i="2"/>
  <c r="C105" i="31"/>
  <c r="C106" i="31"/>
  <c r="C130" i="31"/>
  <c r="C133" i="31" s="1"/>
  <c r="C135" i="31" s="1"/>
  <c r="C155" i="31" s="1"/>
  <c r="E15" i="2"/>
  <c r="F18" i="2"/>
  <c r="I18" i="2" s="1"/>
  <c r="C110" i="31"/>
  <c r="C112" i="31" s="1"/>
  <c r="G16" i="2" l="1"/>
  <c r="C113" i="31"/>
  <c r="C164" i="31"/>
  <c r="C162" i="31"/>
  <c r="C157" i="31"/>
  <c r="H16" i="2" l="1"/>
  <c r="I16" i="2" s="1"/>
  <c r="F15" i="2"/>
  <c r="C165" i="31"/>
  <c r="H15" i="2" l="1"/>
  <c r="I15" i="2" s="1"/>
  <c r="A36" i="2" l="1"/>
  <c r="G36" i="2" s="1"/>
  <c r="I36" i="2" s="1"/>
  <c r="J26" i="14"/>
  <c r="M26" i="14" s="1"/>
  <c r="B16" i="14" l="1"/>
  <c r="C7" i="28" l="1"/>
  <c r="E23" i="28"/>
  <c r="E57" i="28" s="1"/>
  <c r="C15" i="28"/>
  <c r="G15" i="28" s="1"/>
  <c r="C14" i="28"/>
  <c r="G14" i="28" s="1"/>
  <c r="C13" i="28"/>
  <c r="G13" i="28" s="1"/>
  <c r="C12" i="28"/>
  <c r="C8" i="28"/>
  <c r="U23" i="28" l="1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V23" i="28" l="1"/>
  <c r="W23" i="28" s="1"/>
  <c r="X23" i="28" s="1"/>
  <c r="Y23" i="28" s="1"/>
  <c r="Z23" i="28" s="1"/>
  <c r="AA23" i="28" s="1"/>
  <c r="AB23" i="28" s="1"/>
  <c r="AC23" i="28" s="1"/>
  <c r="AD23" i="28" s="1"/>
  <c r="AE23" i="28" s="1"/>
  <c r="AF23" i="28" s="1"/>
  <c r="C11" i="28"/>
  <c r="C10" i="28"/>
  <c r="C9" i="28"/>
  <c r="G9" i="28" s="1"/>
  <c r="C6" i="28"/>
  <c r="C4" i="28"/>
  <c r="E25" i="28" s="1"/>
  <c r="C18" i="12"/>
  <c r="D18" i="12" s="1"/>
  <c r="E18" i="12" s="1"/>
  <c r="B20" i="12" s="1"/>
  <c r="C20" i="12" s="1"/>
  <c r="D20" i="12" s="1"/>
  <c r="E20" i="12" l="1"/>
  <c r="B22" i="12" s="1"/>
  <c r="C22" i="12" s="1"/>
  <c r="D22" i="12" s="1"/>
  <c r="E22" i="12" s="1"/>
  <c r="E34" i="14"/>
  <c r="F23" i="28" l="1"/>
  <c r="G12" i="28"/>
  <c r="H6" i="28"/>
  <c r="H7" i="28" s="1"/>
  <c r="D6" i="28"/>
  <c r="G80" i="28" s="1"/>
  <c r="G5" i="28"/>
  <c r="V25" i="28" s="1"/>
  <c r="B5" i="28"/>
  <c r="B6" i="28" s="1"/>
  <c r="F4" i="28"/>
  <c r="C1" i="28"/>
  <c r="G1" i="28" s="1"/>
  <c r="F34" i="14"/>
  <c r="D34" i="14"/>
  <c r="C34" i="14"/>
  <c r="B32" i="14"/>
  <c r="B41" i="14" s="1"/>
  <c r="K31" i="14"/>
  <c r="L31" i="14" s="1"/>
  <c r="B31" i="14"/>
  <c r="M30" i="14"/>
  <c r="L30" i="14"/>
  <c r="M29" i="14"/>
  <c r="L29" i="14"/>
  <c r="M28" i="14"/>
  <c r="L28" i="14"/>
  <c r="M27" i="14"/>
  <c r="L27" i="14"/>
  <c r="L26" i="14"/>
  <c r="M25" i="14"/>
  <c r="L25" i="14"/>
  <c r="M24" i="14"/>
  <c r="L24" i="14"/>
  <c r="B20" i="14"/>
  <c r="J12" i="14"/>
  <c r="F5" i="28"/>
  <c r="E81" i="28"/>
  <c r="E77" i="28"/>
  <c r="E73" i="28"/>
  <c r="E69" i="28"/>
  <c r="E65" i="28"/>
  <c r="E61" i="28"/>
  <c r="E80" i="28"/>
  <c r="E76" i="28"/>
  <c r="E72" i="28"/>
  <c r="E68" i="28"/>
  <c r="E64" i="28"/>
  <c r="E60" i="28"/>
  <c r="E53" i="28"/>
  <c r="E59" i="28"/>
  <c r="E50" i="28"/>
  <c r="E48" i="28"/>
  <c r="E46" i="28"/>
  <c r="E43" i="28"/>
  <c r="E42" i="28"/>
  <c r="E40" i="28"/>
  <c r="E38" i="28"/>
  <c r="E36" i="28"/>
  <c r="E33" i="28"/>
  <c r="E31" i="28"/>
  <c r="E35" i="28"/>
  <c r="E29" i="28"/>
  <c r="E27" i="28"/>
  <c r="G4" i="28"/>
  <c r="U47" i="28" s="1"/>
  <c r="F60" i="28"/>
  <c r="F44" i="28"/>
  <c r="F28" i="28"/>
  <c r="F31" i="28"/>
  <c r="G30" i="28" l="1"/>
  <c r="G37" i="28"/>
  <c r="U39" i="28"/>
  <c r="G45" i="28"/>
  <c r="G53" i="28"/>
  <c r="B40" i="14"/>
  <c r="J14" i="14"/>
  <c r="G23" i="28"/>
  <c r="F57" i="28"/>
  <c r="G75" i="28"/>
  <c r="D7" i="28"/>
  <c r="H27" i="28" s="1"/>
  <c r="M31" i="14"/>
  <c r="M32" i="14" s="1"/>
  <c r="U49" i="28"/>
  <c r="G10" i="28"/>
  <c r="G8" i="28"/>
  <c r="F36" i="28"/>
  <c r="F52" i="28"/>
  <c r="F40" i="28"/>
  <c r="G25" i="28"/>
  <c r="G43" i="28"/>
  <c r="G64" i="28"/>
  <c r="G32" i="28"/>
  <c r="G49" i="28"/>
  <c r="G71" i="28"/>
  <c r="F61" i="28"/>
  <c r="F68" i="28"/>
  <c r="F69" i="28"/>
  <c r="F76" i="28"/>
  <c r="F48" i="28"/>
  <c r="F77" i="28"/>
  <c r="G28" i="28"/>
  <c r="G34" i="28"/>
  <c r="G40" i="28"/>
  <c r="G51" i="28"/>
  <c r="G72" i="28"/>
  <c r="G79" i="28"/>
  <c r="G26" i="28"/>
  <c r="G39" i="28"/>
  <c r="G47" i="28"/>
  <c r="G60" i="28"/>
  <c r="G63" i="28"/>
  <c r="G76" i="28"/>
  <c r="G67" i="28"/>
  <c r="G83" i="28"/>
  <c r="G68" i="28"/>
  <c r="G59" i="28"/>
  <c r="F34" i="28"/>
  <c r="F35" i="28"/>
  <c r="F47" i="28"/>
  <c r="F59" i="28"/>
  <c r="F75" i="28"/>
  <c r="F66" i="28"/>
  <c r="F82" i="28"/>
  <c r="F26" i="28"/>
  <c r="F39" i="28"/>
  <c r="F43" i="28"/>
  <c r="F51" i="28"/>
  <c r="F67" i="28"/>
  <c r="F83" i="28"/>
  <c r="F74" i="28"/>
  <c r="C2" i="28"/>
  <c r="H39" i="28"/>
  <c r="H67" i="28"/>
  <c r="H46" i="28"/>
  <c r="H64" i="28"/>
  <c r="H52" i="28"/>
  <c r="H41" i="28"/>
  <c r="G7" i="28"/>
  <c r="H26" i="28"/>
  <c r="H43" i="28"/>
  <c r="H28" i="28"/>
  <c r="H29" i="28"/>
  <c r="U43" i="28"/>
  <c r="U51" i="28"/>
  <c r="U29" i="28"/>
  <c r="U54" i="28"/>
  <c r="U40" i="28"/>
  <c r="U38" i="28"/>
  <c r="U26" i="28"/>
  <c r="U53" i="28"/>
  <c r="U44" i="28"/>
  <c r="U35" i="28"/>
  <c r="U27" i="28"/>
  <c r="V48" i="28"/>
  <c r="V40" i="28"/>
  <c r="V31" i="28"/>
  <c r="H8" i="28"/>
  <c r="H65" i="28"/>
  <c r="H69" i="28"/>
  <c r="U32" i="28"/>
  <c r="F27" i="28"/>
  <c r="F32" i="28"/>
  <c r="F37" i="28"/>
  <c r="F29" i="28"/>
  <c r="F41" i="28"/>
  <c r="F45" i="28"/>
  <c r="F49" i="28"/>
  <c r="F53" i="28"/>
  <c r="F63" i="28"/>
  <c r="F71" i="28"/>
  <c r="F79" i="28"/>
  <c r="F62" i="28"/>
  <c r="F70" i="28"/>
  <c r="F78" i="28"/>
  <c r="F25" i="28"/>
  <c r="F33" i="28"/>
  <c r="F38" i="28"/>
  <c r="F30" i="28"/>
  <c r="F42" i="28"/>
  <c r="F46" i="28"/>
  <c r="F50" i="28"/>
  <c r="F54" i="28"/>
  <c r="F65" i="28"/>
  <c r="F73" i="28"/>
  <c r="F81" i="28"/>
  <c r="F64" i="28"/>
  <c r="F72" i="28"/>
  <c r="F80" i="28"/>
  <c r="B26" i="14"/>
  <c r="B39" i="14" s="1"/>
  <c r="V53" i="28"/>
  <c r="V47" i="28"/>
  <c r="V49" i="28"/>
  <c r="V30" i="28"/>
  <c r="V26" i="28"/>
  <c r="V27" i="28"/>
  <c r="V39" i="28"/>
  <c r="V54" i="28"/>
  <c r="V43" i="28"/>
  <c r="V44" i="28"/>
  <c r="V51" i="28"/>
  <c r="V41" i="28"/>
  <c r="V32" i="28"/>
  <c r="V28" i="28"/>
  <c r="V38" i="28"/>
  <c r="V42" i="28"/>
  <c r="V50" i="28"/>
  <c r="V29" i="28"/>
  <c r="V36" i="28"/>
  <c r="V45" i="28"/>
  <c r="V35" i="28"/>
  <c r="V33" i="28"/>
  <c r="V52" i="28"/>
  <c r="V46" i="28"/>
  <c r="V34" i="28"/>
  <c r="V37" i="28"/>
  <c r="G11" i="28"/>
  <c r="H48" i="28"/>
  <c r="H44" i="28"/>
  <c r="H76" i="28"/>
  <c r="H31" i="28"/>
  <c r="H45" i="28"/>
  <c r="H30" i="28"/>
  <c r="H63" i="28"/>
  <c r="E79" i="28"/>
  <c r="E71" i="28"/>
  <c r="E63" i="28"/>
  <c r="E78" i="28"/>
  <c r="E70" i="28"/>
  <c r="E62" i="28"/>
  <c r="E52" i="28"/>
  <c r="E49" i="28"/>
  <c r="E44" i="28"/>
  <c r="E41" i="28"/>
  <c r="E37" i="28"/>
  <c r="E32" i="28"/>
  <c r="E30" i="28"/>
  <c r="E26" i="28"/>
  <c r="E83" i="28"/>
  <c r="E75" i="28"/>
  <c r="E67" i="28"/>
  <c r="E82" i="28"/>
  <c r="E74" i="28"/>
  <c r="E66" i="28"/>
  <c r="E54" i="28"/>
  <c r="E51" i="28"/>
  <c r="E47" i="28"/>
  <c r="E45" i="28"/>
  <c r="E39" i="28"/>
  <c r="E34" i="28"/>
  <c r="E28" i="28"/>
  <c r="G6" i="28"/>
  <c r="G77" i="28"/>
  <c r="G69" i="28"/>
  <c r="G61" i="28"/>
  <c r="G78" i="28"/>
  <c r="G70" i="28"/>
  <c r="G62" i="28"/>
  <c r="G52" i="28"/>
  <c r="G48" i="28"/>
  <c r="G42" i="28"/>
  <c r="G41" i="28"/>
  <c r="G36" i="28"/>
  <c r="G31" i="28"/>
  <c r="G29" i="28"/>
  <c r="G81" i="28"/>
  <c r="G73" i="28"/>
  <c r="G65" i="28"/>
  <c r="G82" i="28"/>
  <c r="G74" i="28"/>
  <c r="G66" i="28"/>
  <c r="G54" i="28"/>
  <c r="G50" i="28"/>
  <c r="G46" i="28"/>
  <c r="G44" i="28"/>
  <c r="G38" i="28"/>
  <c r="G33" i="28"/>
  <c r="G35" i="28"/>
  <c r="G27" i="28"/>
  <c r="U52" i="28"/>
  <c r="U45" i="28"/>
  <c r="U41" i="28"/>
  <c r="U50" i="28"/>
  <c r="U36" i="28"/>
  <c r="U30" i="28"/>
  <c r="U31" i="28"/>
  <c r="U25" i="28"/>
  <c r="U48" i="28"/>
  <c r="U42" i="28"/>
  <c r="U46" i="28"/>
  <c r="U34" i="28"/>
  <c r="U33" i="28"/>
  <c r="U28" i="28"/>
  <c r="U37" i="28"/>
  <c r="B7" i="28"/>
  <c r="F6" i="28"/>
  <c r="H78" i="28" l="1"/>
  <c r="H66" i="28"/>
  <c r="H54" i="28"/>
  <c r="H79" i="28"/>
  <c r="H75" i="28"/>
  <c r="H33" i="28"/>
  <c r="H60" i="28"/>
  <c r="H50" i="28"/>
  <c r="H70" i="28"/>
  <c r="H25" i="28"/>
  <c r="H77" i="28"/>
  <c r="H35" i="28"/>
  <c r="H38" i="28"/>
  <c r="H37" i="28"/>
  <c r="H73" i="28"/>
  <c r="H71" i="28"/>
  <c r="H59" i="28"/>
  <c r="H72" i="28"/>
  <c r="H49" i="28"/>
  <c r="H36" i="28"/>
  <c r="H83" i="28"/>
  <c r="H61" i="28"/>
  <c r="H51" i="28"/>
  <c r="H34" i="28"/>
  <c r="H47" i="28"/>
  <c r="H32" i="28"/>
  <c r="H82" i="28"/>
  <c r="Y35" i="28"/>
  <c r="H62" i="28"/>
  <c r="H68" i="28"/>
  <c r="H81" i="28"/>
  <c r="D8" i="28"/>
  <c r="H42" i="28"/>
  <c r="H80" i="28"/>
  <c r="H53" i="28"/>
  <c r="H40" i="28"/>
  <c r="H74" i="28"/>
  <c r="H23" i="28"/>
  <c r="G57" i="28"/>
  <c r="Y37" i="28"/>
  <c r="Y54" i="28"/>
  <c r="Y51" i="28"/>
  <c r="Y41" i="28"/>
  <c r="Y33" i="28"/>
  <c r="Y48" i="28"/>
  <c r="Y45" i="28"/>
  <c r="Y27" i="28"/>
  <c r="Y43" i="28"/>
  <c r="Y25" i="28"/>
  <c r="Y50" i="28"/>
  <c r="Y26" i="28"/>
  <c r="Y30" i="28"/>
  <c r="Y40" i="28"/>
  <c r="Y28" i="28"/>
  <c r="Y29" i="28"/>
  <c r="Y52" i="28"/>
  <c r="Y36" i="28"/>
  <c r="Y53" i="28"/>
  <c r="Y38" i="28"/>
  <c r="Y31" i="28"/>
  <c r="H9" i="28"/>
  <c r="Z51" i="28" s="1"/>
  <c r="Y39" i="28"/>
  <c r="Y47" i="28"/>
  <c r="Y46" i="28"/>
  <c r="Y32" i="28"/>
  <c r="Y44" i="28"/>
  <c r="Y34" i="28"/>
  <c r="Y42" i="28"/>
  <c r="Y49" i="28"/>
  <c r="X53" i="28"/>
  <c r="X34" i="28"/>
  <c r="X52" i="28"/>
  <c r="X26" i="28"/>
  <c r="X30" i="28"/>
  <c r="X29" i="28"/>
  <c r="X42" i="28"/>
  <c r="X32" i="28"/>
  <c r="X43" i="28"/>
  <c r="X28" i="28"/>
  <c r="X39" i="28"/>
  <c r="X50" i="28"/>
  <c r="X44" i="28"/>
  <c r="X27" i="28"/>
  <c r="X40" i="28"/>
  <c r="X35" i="28"/>
  <c r="X36" i="28"/>
  <c r="X25" i="28"/>
  <c r="X48" i="28"/>
  <c r="X33" i="28"/>
  <c r="X47" i="28"/>
  <c r="X31" i="28"/>
  <c r="X37" i="28"/>
  <c r="X45" i="28"/>
  <c r="X41" i="28"/>
  <c r="X38" i="28"/>
  <c r="X51" i="28"/>
  <c r="X46" i="28"/>
  <c r="X49" i="28"/>
  <c r="X54" i="28"/>
  <c r="W52" i="28"/>
  <c r="W43" i="28"/>
  <c r="W36" i="28"/>
  <c r="W26" i="28"/>
  <c r="W46" i="28"/>
  <c r="W35" i="28"/>
  <c r="W25" i="28"/>
  <c r="W39" i="28"/>
  <c r="W47" i="28"/>
  <c r="W53" i="28"/>
  <c r="W33" i="28"/>
  <c r="W41" i="28"/>
  <c r="W50" i="28"/>
  <c r="W29" i="28"/>
  <c r="W31" i="28"/>
  <c r="W42" i="28"/>
  <c r="W40" i="28"/>
  <c r="W30" i="28"/>
  <c r="W27" i="28"/>
  <c r="W54" i="28"/>
  <c r="W38" i="28"/>
  <c r="W44" i="28"/>
  <c r="W28" i="28"/>
  <c r="W45" i="28"/>
  <c r="W32" i="28"/>
  <c r="W51" i="28"/>
  <c r="W37" i="28"/>
  <c r="W34" i="28"/>
  <c r="W48" i="28"/>
  <c r="W49" i="28"/>
  <c r="G2" i="28"/>
  <c r="B8" i="28"/>
  <c r="F7" i="28"/>
  <c r="Z29" i="28"/>
  <c r="Z33" i="28"/>
  <c r="Z45" i="28"/>
  <c r="Z32" i="28" l="1"/>
  <c r="Z35" i="28"/>
  <c r="Z44" i="28"/>
  <c r="Z40" i="28"/>
  <c r="Z47" i="28"/>
  <c r="Z52" i="28"/>
  <c r="Z26" i="28"/>
  <c r="Z41" i="28"/>
  <c r="Z36" i="28"/>
  <c r="Z43" i="28"/>
  <c r="Z50" i="28"/>
  <c r="I23" i="28"/>
  <c r="H57" i="28"/>
  <c r="I36" i="28"/>
  <c r="I46" i="28"/>
  <c r="I26" i="28"/>
  <c r="D9" i="28"/>
  <c r="I39" i="28"/>
  <c r="I53" i="28"/>
  <c r="I54" i="28"/>
  <c r="I45" i="28"/>
  <c r="I29" i="28"/>
  <c r="I80" i="28"/>
  <c r="I76" i="28"/>
  <c r="I72" i="28"/>
  <c r="I68" i="28"/>
  <c r="I64" i="28"/>
  <c r="I60" i="28"/>
  <c r="I59" i="28"/>
  <c r="I33" i="28"/>
  <c r="I50" i="28"/>
  <c r="I47" i="28"/>
  <c r="I38" i="28"/>
  <c r="I52" i="28"/>
  <c r="I28" i="28"/>
  <c r="I41" i="28"/>
  <c r="I30" i="28"/>
  <c r="I27" i="28"/>
  <c r="I83" i="28"/>
  <c r="I79" i="28"/>
  <c r="I75" i="28"/>
  <c r="I71" i="28"/>
  <c r="I67" i="28"/>
  <c r="I63" i="28"/>
  <c r="I31" i="28"/>
  <c r="I77" i="28"/>
  <c r="I65" i="28"/>
  <c r="I35" i="28"/>
  <c r="I40" i="28"/>
  <c r="I42" i="28"/>
  <c r="I25" i="28"/>
  <c r="I34" i="28"/>
  <c r="I49" i="28"/>
  <c r="I44" i="28"/>
  <c r="I48" i="28"/>
  <c r="I82" i="28"/>
  <c r="I78" i="28"/>
  <c r="I74" i="28"/>
  <c r="I70" i="28"/>
  <c r="I66" i="28"/>
  <c r="I62" i="28"/>
  <c r="I37" i="28"/>
  <c r="I32" i="28"/>
  <c r="I43" i="28"/>
  <c r="I51" i="28"/>
  <c r="I81" i="28"/>
  <c r="I73" i="28"/>
  <c r="I69" i="28"/>
  <c r="I61" i="28"/>
  <c r="H10" i="28"/>
  <c r="Z49" i="28"/>
  <c r="Z54" i="28"/>
  <c r="Z28" i="28"/>
  <c r="Z34" i="28"/>
  <c r="Z42" i="28"/>
  <c r="Z25" i="28"/>
  <c r="Z38" i="28"/>
  <c r="Z31" i="28"/>
  <c r="Z46" i="28"/>
  <c r="Z27" i="28"/>
  <c r="Z39" i="28"/>
  <c r="Z53" i="28"/>
  <c r="Z30" i="28"/>
  <c r="Z48" i="28"/>
  <c r="Z37" i="28"/>
  <c r="B9" i="28"/>
  <c r="F8" i="28"/>
  <c r="B19" i="14"/>
  <c r="J38" i="28" l="1"/>
  <c r="J62" i="28"/>
  <c r="J44" i="28"/>
  <c r="J71" i="28"/>
  <c r="J43" i="28"/>
  <c r="J26" i="28"/>
  <c r="J60" i="28"/>
  <c r="J70" i="28"/>
  <c r="J77" i="28"/>
  <c r="J59" i="28"/>
  <c r="J50" i="28"/>
  <c r="J68" i="28"/>
  <c r="J75" i="28"/>
  <c r="J73" i="28"/>
  <c r="J76" i="28"/>
  <c r="J65" i="28"/>
  <c r="J54" i="28"/>
  <c r="J31" i="28"/>
  <c r="J82" i="28"/>
  <c r="J51" i="28"/>
  <c r="J28" i="28"/>
  <c r="J29" i="28"/>
  <c r="J32" i="28"/>
  <c r="J25" i="28"/>
  <c r="J83" i="28"/>
  <c r="J33" i="28"/>
  <c r="J53" i="28"/>
  <c r="J63" i="28"/>
  <c r="J48" i="28"/>
  <c r="J35" i="28"/>
  <c r="J79" i="28"/>
  <c r="J61" i="28"/>
  <c r="J47" i="28"/>
  <c r="J30" i="28"/>
  <c r="J45" i="28"/>
  <c r="J66" i="28"/>
  <c r="J42" i="28"/>
  <c r="J80" i="28"/>
  <c r="J52" i="28"/>
  <c r="J81" i="28"/>
  <c r="J69" i="28"/>
  <c r="J39" i="28"/>
  <c r="J41" i="28"/>
  <c r="J36" i="28"/>
  <c r="J72" i="28"/>
  <c r="J49" i="28"/>
  <c r="J40" i="28"/>
  <c r="J34" i="28"/>
  <c r="J46" i="28"/>
  <c r="J67" i="28"/>
  <c r="J74" i="28"/>
  <c r="J27" i="28"/>
  <c r="J64" i="28"/>
  <c r="J37" i="28"/>
  <c r="D10" i="28"/>
  <c r="J78" i="28"/>
  <c r="J23" i="28"/>
  <c r="I57" i="28"/>
  <c r="AA30" i="28"/>
  <c r="AA35" i="28"/>
  <c r="AA34" i="28"/>
  <c r="AA49" i="28"/>
  <c r="AA50" i="28"/>
  <c r="AA41" i="28"/>
  <c r="AA53" i="28"/>
  <c r="AA45" i="28"/>
  <c r="AA39" i="28"/>
  <c r="AA29" i="28"/>
  <c r="AA37" i="28"/>
  <c r="AA33" i="28"/>
  <c r="AA54" i="28"/>
  <c r="H11" i="28"/>
  <c r="H12" i="28" s="1"/>
  <c r="AA52" i="28"/>
  <c r="AA47" i="28"/>
  <c r="AA51" i="28"/>
  <c r="AA26" i="28"/>
  <c r="AA43" i="28"/>
  <c r="AA28" i="28"/>
  <c r="AA48" i="28"/>
  <c r="AA40" i="28"/>
  <c r="AA27" i="28"/>
  <c r="AA25" i="28"/>
  <c r="AA36" i="28"/>
  <c r="AA38" i="28"/>
  <c r="AA42" i="28"/>
  <c r="AA31" i="28"/>
  <c r="AA44" i="28"/>
  <c r="AA32" i="28"/>
  <c r="AA46" i="28"/>
  <c r="B27" i="14"/>
  <c r="B37" i="14"/>
  <c r="F9" i="28"/>
  <c r="B10" i="28"/>
  <c r="K23" i="28" l="1"/>
  <c r="J57" i="28"/>
  <c r="H13" i="28"/>
  <c r="AC47" i="28"/>
  <c r="AC34" i="28"/>
  <c r="AC44" i="28"/>
  <c r="AC27" i="28"/>
  <c r="AC46" i="28"/>
  <c r="AC29" i="28"/>
  <c r="AC36" i="28"/>
  <c r="AC45" i="28"/>
  <c r="AC30" i="28"/>
  <c r="AC39" i="28"/>
  <c r="AC54" i="28"/>
  <c r="AC42" i="28"/>
  <c r="AC52" i="28"/>
  <c r="AC32" i="28"/>
  <c r="AC51" i="28"/>
  <c r="AC41" i="28"/>
  <c r="AC26" i="28"/>
  <c r="AC35" i="28"/>
  <c r="AC50" i="28"/>
  <c r="AC37" i="28"/>
  <c r="AC43" i="28"/>
  <c r="AC28" i="28"/>
  <c r="AC49" i="28"/>
  <c r="AC38" i="28"/>
  <c r="AC53" i="28"/>
  <c r="AC31" i="28"/>
  <c r="AC48" i="28"/>
  <c r="AC33" i="28"/>
  <c r="AC40" i="28"/>
  <c r="AC25" i="28"/>
  <c r="K52" i="28"/>
  <c r="K50" i="28"/>
  <c r="K34" i="28"/>
  <c r="K29" i="28"/>
  <c r="K38" i="28"/>
  <c r="K63" i="28"/>
  <c r="K39" i="28"/>
  <c r="K26" i="28"/>
  <c r="K46" i="28"/>
  <c r="K82" i="28"/>
  <c r="K65" i="28"/>
  <c r="K73" i="28"/>
  <c r="K40" i="28"/>
  <c r="K74" i="28"/>
  <c r="K59" i="28"/>
  <c r="K51" i="28"/>
  <c r="K25" i="28"/>
  <c r="K32" i="28"/>
  <c r="K31" i="28"/>
  <c r="K33" i="28"/>
  <c r="K70" i="28"/>
  <c r="K54" i="28"/>
  <c r="K36" i="28"/>
  <c r="K30" i="28"/>
  <c r="K83" i="28"/>
  <c r="K41" i="28"/>
  <c r="K77" i="28"/>
  <c r="K62" i="28"/>
  <c r="K80" i="28"/>
  <c r="K60" i="28"/>
  <c r="K27" i="28"/>
  <c r="K45" i="28"/>
  <c r="K49" i="28"/>
  <c r="K78" i="28"/>
  <c r="K28" i="28"/>
  <c r="K42" i="28"/>
  <c r="K37" i="28"/>
  <c r="K64" i="28"/>
  <c r="K72" i="28"/>
  <c r="K53" i="28"/>
  <c r="K79" i="28"/>
  <c r="K44" i="28"/>
  <c r="K76" i="28"/>
  <c r="K81" i="28"/>
  <c r="K69" i="28"/>
  <c r="K71" i="28"/>
  <c r="K67" i="28"/>
  <c r="K68" i="28"/>
  <c r="K35" i="28"/>
  <c r="D11" i="28"/>
  <c r="K75" i="28"/>
  <c r="K47" i="28"/>
  <c r="K66" i="28"/>
  <c r="K48" i="28"/>
  <c r="K43" i="28"/>
  <c r="K61" i="28"/>
  <c r="AB36" i="28"/>
  <c r="AB45" i="28"/>
  <c r="AB32" i="28"/>
  <c r="AB35" i="28"/>
  <c r="AB46" i="28"/>
  <c r="AB37" i="28"/>
  <c r="AB25" i="28"/>
  <c r="AB47" i="28"/>
  <c r="AB48" i="28"/>
  <c r="AB29" i="28"/>
  <c r="AB39" i="28"/>
  <c r="AB26" i="28"/>
  <c r="AB54" i="28"/>
  <c r="AB34" i="28"/>
  <c r="AB44" i="28"/>
  <c r="AB49" i="28"/>
  <c r="AB52" i="28"/>
  <c r="AB42" i="28"/>
  <c r="AB51" i="28"/>
  <c r="AB38" i="28"/>
  <c r="AB30" i="28"/>
  <c r="AB53" i="28"/>
  <c r="AB40" i="28"/>
  <c r="AB33" i="28"/>
  <c r="AB28" i="28"/>
  <c r="AB41" i="28"/>
  <c r="AB50" i="28"/>
  <c r="AB43" i="28"/>
  <c r="AB27" i="28"/>
  <c r="AB31" i="28"/>
  <c r="B11" i="28"/>
  <c r="F10" i="28"/>
  <c r="B28" i="14"/>
  <c r="B38" i="14" s="1"/>
  <c r="D12" i="28" l="1"/>
  <c r="L47" i="28"/>
  <c r="L60" i="28"/>
  <c r="L46" i="28"/>
  <c r="L51" i="28"/>
  <c r="L52" i="28"/>
  <c r="L64" i="28"/>
  <c r="L79" i="28"/>
  <c r="L48" i="28"/>
  <c r="L53" i="28"/>
  <c r="L44" i="28"/>
  <c r="L67" i="28"/>
  <c r="L63" i="28"/>
  <c r="L78" i="28"/>
  <c r="L43" i="28"/>
  <c r="L28" i="28"/>
  <c r="L25" i="28"/>
  <c r="L31" i="28"/>
  <c r="L49" i="28"/>
  <c r="L54" i="28"/>
  <c r="L74" i="28"/>
  <c r="L66" i="28"/>
  <c r="L73" i="28"/>
  <c r="L77" i="28"/>
  <c r="L27" i="28"/>
  <c r="L70" i="28"/>
  <c r="L80" i="28"/>
  <c r="L30" i="28"/>
  <c r="L38" i="28"/>
  <c r="L34" i="28"/>
  <c r="L39" i="28"/>
  <c r="L59" i="28"/>
  <c r="L62" i="28"/>
  <c r="L72" i="28"/>
  <c r="L35" i="28"/>
  <c r="L69" i="28"/>
  <c r="L50" i="28"/>
  <c r="L71" i="28"/>
  <c r="L83" i="28"/>
  <c r="L42" i="28"/>
  <c r="L33" i="28"/>
  <c r="L81" i="28"/>
  <c r="L29" i="28"/>
  <c r="L75" i="28"/>
  <c r="L40" i="28"/>
  <c r="L76" i="28"/>
  <c r="L68" i="28"/>
  <c r="L37" i="28"/>
  <c r="L32" i="28"/>
  <c r="L36" i="28"/>
  <c r="L65" i="28"/>
  <c r="L26" i="28"/>
  <c r="L45" i="28"/>
  <c r="L82" i="28"/>
  <c r="L61" i="28"/>
  <c r="L41" i="28"/>
  <c r="H14" i="28"/>
  <c r="AD40" i="28"/>
  <c r="AD35" i="28"/>
  <c r="AD51" i="28"/>
  <c r="AD26" i="28"/>
  <c r="AD42" i="28"/>
  <c r="AD33" i="28"/>
  <c r="AD49" i="28"/>
  <c r="AD31" i="28"/>
  <c r="AD53" i="28"/>
  <c r="AD28" i="28"/>
  <c r="AD44" i="28"/>
  <c r="AD39" i="28"/>
  <c r="AD30" i="28"/>
  <c r="AD46" i="28"/>
  <c r="AD37" i="28"/>
  <c r="AD36" i="28"/>
  <c r="AD38" i="28"/>
  <c r="AD29" i="28"/>
  <c r="AD32" i="28"/>
  <c r="AD48" i="28"/>
  <c r="AD27" i="28"/>
  <c r="AD43" i="28"/>
  <c r="AD34" i="28"/>
  <c r="AD50" i="28"/>
  <c r="AD25" i="28"/>
  <c r="AD41" i="28"/>
  <c r="AD52" i="28"/>
  <c r="AD47" i="28"/>
  <c r="AD54" i="28"/>
  <c r="AD45" i="28"/>
  <c r="L23" i="28"/>
  <c r="K57" i="28"/>
  <c r="F11" i="28"/>
  <c r="B12" i="28"/>
  <c r="M23" i="28" l="1"/>
  <c r="L57" i="28"/>
  <c r="F12" i="28"/>
  <c r="B13" i="28"/>
  <c r="H15" i="28"/>
  <c r="AE25" i="28"/>
  <c r="AE33" i="28"/>
  <c r="AE41" i="28"/>
  <c r="AE49" i="28"/>
  <c r="AE28" i="28"/>
  <c r="AE36" i="28"/>
  <c r="AE44" i="28"/>
  <c r="AE52" i="28"/>
  <c r="AE42" i="28"/>
  <c r="AE54" i="28"/>
  <c r="AE27" i="28"/>
  <c r="AE35" i="28"/>
  <c r="AE43" i="28"/>
  <c r="AE51" i="28"/>
  <c r="AE30" i="28"/>
  <c r="AE38" i="28"/>
  <c r="AE46" i="28"/>
  <c r="AE29" i="28"/>
  <c r="AE37" i="28"/>
  <c r="AE45" i="28"/>
  <c r="AE53" i="28"/>
  <c r="AE32" i="28"/>
  <c r="AE40" i="28"/>
  <c r="AE48" i="28"/>
  <c r="AE31" i="28"/>
  <c r="AE39" i="28"/>
  <c r="AE47" i="28"/>
  <c r="AE26" i="28"/>
  <c r="AE34" i="28"/>
  <c r="AE50" i="28"/>
  <c r="D13" i="28"/>
  <c r="M29" i="28"/>
  <c r="M40" i="28"/>
  <c r="M33" i="28"/>
  <c r="M28" i="28"/>
  <c r="M69" i="28"/>
  <c r="M72" i="28"/>
  <c r="M73" i="28"/>
  <c r="M34" i="28"/>
  <c r="M35" i="28"/>
  <c r="M65" i="28"/>
  <c r="M47" i="28"/>
  <c r="M32" i="28"/>
  <c r="M83" i="28"/>
  <c r="M51" i="28"/>
  <c r="M27" i="28"/>
  <c r="M76" i="28"/>
  <c r="M64" i="28"/>
  <c r="M42" i="28"/>
  <c r="M70" i="28"/>
  <c r="M82" i="28"/>
  <c r="M45" i="28"/>
  <c r="M48" i="28"/>
  <c r="M30" i="28"/>
  <c r="M52" i="28"/>
  <c r="M37" i="28"/>
  <c r="M44" i="28"/>
  <c r="M31" i="28"/>
  <c r="M67" i="28"/>
  <c r="M71" i="28"/>
  <c r="M81" i="28"/>
  <c r="M74" i="28"/>
  <c r="M77" i="28"/>
  <c r="M63" i="28"/>
  <c r="M75" i="28"/>
  <c r="M79" i="28"/>
  <c r="M54" i="28"/>
  <c r="M43" i="28"/>
  <c r="M61" i="28"/>
  <c r="M53" i="28"/>
  <c r="M78" i="28"/>
  <c r="M66" i="28"/>
  <c r="M46" i="28"/>
  <c r="M68" i="28"/>
  <c r="M26" i="28"/>
  <c r="M60" i="28"/>
  <c r="M50" i="28"/>
  <c r="M62" i="28"/>
  <c r="M41" i="28"/>
  <c r="M59" i="28"/>
  <c r="M80" i="28"/>
  <c r="M39" i="28"/>
  <c r="M25" i="28"/>
  <c r="M49" i="28"/>
  <c r="M38" i="28"/>
  <c r="M36" i="28"/>
  <c r="AF50" i="28" l="1"/>
  <c r="AG50" i="28" s="1"/>
  <c r="AH50" i="28" s="1"/>
  <c r="AF38" i="28"/>
  <c r="AG38" i="28" s="1"/>
  <c r="AH38" i="28" s="1"/>
  <c r="AF34" i="28"/>
  <c r="AG34" i="28" s="1"/>
  <c r="AH34" i="28" s="1"/>
  <c r="AF54" i="28"/>
  <c r="AG54" i="28" s="1"/>
  <c r="AH54" i="28" s="1"/>
  <c r="AF29" i="28"/>
  <c r="AG29" i="28" s="1"/>
  <c r="AH29" i="28" s="1"/>
  <c r="AF37" i="28"/>
  <c r="AG37" i="28" s="1"/>
  <c r="AH37" i="28" s="1"/>
  <c r="AF45" i="28"/>
  <c r="AG45" i="28" s="1"/>
  <c r="AH45" i="28" s="1"/>
  <c r="AF53" i="28"/>
  <c r="AG53" i="28" s="1"/>
  <c r="AH53" i="28" s="1"/>
  <c r="AF42" i="28"/>
  <c r="AG42" i="28" s="1"/>
  <c r="AH42" i="28" s="1"/>
  <c r="AF40" i="28"/>
  <c r="AG40" i="28" s="1"/>
  <c r="AH40" i="28" s="1"/>
  <c r="AF31" i="28"/>
  <c r="AG31" i="28" s="1"/>
  <c r="AH31" i="28" s="1"/>
  <c r="AF39" i="28"/>
  <c r="AG39" i="28" s="1"/>
  <c r="AH39" i="28" s="1"/>
  <c r="AF47" i="28"/>
  <c r="AG47" i="28" s="1"/>
  <c r="AH47" i="28" s="1"/>
  <c r="AF30" i="28"/>
  <c r="AG30" i="28" s="1"/>
  <c r="AH30" i="28" s="1"/>
  <c r="AF28" i="28"/>
  <c r="AG28" i="28" s="1"/>
  <c r="AH28" i="28" s="1"/>
  <c r="AF46" i="28"/>
  <c r="AG46" i="28" s="1"/>
  <c r="AH46" i="28" s="1"/>
  <c r="AF44" i="28"/>
  <c r="AG44" i="28" s="1"/>
  <c r="AH44" i="28" s="1"/>
  <c r="AF25" i="28"/>
  <c r="AG25" i="28" s="1"/>
  <c r="AH25" i="28" s="1"/>
  <c r="AF33" i="28"/>
  <c r="AG33" i="28" s="1"/>
  <c r="AH33" i="28" s="1"/>
  <c r="AF41" i="28"/>
  <c r="AG41" i="28" s="1"/>
  <c r="AH41" i="28" s="1"/>
  <c r="AF49" i="28"/>
  <c r="AG49" i="28" s="1"/>
  <c r="AH49" i="28" s="1"/>
  <c r="AF36" i="28"/>
  <c r="AG36" i="28" s="1"/>
  <c r="AH36" i="28" s="1"/>
  <c r="AF32" i="28"/>
  <c r="AG32" i="28" s="1"/>
  <c r="AH32" i="28" s="1"/>
  <c r="AF52" i="28"/>
  <c r="AG52" i="28" s="1"/>
  <c r="AH52" i="28" s="1"/>
  <c r="AF26" i="28"/>
  <c r="AG26" i="28" s="1"/>
  <c r="AH26" i="28" s="1"/>
  <c r="AF48" i="28"/>
  <c r="AG48" i="28" s="1"/>
  <c r="AH48" i="28" s="1"/>
  <c r="AF27" i="28"/>
  <c r="AG27" i="28" s="1"/>
  <c r="AH27" i="28" s="1"/>
  <c r="AF35" i="28"/>
  <c r="AG35" i="28" s="1"/>
  <c r="AH35" i="28" s="1"/>
  <c r="AF43" i="28"/>
  <c r="AG43" i="28" s="1"/>
  <c r="AH43" i="28" s="1"/>
  <c r="AF51" i="28"/>
  <c r="AG51" i="28" s="1"/>
  <c r="AH51" i="28" s="1"/>
  <c r="N23" i="28"/>
  <c r="M57" i="28"/>
  <c r="D14" i="28"/>
  <c r="N36" i="28"/>
  <c r="N48" i="28"/>
  <c r="N37" i="28"/>
  <c r="N53" i="28"/>
  <c r="N26" i="28"/>
  <c r="N42" i="28"/>
  <c r="N31" i="28"/>
  <c r="N47" i="28"/>
  <c r="N46" i="28"/>
  <c r="N51" i="28"/>
  <c r="N83" i="28"/>
  <c r="N74" i="28"/>
  <c r="N69" i="28"/>
  <c r="N49" i="28"/>
  <c r="N54" i="28"/>
  <c r="N28" i="28"/>
  <c r="N25" i="28"/>
  <c r="N41" i="28"/>
  <c r="N30" i="28"/>
  <c r="N35" i="28"/>
  <c r="N52" i="28"/>
  <c r="N32" i="28"/>
  <c r="N38" i="28"/>
  <c r="N43" i="28"/>
  <c r="N40" i="28"/>
  <c r="N29" i="28"/>
  <c r="N45" i="28"/>
  <c r="N34" i="28"/>
  <c r="N50" i="28"/>
  <c r="N39" i="28"/>
  <c r="N67" i="28"/>
  <c r="N44" i="28"/>
  <c r="N33" i="28"/>
  <c r="N27" i="28"/>
  <c r="N60" i="28"/>
  <c r="N63" i="28"/>
  <c r="N81" i="28"/>
  <c r="N82" i="28"/>
  <c r="N71" i="28"/>
  <c r="N73" i="28"/>
  <c r="N70" i="28"/>
  <c r="N72" i="28"/>
  <c r="N61" i="28"/>
  <c r="N68" i="28"/>
  <c r="N75" i="28"/>
  <c r="N65" i="28"/>
  <c r="N80" i="28"/>
  <c r="N76" i="28"/>
  <c r="N62" i="28"/>
  <c r="N66" i="28"/>
  <c r="N79" i="28"/>
  <c r="N77" i="28"/>
  <c r="N64" i="28"/>
  <c r="N78" i="28"/>
  <c r="N59" i="28"/>
  <c r="B14" i="28"/>
  <c r="F13" i="28"/>
  <c r="D15" i="28" l="1"/>
  <c r="O32" i="28"/>
  <c r="O40" i="28"/>
  <c r="O48" i="28"/>
  <c r="O29" i="28"/>
  <c r="O37" i="28"/>
  <c r="O45" i="28"/>
  <c r="O53" i="28"/>
  <c r="O31" i="28"/>
  <c r="O47" i="28"/>
  <c r="O46" i="28"/>
  <c r="O35" i="28"/>
  <c r="O26" i="28"/>
  <c r="O34" i="28"/>
  <c r="O42" i="28"/>
  <c r="O50" i="28"/>
  <c r="O39" i="28"/>
  <c r="O30" i="28"/>
  <c r="O43" i="28"/>
  <c r="O28" i="28"/>
  <c r="O36" i="28"/>
  <c r="O44" i="28"/>
  <c r="O52" i="28"/>
  <c r="O25" i="28"/>
  <c r="O33" i="28"/>
  <c r="O41" i="28"/>
  <c r="O49" i="28"/>
  <c r="O38" i="28"/>
  <c r="O54" i="28"/>
  <c r="O27" i="28"/>
  <c r="O51" i="28"/>
  <c r="O80" i="28"/>
  <c r="O82" i="28"/>
  <c r="O60" i="28"/>
  <c r="O67" i="28"/>
  <c r="O75" i="28"/>
  <c r="O83" i="28"/>
  <c r="O64" i="28"/>
  <c r="O73" i="28"/>
  <c r="O81" i="28"/>
  <c r="O74" i="28"/>
  <c r="O72" i="28"/>
  <c r="O61" i="28"/>
  <c r="O69" i="28"/>
  <c r="O77" i="28"/>
  <c r="O76" i="28"/>
  <c r="O66" i="28"/>
  <c r="O78" i="28"/>
  <c r="O65" i="28"/>
  <c r="O62" i="28"/>
  <c r="O68" i="28"/>
  <c r="O70" i="28"/>
  <c r="O63" i="28"/>
  <c r="O71" i="28"/>
  <c r="O79" i="28"/>
  <c r="O59" i="28"/>
  <c r="O23" i="28"/>
  <c r="N57" i="28"/>
  <c r="F14" i="28"/>
  <c r="B15" i="28"/>
  <c r="F15" i="28" s="1"/>
  <c r="P23" i="28" l="1"/>
  <c r="P57" i="28" s="1"/>
  <c r="O57" i="28"/>
  <c r="P39" i="28"/>
  <c r="Q39" i="28" s="1"/>
  <c r="R39" i="28" s="1"/>
  <c r="AJ39" i="28" s="1"/>
  <c r="P35" i="28"/>
  <c r="Q35" i="28" s="1"/>
  <c r="R35" i="28" s="1"/>
  <c r="AJ35" i="28" s="1"/>
  <c r="P33" i="28"/>
  <c r="Q33" i="28" s="1"/>
  <c r="R33" i="28" s="1"/>
  <c r="AJ33" i="28" s="1"/>
  <c r="P53" i="28"/>
  <c r="Q53" i="28" s="1"/>
  <c r="R53" i="28" s="1"/>
  <c r="AJ53" i="28" s="1"/>
  <c r="P26" i="28"/>
  <c r="Q26" i="28" s="1"/>
  <c r="R26" i="28" s="1"/>
  <c r="AJ26" i="28" s="1"/>
  <c r="C24" i="2" s="1"/>
  <c r="P34" i="28"/>
  <c r="Q34" i="28" s="1"/>
  <c r="R34" i="28" s="1"/>
  <c r="AJ34" i="28" s="1"/>
  <c r="P42" i="28"/>
  <c r="Q42" i="28" s="1"/>
  <c r="R42" i="28" s="1"/>
  <c r="AJ42" i="28" s="1"/>
  <c r="AK42" i="28" s="1"/>
  <c r="P50" i="28"/>
  <c r="Q50" i="28" s="1"/>
  <c r="R50" i="28" s="1"/>
  <c r="AJ50" i="28" s="1"/>
  <c r="P36" i="28"/>
  <c r="Q36" i="28" s="1"/>
  <c r="R36" i="28" s="1"/>
  <c r="AJ36" i="28" s="1"/>
  <c r="P52" i="28"/>
  <c r="Q52" i="28" s="1"/>
  <c r="R52" i="28" s="1"/>
  <c r="AJ52" i="28" s="1"/>
  <c r="P43" i="28"/>
  <c r="Q43" i="28" s="1"/>
  <c r="R43" i="28" s="1"/>
  <c r="AJ43" i="28" s="1"/>
  <c r="P45" i="28"/>
  <c r="Q45" i="28" s="1"/>
  <c r="R45" i="28" s="1"/>
  <c r="AJ45" i="28" s="1"/>
  <c r="C29" i="2" s="1"/>
  <c r="P48" i="28"/>
  <c r="Q48" i="28" s="1"/>
  <c r="R48" i="28" s="1"/>
  <c r="AJ48" i="28" s="1"/>
  <c r="P31" i="28"/>
  <c r="Q31" i="28" s="1"/>
  <c r="R31" i="28" s="1"/>
  <c r="AJ31" i="28" s="1"/>
  <c r="P51" i="28"/>
  <c r="Q51" i="28" s="1"/>
  <c r="R51" i="28" s="1"/>
  <c r="AJ51" i="28" s="1"/>
  <c r="P41" i="28"/>
  <c r="Q41" i="28" s="1"/>
  <c r="R41" i="28" s="1"/>
  <c r="AJ41" i="28" s="1"/>
  <c r="P29" i="28"/>
  <c r="Q29" i="28" s="1"/>
  <c r="R29" i="28" s="1"/>
  <c r="AJ29" i="28" s="1"/>
  <c r="P28" i="28"/>
  <c r="Q28" i="28" s="1"/>
  <c r="R28" i="28" s="1"/>
  <c r="AJ28" i="28" s="1"/>
  <c r="C26" i="2" s="1"/>
  <c r="P44" i="28"/>
  <c r="Q44" i="28" s="1"/>
  <c r="R44" i="28" s="1"/>
  <c r="AJ44" i="28" s="1"/>
  <c r="P40" i="28"/>
  <c r="Q40" i="28" s="1"/>
  <c r="R40" i="28" s="1"/>
  <c r="AJ40" i="28" s="1"/>
  <c r="P27" i="28"/>
  <c r="Q27" i="28" s="1"/>
  <c r="R27" i="28" s="1"/>
  <c r="AJ27" i="28" s="1"/>
  <c r="P47" i="28"/>
  <c r="Q47" i="28" s="1"/>
  <c r="R47" i="28" s="1"/>
  <c r="AJ47" i="28" s="1"/>
  <c r="P49" i="28"/>
  <c r="Q49" i="28" s="1"/>
  <c r="R49" i="28" s="1"/>
  <c r="AJ49" i="28" s="1"/>
  <c r="P37" i="28"/>
  <c r="Q37" i="28" s="1"/>
  <c r="R37" i="28" s="1"/>
  <c r="AJ37" i="28" s="1"/>
  <c r="P30" i="28"/>
  <c r="Q30" i="28" s="1"/>
  <c r="R30" i="28" s="1"/>
  <c r="AJ30" i="28" s="1"/>
  <c r="P38" i="28"/>
  <c r="Q38" i="28" s="1"/>
  <c r="R38" i="28" s="1"/>
  <c r="AJ38" i="28" s="1"/>
  <c r="C28" i="2" s="1"/>
  <c r="P46" i="28"/>
  <c r="Q46" i="28" s="1"/>
  <c r="R46" i="28" s="1"/>
  <c r="AJ46" i="28" s="1"/>
  <c r="P54" i="28"/>
  <c r="Q54" i="28" s="1"/>
  <c r="R54" i="28" s="1"/>
  <c r="AJ54" i="28" s="1"/>
  <c r="P25" i="28"/>
  <c r="Q25" i="28" s="1"/>
  <c r="R25" i="28" s="1"/>
  <c r="AJ25" i="28" s="1"/>
  <c r="P32" i="28"/>
  <c r="Q32" i="28" s="1"/>
  <c r="R32" i="28" s="1"/>
  <c r="AJ32" i="28" s="1"/>
  <c r="C27" i="2" s="1"/>
  <c r="P64" i="28"/>
  <c r="Q64" i="28" s="1"/>
  <c r="R64" i="28" s="1"/>
  <c r="P61" i="28"/>
  <c r="Q61" i="28" s="1"/>
  <c r="R61" i="28" s="1"/>
  <c r="P69" i="28"/>
  <c r="Q69" i="28" s="1"/>
  <c r="R69" i="28" s="1"/>
  <c r="D28" i="2" s="1"/>
  <c r="P77" i="28"/>
  <c r="Q77" i="28" s="1"/>
  <c r="R77" i="28" s="1"/>
  <c r="P62" i="28"/>
  <c r="Q62" i="28" s="1"/>
  <c r="R62" i="28" s="1"/>
  <c r="D26" i="2" s="1"/>
  <c r="P74" i="28"/>
  <c r="Q74" i="28" s="1"/>
  <c r="R74" i="28" s="1"/>
  <c r="P59" i="28"/>
  <c r="Q59" i="28" s="1"/>
  <c r="R59" i="28" s="1"/>
  <c r="P63" i="28"/>
  <c r="Q63" i="28" s="1"/>
  <c r="R63" i="28" s="1"/>
  <c r="P79" i="28"/>
  <c r="Q79" i="28" s="1"/>
  <c r="R79" i="28" s="1"/>
  <c r="P83" i="28"/>
  <c r="Q83" i="28" s="1"/>
  <c r="R83" i="28" s="1"/>
  <c r="P80" i="28"/>
  <c r="Q80" i="28" s="1"/>
  <c r="R80" i="28" s="1"/>
  <c r="P82" i="28"/>
  <c r="Q82" i="28" s="1"/>
  <c r="R82" i="28" s="1"/>
  <c r="P71" i="28"/>
  <c r="Q71" i="28" s="1"/>
  <c r="R71" i="28" s="1"/>
  <c r="P70" i="28"/>
  <c r="Q70" i="28" s="1"/>
  <c r="R70" i="28" s="1"/>
  <c r="P67" i="28"/>
  <c r="Q67" i="28" s="1"/>
  <c r="R67" i="28" s="1"/>
  <c r="P72" i="28"/>
  <c r="Q72" i="28" s="1"/>
  <c r="R72" i="28" s="1"/>
  <c r="P65" i="28"/>
  <c r="Q65" i="28" s="1"/>
  <c r="R65" i="28" s="1"/>
  <c r="D27" i="2" s="1"/>
  <c r="P73" i="28"/>
  <c r="Q73" i="28" s="1"/>
  <c r="R73" i="28" s="1"/>
  <c r="P81" i="28"/>
  <c r="Q81" i="28" s="1"/>
  <c r="R81" i="28" s="1"/>
  <c r="P76" i="28"/>
  <c r="Q76" i="28" s="1"/>
  <c r="R76" i="28" s="1"/>
  <c r="D29" i="2" s="1"/>
  <c r="P66" i="28"/>
  <c r="Q66" i="28" s="1"/>
  <c r="R66" i="28" s="1"/>
  <c r="P78" i="28"/>
  <c r="Q78" i="28" s="1"/>
  <c r="R78" i="28" s="1"/>
  <c r="P68" i="28"/>
  <c r="Q68" i="28" s="1"/>
  <c r="R68" i="28" s="1"/>
  <c r="P60" i="28"/>
  <c r="Q60" i="28" s="1"/>
  <c r="R60" i="28" s="1"/>
  <c r="D24" i="2" s="1"/>
  <c r="P75" i="28"/>
  <c r="Q75" i="28" s="1"/>
  <c r="R75" i="28" s="1"/>
  <c r="D25" i="2" l="1"/>
  <c r="D23" i="2"/>
  <c r="C25" i="2"/>
  <c r="C23" i="2"/>
  <c r="G27" i="2"/>
  <c r="G28" i="2"/>
  <c r="G26" i="2"/>
  <c r="G24" i="2"/>
  <c r="G29" i="2"/>
  <c r="G25" i="2" l="1"/>
</calcChain>
</file>

<file path=xl/comments1.xml><?xml version="1.0" encoding="utf-8"?>
<comments xmlns="http://schemas.openxmlformats.org/spreadsheetml/2006/main">
  <authors>
    <author>Vidisha Patil</author>
    <author>Anurag Churi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Vidisha Patil:</t>
        </r>
        <r>
          <rPr>
            <sz val="9"/>
            <color indexed="81"/>
            <rFont val="Tahoma"/>
            <charset val="1"/>
          </rPr>
          <t xml:space="preserve">
DROPDOWN
</t>
        </r>
      </text>
    </comment>
    <comment ref="C22" authorId="1" shapeId="0">
      <text>
        <r>
          <rPr>
            <b/>
            <sz val="9"/>
            <color indexed="81"/>
            <rFont val="Tahoma"/>
            <charset val="1"/>
          </rPr>
          <t>Anurag Churi:</t>
        </r>
        <r>
          <rPr>
            <sz val="9"/>
            <color indexed="81"/>
            <rFont val="Tahoma"/>
            <charset val="1"/>
          </rPr>
          <t xml:space="preserve">
MAX OF OPTION 1 AND 2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Vidisha Patil:</t>
        </r>
        <r>
          <rPr>
            <sz val="9"/>
            <color indexed="81"/>
            <rFont val="Tahoma"/>
            <charset val="1"/>
          </rPr>
          <t xml:space="preserve">
DROPDOWN , TON 
</t>
        </r>
      </text>
    </comment>
    <comment ref="B37" authorId="1" shapeId="0">
      <text>
        <r>
          <rPr>
            <b/>
            <sz val="9"/>
            <color indexed="81"/>
            <rFont val="Tahoma"/>
            <charset val="1"/>
          </rPr>
          <t>Anurag Churi:</t>
        </r>
        <r>
          <rPr>
            <sz val="9"/>
            <color indexed="81"/>
            <rFont val="Tahoma"/>
            <charset val="1"/>
          </rPr>
          <t xml:space="preserve">
B37-49 HARD CODED</t>
        </r>
      </text>
    </comment>
    <comment ref="C70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OPTION TO DOWNLOAD/ ENLARGE</t>
        </r>
      </text>
    </comment>
    <comment ref="C71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 VALUE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B76-82 HARDCODED AND VALUES ENTERED MANUALLY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B84-90 HARDCODED AND VALUES ACCORDING TO FORMULAS MENTIONED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B95-100 HARDCODED</t>
        </r>
      </text>
    </comment>
    <comment ref="C95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MACHINE MASTER (95-100)</t>
        </r>
      </text>
    </comment>
  </commentList>
</comments>
</file>

<file path=xl/comments2.xml><?xml version="1.0" encoding="utf-8"?>
<comments xmlns="http://schemas.openxmlformats.org/spreadsheetml/2006/main">
  <authors>
    <author>Anurag Churi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PENDING LIST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CELLS IN ORANGE COLOUR CODING WILL BE HARD CODED</t>
        </r>
      </text>
    </comment>
    <comment ref="B23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NEW OPTION WITH GIVEN OPERATION OPTIONS ADDED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EXAMPLE: 12×15×8</t>
        </r>
      </text>
    </comment>
    <comment ref="D33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MANUAL INPUT </t>
        </r>
      </text>
    </comment>
  </commentList>
</comments>
</file>

<file path=xl/comments3.xml><?xml version="1.0" encoding="utf-8"?>
<comments xmlns="http://schemas.openxmlformats.org/spreadsheetml/2006/main">
  <authors>
    <author>Anurag Churi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RFCE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RFCE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RFCE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Anurag Churi:
Radio Button</t>
        </r>
      </text>
    </comment>
  </commentList>
</comments>
</file>

<file path=xl/sharedStrings.xml><?xml version="1.0" encoding="utf-8"?>
<sst xmlns="http://schemas.openxmlformats.org/spreadsheetml/2006/main" count="1002" uniqueCount="641">
  <si>
    <t>Descript.</t>
  </si>
  <si>
    <t>Customer Plant 1</t>
  </si>
  <si>
    <t>Delivery condition 1</t>
  </si>
  <si>
    <t>Customer</t>
  </si>
  <si>
    <t>Rev.Index</t>
  </si>
  <si>
    <t>Date of print</t>
  </si>
  <si>
    <t>unit.</t>
  </si>
  <si>
    <t>Weight (kg)</t>
  </si>
  <si>
    <t>Cost</t>
  </si>
  <si>
    <t>Supplier</t>
  </si>
  <si>
    <t>Notes</t>
  </si>
  <si>
    <t>q.ty</t>
  </si>
  <si>
    <t>Net</t>
  </si>
  <si>
    <t>Gross</t>
  </si>
  <si>
    <t>Process</t>
  </si>
  <si>
    <t>Total</t>
  </si>
  <si>
    <t>Duties</t>
  </si>
  <si>
    <t>Drawing nr.-Description of the component</t>
  </si>
  <si>
    <t>Description</t>
  </si>
  <si>
    <t>Quantity</t>
  </si>
  <si>
    <t>Operation Description</t>
  </si>
  <si>
    <t>Bonding</t>
  </si>
  <si>
    <t>Painting</t>
  </si>
  <si>
    <t>Assly</t>
  </si>
  <si>
    <t>Packaging description</t>
  </si>
  <si>
    <t>Transport</t>
  </si>
  <si>
    <t>Destination</t>
  </si>
  <si>
    <t>Machine</t>
  </si>
  <si>
    <t>Total process</t>
  </si>
  <si>
    <t>Prod Plant</t>
  </si>
  <si>
    <t>Working days/year</t>
  </si>
  <si>
    <t>Working hours/day</t>
  </si>
  <si>
    <t>Finishing/Deflashing</t>
  </si>
  <si>
    <t>Standards</t>
  </si>
  <si>
    <t>Shot Volume</t>
  </si>
  <si>
    <t>Usable Platen Area</t>
  </si>
  <si>
    <t>Length</t>
  </si>
  <si>
    <t>Width</t>
  </si>
  <si>
    <t>No of Cavities Planned</t>
  </si>
  <si>
    <t>Density of Rubber (g/cm3)</t>
  </si>
  <si>
    <t>Volume Per Part (cm3)</t>
  </si>
  <si>
    <t>Total Volume per shot (cm3)</t>
  </si>
  <si>
    <t>cm3</t>
  </si>
  <si>
    <t>Machine Choice</t>
  </si>
  <si>
    <t xml:space="preserve">JD 250 Tonne </t>
  </si>
  <si>
    <t>RTIP 450 Tonne</t>
  </si>
  <si>
    <t xml:space="preserve"> DESMA 400 Tonne</t>
  </si>
  <si>
    <t>REP 160 Tonne</t>
  </si>
  <si>
    <t>RTIP 250 Tonne</t>
  </si>
  <si>
    <t>Cavity Volume Check</t>
  </si>
  <si>
    <t>Shot blasting</t>
  </si>
  <si>
    <t>Height of Part (mm)</t>
  </si>
  <si>
    <t xml:space="preserve">No of Rows </t>
  </si>
  <si>
    <t>No of Colums</t>
  </si>
  <si>
    <t>Projected Length of Part (mm)</t>
  </si>
  <si>
    <t>Projected Width of Part (mm)</t>
  </si>
  <si>
    <t>M/C Tonnage Check</t>
  </si>
  <si>
    <t>Tonnage</t>
  </si>
  <si>
    <t>INPUT VALUES</t>
  </si>
  <si>
    <t>OUTPUT VALUES</t>
  </si>
  <si>
    <t>Length Utilization (mm)</t>
  </si>
  <si>
    <t>Width Utilization (mm)</t>
  </si>
  <si>
    <t>M/C Tonnage Requirement (Tonnes)</t>
  </si>
  <si>
    <t xml:space="preserve">Length Utilization Check </t>
  </si>
  <si>
    <t>Width Utilization Check</t>
  </si>
  <si>
    <t>Rate</t>
  </si>
  <si>
    <t>Control (manual)</t>
  </si>
  <si>
    <t>Manual oling</t>
  </si>
  <si>
    <t>BLANK SIZE</t>
  </si>
  <si>
    <t xml:space="preserve"> DESMA 250 Tonne</t>
  </si>
  <si>
    <t>Corrugated Box</t>
  </si>
  <si>
    <t>Month</t>
  </si>
  <si>
    <t>Grade</t>
  </si>
  <si>
    <t>RM Index</t>
  </si>
  <si>
    <t>Proto Part Cost</t>
  </si>
  <si>
    <t>Proto Cost Details</t>
  </si>
  <si>
    <t>Proto Tooling Cost</t>
  </si>
  <si>
    <t>Product Code</t>
  </si>
  <si>
    <t>Total Volume</t>
  </si>
  <si>
    <t>Year</t>
  </si>
  <si>
    <t>Expected Volume</t>
  </si>
  <si>
    <t xml:space="preserve">Inflation Factor @ 9 % </t>
  </si>
  <si>
    <t>Production Cost Centres</t>
  </si>
  <si>
    <t>Swaging</t>
  </si>
  <si>
    <t>Man-Hour Rate</t>
  </si>
  <si>
    <t>Total Manpower Cost (Rs.)</t>
  </si>
  <si>
    <t>Average Manpower Rate -  (Rs.Per min)(AFTER NPV</t>
  </si>
  <si>
    <t>Insert Loading Time</t>
  </si>
  <si>
    <t>Injection Time</t>
  </si>
  <si>
    <t>Curing Time</t>
  </si>
  <si>
    <t>Unloading Time</t>
  </si>
  <si>
    <t>Closing and Opening Mold</t>
  </si>
  <si>
    <t>Cycle Time Break Up ( One cycle)</t>
  </si>
  <si>
    <t>Cycles / Hr</t>
  </si>
  <si>
    <t>Seconds</t>
  </si>
  <si>
    <t>Bond Testing</t>
  </si>
  <si>
    <t>Max Capacity / Day</t>
  </si>
  <si>
    <t>Format No</t>
  </si>
  <si>
    <t>Type of request</t>
  </si>
  <si>
    <t>Revision No</t>
  </si>
  <si>
    <t>Issue Date</t>
  </si>
  <si>
    <t>Nb of request</t>
  </si>
  <si>
    <t>Name</t>
  </si>
  <si>
    <t>Date</t>
  </si>
  <si>
    <t>Project Leader</t>
  </si>
  <si>
    <t>Nb Parts / day</t>
  </si>
  <si>
    <t>Buyer</t>
  </si>
  <si>
    <t>Ref RFQ</t>
  </si>
  <si>
    <t>Dates :    Proto</t>
  </si>
  <si>
    <t>Customer Parts Nb</t>
  </si>
  <si>
    <t>SOP</t>
  </si>
  <si>
    <t>Product name</t>
  </si>
  <si>
    <t>Customer Quality Targets</t>
  </si>
  <si>
    <t>Car &amp; Model</t>
  </si>
  <si>
    <t>Quality targets</t>
  </si>
  <si>
    <t>PPM</t>
  </si>
  <si>
    <t>Cpk</t>
  </si>
  <si>
    <t>Month/ yr</t>
  </si>
  <si>
    <t>Rubber</t>
  </si>
  <si>
    <t>Steel</t>
  </si>
  <si>
    <t>Freight Terms</t>
  </si>
  <si>
    <t>Including Freight</t>
  </si>
  <si>
    <t>Annual quantity pieces (CAPACITY)</t>
  </si>
  <si>
    <t>Gross Weight of Part (g)</t>
  </si>
  <si>
    <t>Gap between Cavities Length (mm)</t>
  </si>
  <si>
    <t>Gap between Cavities Width (mm)</t>
  </si>
  <si>
    <t>Cycle Time Analysis</t>
  </si>
  <si>
    <t>TEST front lower wishbone bushes</t>
  </si>
  <si>
    <t>Static Characterization</t>
  </si>
  <si>
    <t>Dynamic Characterization</t>
  </si>
  <si>
    <t xml:space="preserve">Monoaxial test </t>
  </si>
  <si>
    <t>Creep Test</t>
  </si>
  <si>
    <t>Triaxial Characterization</t>
  </si>
  <si>
    <t>Rubber test</t>
  </si>
  <si>
    <t>Failure test</t>
  </si>
  <si>
    <t>Rs/Hour</t>
  </si>
  <si>
    <t>No. Of products/year</t>
  </si>
  <si>
    <t>Cost/Year</t>
  </si>
  <si>
    <t>Hr/Test</t>
  </si>
  <si>
    <t>Bond Test</t>
  </si>
  <si>
    <t>Runner Weight Check</t>
  </si>
  <si>
    <t>Phosphatating</t>
  </si>
  <si>
    <t>Bonding- flat</t>
  </si>
  <si>
    <t>Injection Moulding (400T)</t>
  </si>
  <si>
    <t>Injection Moulding (250T)</t>
  </si>
  <si>
    <t>Injection Moulding (160T)</t>
  </si>
  <si>
    <t>Compression Moulding (180T)</t>
  </si>
  <si>
    <t>Compression Moulding (150T)</t>
  </si>
  <si>
    <t>Painting(new)</t>
  </si>
  <si>
    <t>Oven</t>
  </si>
  <si>
    <t>Hydro Assly</t>
  </si>
  <si>
    <t>Instron Tensile Testing</t>
  </si>
  <si>
    <t>Instron Dynamic testing</t>
  </si>
  <si>
    <t>Control (product testing)-Biss Machine</t>
  </si>
  <si>
    <t>Control (product testing)-Saraswati Dynamic Testing Machine</t>
  </si>
  <si>
    <t>Control (product testing)-Proof Load Testing</t>
  </si>
  <si>
    <t xml:space="preserve">Inflation Factor @ 3 % </t>
  </si>
  <si>
    <t>Exploitation Machine Hour Rate - WithOUT EFFICIENCY (Rs.Per Min)</t>
  </si>
  <si>
    <t>Exploitation Cost (Rs.)</t>
  </si>
  <si>
    <t>Average Exploitation Rate -  (Rs.Per min)(After NPV)</t>
  </si>
  <si>
    <t>Machine Related  Hour Rate - WithOUT EFFICIENCY (Rs.Per Min)</t>
  </si>
  <si>
    <t>Manpower Cost (Rs.)</t>
  </si>
  <si>
    <t>Inflation Factor @9% is considered only for Exploitation Cost- Maintenance,Power,rent,Consumables</t>
  </si>
  <si>
    <t>Inflation Factor @3% is considered only for Machine Related Cost- Depreciation &amp; Interest</t>
  </si>
  <si>
    <t>Machine Related Cost (Rs.)</t>
  </si>
  <si>
    <t>Average Machine Related Rate -  (Rs.Per min)(After NPV)</t>
  </si>
  <si>
    <t>Final Machine Min Rate With Inflation Factor</t>
  </si>
  <si>
    <t>Part Volume</t>
  </si>
  <si>
    <t>Change log</t>
  </si>
  <si>
    <t>Changes done</t>
  </si>
  <si>
    <t>Formula for tooling cost sum in price estimation sheet was wrong. Proto tool cost was not getting captured. Corrected.</t>
  </si>
  <si>
    <t>23.06.12</t>
  </si>
  <si>
    <t>26-12-12</t>
  </si>
  <si>
    <t>Recommanded rubber added in product feasibility</t>
  </si>
  <si>
    <t>Rev No</t>
  </si>
  <si>
    <t>Instron Three Axis Testing</t>
  </si>
  <si>
    <t>Bonding Machine (Indigenous)</t>
  </si>
  <si>
    <t>Injection Moulding (Jingday)</t>
  </si>
  <si>
    <t>Injection Moulding (Tung Yu)</t>
  </si>
  <si>
    <t>Schenck Rotec Dynamic Balancing Machine</t>
  </si>
  <si>
    <t>Exploitation Machine</t>
  </si>
  <si>
    <t>Machine Related</t>
  </si>
  <si>
    <t>Old</t>
  </si>
  <si>
    <t>Customer Delivery location</t>
  </si>
  <si>
    <t>Scs@123</t>
  </si>
  <si>
    <t>Ultasonic Degreesing</t>
  </si>
  <si>
    <t>q</t>
  </si>
  <si>
    <t>14.09.2018</t>
  </si>
  <si>
    <t>P &amp; F</t>
  </si>
  <si>
    <t>Stamping</t>
  </si>
  <si>
    <t>PDC</t>
  </si>
  <si>
    <t>Plastic</t>
  </si>
  <si>
    <t>Steel casting</t>
  </si>
  <si>
    <t>Net to gross ratio %</t>
  </si>
  <si>
    <t>Rejection  %</t>
  </si>
  <si>
    <t>OH  %</t>
  </si>
  <si>
    <t>Profit  %</t>
  </si>
  <si>
    <t>ICC  %</t>
  </si>
  <si>
    <t>NA</t>
  </si>
  <si>
    <t>Melting loss %</t>
  </si>
  <si>
    <t>NORMS</t>
  </si>
  <si>
    <t>Process cost per Ton</t>
  </si>
  <si>
    <t>Mechanical Press Rs 0.007 per ton
Hydraulic Press - Rs 0.01  per ton</t>
  </si>
  <si>
    <t xml:space="preserve">Welding cost </t>
  </si>
  <si>
    <t>Rs 0.03 per mm</t>
  </si>
  <si>
    <t>Rs 0.02  / sq cm ( Rs 0.13 / sq inch)</t>
  </si>
  <si>
    <t>Sr No</t>
  </si>
  <si>
    <t>North - Rs 7/Kg
South  - Rs 7/Kg
Pune Local Rs 1.5/Kg
East / West Rs 3.5 /Kg</t>
  </si>
  <si>
    <t>Tool life</t>
  </si>
  <si>
    <t xml:space="preserve">Pallet </t>
  </si>
  <si>
    <t xml:space="preserve">Tube parting cost </t>
  </si>
  <si>
    <t>Steel Tube</t>
  </si>
  <si>
    <t>???</t>
  </si>
  <si>
    <t>Fetling cost Rs /  kg</t>
  </si>
  <si>
    <t>E.D Coating</t>
  </si>
  <si>
    <t>Man</t>
  </si>
  <si>
    <t xml:space="preserve"> </t>
  </si>
  <si>
    <t>QTY</t>
  </si>
  <si>
    <t>TOTAL</t>
  </si>
  <si>
    <t>Part No.</t>
  </si>
  <si>
    <t>MAT.Specifacition</t>
  </si>
  <si>
    <t xml:space="preserve">SHEET LENGTH  </t>
  </si>
  <si>
    <t xml:space="preserve">SHEET WIDTH </t>
  </si>
  <si>
    <t>SHEET THK</t>
  </si>
  <si>
    <t>NO. OF PCS LENGTHWISE</t>
  </si>
  <si>
    <t>NO. OF PCS WIDTHWISE</t>
  </si>
  <si>
    <t>NO.OF PCS/SHEET</t>
  </si>
  <si>
    <t>G.WT.</t>
  </si>
  <si>
    <t>FIN. WT.</t>
  </si>
  <si>
    <t>AREA    :</t>
  </si>
  <si>
    <t>SQ.MTR</t>
  </si>
  <si>
    <t>SCRAP WT.</t>
  </si>
  <si>
    <t>R.M. RATE</t>
  </si>
  <si>
    <t>SCRAP RATE</t>
  </si>
  <si>
    <t>R.M.COST</t>
  </si>
  <si>
    <t>NET COST</t>
  </si>
  <si>
    <t>Bought out COST</t>
  </si>
  <si>
    <t>CONVERSION COST</t>
  </si>
  <si>
    <t>OPERATIONS</t>
  </si>
  <si>
    <t xml:space="preserve">PRESS/MACHINE </t>
  </si>
  <si>
    <t>UNIT STROKE/  KG/NOS/  MIN.</t>
  </si>
  <si>
    <t>RATE/UNIT</t>
  </si>
  <si>
    <t>COST</t>
  </si>
  <si>
    <t>TOTAL CONV COST</t>
  </si>
  <si>
    <t>NET CONV. COST</t>
  </si>
  <si>
    <t>MACHINE /CAPACITY</t>
  </si>
  <si>
    <t>TOTAL COST</t>
  </si>
  <si>
    <t>R.M. COST</t>
  </si>
  <si>
    <t>TOTAL CONV. COST</t>
  </si>
  <si>
    <t>ICC 1.5%</t>
  </si>
  <si>
    <t>Rej 2%</t>
  </si>
  <si>
    <t>OH 3 %</t>
  </si>
  <si>
    <t>PROFIT 10%</t>
  </si>
  <si>
    <t>PROFIT</t>
  </si>
  <si>
    <t>QTY/MONTH</t>
  </si>
  <si>
    <t>&lt;500/MONTH</t>
  </si>
  <si>
    <t>&gt;500/MONTH</t>
  </si>
  <si>
    <t>Function Responsible</t>
  </si>
  <si>
    <t>Function in Support</t>
  </si>
  <si>
    <t>SALES</t>
  </si>
  <si>
    <t>PROJECT</t>
  </si>
  <si>
    <t>R &amp; D</t>
  </si>
  <si>
    <t>PURCHASE / INDUSTRIALIZATION</t>
  </si>
  <si>
    <t>CEO / COO</t>
  </si>
  <si>
    <t>SALES / PROJECT</t>
  </si>
  <si>
    <t>TIME ALLOCATED</t>
  </si>
  <si>
    <t>PROCESS FLOW DOCUMENT</t>
  </si>
  <si>
    <t>1 Day</t>
  </si>
  <si>
    <t>3-14 Days</t>
  </si>
  <si>
    <t>SUJAN INDUSTRIES COST ESTIMATION</t>
  </si>
  <si>
    <t>SUJAN INDUSTRIES</t>
  </si>
  <si>
    <t>SI Plant Location</t>
  </si>
  <si>
    <t>Vasai, Mumbai</t>
  </si>
  <si>
    <t>SI standard</t>
  </si>
  <si>
    <t>Identification of the project :</t>
  </si>
  <si>
    <t>Request for Feasibility 
and Cost Estimation (RFCE)</t>
  </si>
  <si>
    <t>Parting</t>
  </si>
  <si>
    <t>Chamfering</t>
  </si>
  <si>
    <t>ID Turning</t>
  </si>
  <si>
    <t>OD Turning</t>
  </si>
  <si>
    <t>Deburing</t>
  </si>
  <si>
    <t>Total Conversion Cost</t>
  </si>
  <si>
    <t>Alum. Stamping Cost</t>
  </si>
  <si>
    <t>Unit. Q.ty.</t>
  </si>
  <si>
    <t>Packing &amp; Transporting</t>
  </si>
  <si>
    <t>SUJAN INDUSTRIES BOP CALCULATION (MS STAMPING COST)</t>
  </si>
  <si>
    <t>SUJAN INDUSTRIES BOP CALCULATION (TUBE)</t>
  </si>
  <si>
    <t>SUJAN INDUSTRIES BOP CALCULATION (ALUMINIUM)</t>
  </si>
  <si>
    <t>TOOLING</t>
  </si>
  <si>
    <t>No. of Tools</t>
  </si>
  <si>
    <t>Tool life in Numbers</t>
  </si>
  <si>
    <t>Total Tool Cost</t>
  </si>
  <si>
    <t>Tooling Cost</t>
  </si>
  <si>
    <t>Proto Tooling cost</t>
  </si>
  <si>
    <t>Net Wt.</t>
  </si>
  <si>
    <t>OTHER OPERATIONS</t>
  </si>
  <si>
    <t xml:space="preserve">PURCHASE (BOP)
PROJECT (PROCESS) </t>
  </si>
  <si>
    <t>1 Day INTERNAL
3DAY SUPPLIER QUOTE</t>
  </si>
  <si>
    <t>CUSTOMER TECHNICAL PRESENATION (R&amp;D)</t>
  </si>
  <si>
    <t>COO / PLANTHEAD</t>
  </si>
  <si>
    <t>1 Day
If cost / price as per norms (can report in weekly meeting directly)</t>
  </si>
  <si>
    <t>Blank size + 1*Thickness</t>
  </si>
  <si>
    <t>Draw Depth * 1.5 + ID</t>
  </si>
  <si>
    <t>1250mm*2500mm is standard Cut to Length Sheet</t>
  </si>
  <si>
    <t>A) Barrel - Rs 16 per Kg 
B) Hanging  - Rs --pc rate</t>
  </si>
  <si>
    <t>Plating - Normal / Trivalent</t>
  </si>
  <si>
    <t>Low Volume (&lt;500/month)</t>
  </si>
  <si>
    <t>High Volume (&gt;500/month)</t>
  </si>
  <si>
    <t xml:space="preserve">Mechanical Press - (shift rate/Quantity)
Hydraulic Press - (shift rate/Quantity)
</t>
  </si>
  <si>
    <t>Gross Size=Net Size + 3mm</t>
  </si>
  <si>
    <t>No. of pieces per length=Total tube length/gross size (Round down to the next lower unit)</t>
  </si>
  <si>
    <t xml:space="preserve">Cutting - Rs.0.80 (upto 2mm thickness)
Cutting - Rs.1.20 
Chamferring - Rs.0.25
</t>
  </si>
  <si>
    <t>Outer Tube</t>
  </si>
  <si>
    <t>Inner Tube</t>
  </si>
  <si>
    <t>Steel rate + 40-60</t>
  </si>
  <si>
    <t>Cutting - Rs.1.25 Till Dia 60 mm, Thickness 2mm
Chamferring - Rs.0.25</t>
  </si>
  <si>
    <t>Bar Stock machining</t>
  </si>
  <si>
    <t>RM - Steel Rate</t>
  </si>
  <si>
    <t>Cutting - Rs.2.00 per sq. inch
CNC - Rs.4.00 per min
VMC - Rs.6.00 per min</t>
  </si>
  <si>
    <t>Forging</t>
  </si>
  <si>
    <t>Blank Size as per product Dia &amp; Length</t>
  </si>
  <si>
    <t>No. of pieces per length=Total rod length/gross size (Round down to the next lower unit)</t>
  </si>
  <si>
    <t xml:space="preserve">Cutting - Rs.2.00 per sq. inch
Forging Conversion Cost - Rs.18.00 per kg
</t>
  </si>
  <si>
    <t>7-8%</t>
  </si>
  <si>
    <t>Scrap recovery - 0.8*(Gross Wt. - Net Wt.)*Scrape Rate</t>
  </si>
  <si>
    <t>Scrap recovery - Gross wt. - Net Wt.</t>
  </si>
  <si>
    <t>Preheating Loss 1%
Injection unit (300gms of total production)</t>
  </si>
  <si>
    <t>Depends on no. of shots a die can handle (1,00,000)</t>
  </si>
  <si>
    <t>Rs.16 / Ton / 8 hrs Shift
Deburring - 660/12/No of products
Assembly - 660/12/No of products 
Oven Baking (Post Curing) - Rs.800/hr.</t>
  </si>
  <si>
    <t>Multi Cavity - per cavity 4gms wastage</t>
  </si>
  <si>
    <t>S.G. IRON</t>
  </si>
  <si>
    <t>CARBON STEEL</t>
  </si>
  <si>
    <t>70 TO 75% YIELD</t>
  </si>
  <si>
    <t>60 TO 65% YIELD</t>
  </si>
  <si>
    <t>Manufacturing cost per ton of good casting: Rs.60540</t>
  </si>
  <si>
    <t>Manufacturing cost per ton of good casting: Rs.90000</t>
  </si>
  <si>
    <t xml:space="preserve"> Single Cavity - Per cavity 7gms wastage</t>
  </si>
  <si>
    <t>CUSTOMER DWG &amp; SPECIFICATION</t>
  </si>
  <si>
    <t>CHECKED BY :</t>
  </si>
  <si>
    <t>RUBBER</t>
  </si>
  <si>
    <t>METAL 1</t>
  </si>
  <si>
    <t>METAL 2</t>
  </si>
  <si>
    <t>METAL 3</t>
  </si>
  <si>
    <t xml:space="preserve">Investments </t>
  </si>
  <si>
    <t>PRODUCT DETAILS</t>
  </si>
  <si>
    <t xml:space="preserve">Item </t>
  </si>
  <si>
    <t>MATERIAL</t>
  </si>
  <si>
    <t>HARDNESS / GRADE</t>
  </si>
  <si>
    <t>M/C Type</t>
  </si>
  <si>
    <t>In house FTG</t>
  </si>
  <si>
    <t>PROCESS</t>
  </si>
  <si>
    <t>Cleaning</t>
  </si>
  <si>
    <t>Automatic mc</t>
  </si>
  <si>
    <t>Blasting</t>
  </si>
  <si>
    <t>Manual</t>
  </si>
  <si>
    <t>Manual Masking</t>
  </si>
  <si>
    <t>Welding</t>
  </si>
  <si>
    <t>Moulding</t>
  </si>
  <si>
    <t>Phosphate (After moulding)</t>
  </si>
  <si>
    <t>Plating (After Moulding)</t>
  </si>
  <si>
    <t>Assembly -1</t>
  </si>
  <si>
    <t>Grinding</t>
  </si>
  <si>
    <t>Proof Loading</t>
  </si>
  <si>
    <t>FINAL PROCESS</t>
  </si>
  <si>
    <t>100 % Validation</t>
  </si>
  <si>
    <t>Identification Paint / After Mould Phospate</t>
  </si>
  <si>
    <t>Identification Colour / Mark Latter</t>
  </si>
  <si>
    <t>Oiling</t>
  </si>
  <si>
    <t>Inspection</t>
  </si>
  <si>
    <t>Packing</t>
  </si>
  <si>
    <t>DESIGN + TESTING</t>
  </si>
  <si>
    <t>Man Hrs</t>
  </si>
  <si>
    <t>Machine Hrs</t>
  </si>
  <si>
    <t>ITEM</t>
  </si>
  <si>
    <t>Favorable</t>
  </si>
  <si>
    <t>Favorable with risk</t>
  </si>
  <si>
    <t>Not favorable</t>
  </si>
  <si>
    <t>Not Applicable</t>
  </si>
  <si>
    <t>Comments &amp; Actions</t>
  </si>
  <si>
    <t xml:space="preserve"> Date / Resp</t>
  </si>
  <si>
    <t xml:space="preserve">System calculation </t>
  </si>
  <si>
    <t>Design + CAE (Hrs)</t>
  </si>
  <si>
    <t>Product</t>
  </si>
  <si>
    <t>Static + Creep (Hrs)</t>
  </si>
  <si>
    <t>Basic Feasibility</t>
  </si>
  <si>
    <t>X</t>
  </si>
  <si>
    <t>Dynamic (Hrs)</t>
  </si>
  <si>
    <t>Durability (Hrs)</t>
  </si>
  <si>
    <t>Salt spray test/Hrs</t>
  </si>
  <si>
    <t>Periodic Validation - Hrs/Year</t>
  </si>
  <si>
    <t>SI DWG BOP</t>
  </si>
  <si>
    <t>DEVELOPED MANY SIMILAR PRODUCTS</t>
  </si>
  <si>
    <t>16 WEEKS AFTER ASSIGNMENT</t>
  </si>
  <si>
    <t>REMARK</t>
  </si>
  <si>
    <t xml:space="preserve">Feasibility As per customer DWG </t>
  </si>
  <si>
    <t xml:space="preserve">Material Specification and Testing Characterization Data not recived from customer </t>
  </si>
  <si>
    <t xml:space="preserve">NR </t>
  </si>
  <si>
    <t>Cost/Box</t>
  </si>
  <si>
    <t>Tool Break Up</t>
  </si>
  <si>
    <t>TOOL TYPE</t>
  </si>
  <si>
    <t>INJECTION</t>
  </si>
  <si>
    <t>Material grade:</t>
  </si>
  <si>
    <t>Material Cost/kg:</t>
  </si>
  <si>
    <t>Material/Tool weight (kg):</t>
  </si>
  <si>
    <t>Total Cost of Material:</t>
  </si>
  <si>
    <t>Grinding Rate/Sq inch :</t>
  </si>
  <si>
    <t>Grinding : total grinding area in Sq inch:</t>
  </si>
  <si>
    <t>Total Grinding Cost of Material:</t>
  </si>
  <si>
    <t xml:space="preserve">Machining Rate/hr </t>
  </si>
  <si>
    <t>Machining number of hours required for machining:</t>
  </si>
  <si>
    <t>Total Machining Cost of Material:</t>
  </si>
  <si>
    <t xml:space="preserve">Tool assembly </t>
  </si>
  <si>
    <t>Others</t>
  </si>
  <si>
    <t>DEVELOPMENT TRIAL COST</t>
  </si>
  <si>
    <t>T0 Trial--3 types of compound  &amp; each type 20 kg</t>
  </si>
  <si>
    <t>T1 Trial-one type of rubber</t>
  </si>
  <si>
    <t>T2 Trial-one type of rubber</t>
  </si>
  <si>
    <t>Total rubber consumed for 50 samples</t>
  </si>
  <si>
    <t>Rubber cost per part</t>
  </si>
  <si>
    <t>8 hrs per trial x 3 trials  = 24 hrs</t>
  </si>
  <si>
    <t>MHR--Rs 450</t>
  </si>
  <si>
    <t>Process cost per part</t>
  </si>
  <si>
    <t>PRODUCT COST(PROCESS COST+METAL COST)</t>
  </si>
  <si>
    <t>NOTE: PLEASE ADD METAL COST/PC IN COSTING</t>
  </si>
  <si>
    <t>Plastic Cost</t>
  </si>
  <si>
    <t>TYPE OF MATERIAL</t>
  </si>
  <si>
    <t>Type of Mould</t>
  </si>
  <si>
    <t>No of Cavity</t>
  </si>
  <si>
    <t>No. of Shot / hour</t>
  </si>
  <si>
    <t>No. of pieces / hour</t>
  </si>
  <si>
    <t>Total Hours for operation</t>
  </si>
  <si>
    <t>Type of Machine (Ton)</t>
  </si>
  <si>
    <t>LABOUR COST</t>
  </si>
  <si>
    <t>Machine Cost</t>
  </si>
  <si>
    <t>Manual / Machine</t>
  </si>
  <si>
    <t>Rate of Operation</t>
  </si>
  <si>
    <t>No of Units</t>
  </si>
  <si>
    <t>NO.OF PCS / KG</t>
  </si>
  <si>
    <t>Injection Mould</t>
  </si>
  <si>
    <t>Total Material Req. (Kg)</t>
  </si>
  <si>
    <t>SUJAN INDUSTRIES BOP CALCULATION (PLASTICS)</t>
  </si>
  <si>
    <t>SCRAP COST</t>
  </si>
  <si>
    <t>R.M. RATE (PER KG)</t>
  </si>
  <si>
    <t>NET RM COST (R.M COST - SCRAP RECOVERY)</t>
  </si>
  <si>
    <t xml:space="preserve">OH </t>
  </si>
  <si>
    <t>SIZE OF BOX</t>
  </si>
  <si>
    <t>Nb Parts / Box</t>
  </si>
  <si>
    <t xml:space="preserve">PREPARED BY: </t>
  </si>
  <si>
    <t>Project No:</t>
  </si>
  <si>
    <t>Net Weight (kg)</t>
  </si>
  <si>
    <t>Drawing Number</t>
  </si>
  <si>
    <t>Process Cost/Minute</t>
  </si>
  <si>
    <t>Cycle Time (Min)</t>
  </si>
  <si>
    <t>Total Process Cost</t>
  </si>
  <si>
    <t xml:space="preserve">Customer Name: </t>
  </si>
  <si>
    <t xml:space="preserve">Customer Part no.: </t>
  </si>
  <si>
    <t xml:space="preserve">SI Part No: </t>
  </si>
  <si>
    <t xml:space="preserve">SI Part Name: </t>
  </si>
  <si>
    <t xml:space="preserve">Tool type : </t>
  </si>
  <si>
    <t>DWG NO.</t>
  </si>
  <si>
    <t>DENSITY(g/cc)</t>
  </si>
  <si>
    <t>Plating / Coating(Before Moulding )</t>
  </si>
  <si>
    <t>Adhesive surface Area(cm2)</t>
  </si>
  <si>
    <t>Qty/(set)/cycle</t>
  </si>
  <si>
    <t>Cycle Time(MIN)</t>
  </si>
  <si>
    <t>Man Time(MIN)</t>
  </si>
  <si>
    <t xml:space="preserve">Bonding </t>
  </si>
  <si>
    <t>INJECTION DESMA 250T</t>
  </si>
  <si>
    <t>INJECTION DESMA 400T</t>
  </si>
  <si>
    <t>Deflashing</t>
  </si>
  <si>
    <t>INJECTION JINGDAY 250T</t>
  </si>
  <si>
    <t>INJECTION REPTUNGA 400T</t>
  </si>
  <si>
    <t>Post curing</t>
  </si>
  <si>
    <t>INJECTION REPTUNGA 250T</t>
  </si>
  <si>
    <t>COMPRESSION 400T</t>
  </si>
  <si>
    <t>COMPRESSION 250T</t>
  </si>
  <si>
    <t>COMPRESSION 200T</t>
  </si>
  <si>
    <t>COMPRESSION 160T</t>
  </si>
  <si>
    <t>COMPRESSION 15T</t>
  </si>
  <si>
    <t>YES</t>
  </si>
  <si>
    <t xml:space="preserve">Static &amp; Dynamic specification </t>
  </si>
  <si>
    <t>STATIC TEST</t>
  </si>
  <si>
    <t>Durability specifications feedback (Level of risk to be highligted based on experience)</t>
  </si>
  <si>
    <t xml:space="preserve">DURABILITY REQUIREMENT </t>
  </si>
  <si>
    <t>Input data ok from customer (any assumptions?)</t>
  </si>
  <si>
    <t>AS PER DRG.</t>
  </si>
  <si>
    <t>SI DWG AND SPECIFICATION</t>
  </si>
  <si>
    <t>Expereince feedback on similar products)</t>
  </si>
  <si>
    <t xml:space="preserve">Purchase &amp; industrial feasibility points </t>
  </si>
  <si>
    <t>Timing plan ok</t>
  </si>
  <si>
    <t>Rubber material choice</t>
  </si>
  <si>
    <t>NUMBER OF PLATE</t>
  </si>
  <si>
    <t>NUMBER OF CAVITY</t>
  </si>
  <si>
    <t>P20</t>
  </si>
  <si>
    <t xml:space="preserve">MOULDING TOOL SELECTION </t>
  </si>
  <si>
    <t>PRODUCT FAMILY</t>
  </si>
  <si>
    <t>MONTHLY VOLUME</t>
  </si>
  <si>
    <t>Only rubber products</t>
  </si>
  <si>
    <t>&lt;500</t>
  </si>
  <si>
    <t>COMPRESSION</t>
  </si>
  <si>
    <t>&gt;500</t>
  </si>
  <si>
    <t>Rubber to metal bonded product</t>
  </si>
  <si>
    <t>TENDER</t>
  </si>
  <si>
    <t>Gr. Weight(NET WT+10%)(kg)</t>
  </si>
  <si>
    <t>Total Weight/PC(kg)</t>
  </si>
  <si>
    <t>No. of bags required (25 kg)</t>
  </si>
  <si>
    <t>Nylon 66 Plane</t>
  </si>
  <si>
    <t>Clearance Charges Per Invoice</t>
  </si>
  <si>
    <t>Terminal Handling Charges (THC)</t>
  </si>
  <si>
    <t>Advanced Cargo Declaration (ACD)</t>
  </si>
  <si>
    <t>USD 25</t>
  </si>
  <si>
    <t>Transport till JNPT</t>
  </si>
  <si>
    <t>usd 25</t>
  </si>
  <si>
    <t>truck</t>
  </si>
  <si>
    <t>tata</t>
  </si>
  <si>
    <t>Pickup</t>
  </si>
  <si>
    <t>Nb parts/assy</t>
  </si>
  <si>
    <t>SATYABADI SARANGI</t>
  </si>
  <si>
    <t>SI20224397</t>
  </si>
  <si>
    <t>BEML LTD -EM DIVISION</t>
  </si>
  <si>
    <t>MANJUNATH</t>
  </si>
  <si>
    <t>NATURAL RUBBER</t>
  </si>
  <si>
    <t>1000 NOS</t>
  </si>
  <si>
    <t>BEML LTD EM DIVISION</t>
  </si>
  <si>
    <t>BOM</t>
  </si>
  <si>
    <t>Tube</t>
  </si>
  <si>
    <t>Chemlok</t>
  </si>
  <si>
    <t>Paint</t>
  </si>
  <si>
    <t>RM</t>
  </si>
  <si>
    <t>Process Cost</t>
  </si>
  <si>
    <t>Packing and Transport</t>
  </si>
  <si>
    <t>Tool Cost</t>
  </si>
  <si>
    <t>Prototype Tool Cost</t>
  </si>
  <si>
    <t>Weight Check</t>
  </si>
  <si>
    <t>Incoterms</t>
  </si>
  <si>
    <t>Cost/Pc</t>
  </si>
  <si>
    <t>Rejections</t>
  </si>
  <si>
    <t>Storage Cost</t>
  </si>
  <si>
    <t>Sub total</t>
  </si>
  <si>
    <t>Total Cost</t>
  </si>
  <si>
    <t>Plant OH</t>
  </si>
  <si>
    <t>Process Efficiency</t>
  </si>
  <si>
    <t>Total BOM Cost</t>
  </si>
  <si>
    <t>Production Tool Cost</t>
  </si>
  <si>
    <t>Maximum Capacity</t>
  </si>
  <si>
    <t>Total Tool Ccost</t>
  </si>
  <si>
    <t>BOM Cost</t>
  </si>
  <si>
    <t>Packing and Transport, OH, Profit</t>
  </si>
  <si>
    <t>Conversion Cost Check</t>
  </si>
  <si>
    <t xml:space="preserve">Material Cost </t>
  </si>
  <si>
    <t>Bom 1</t>
  </si>
  <si>
    <t>Drawing image</t>
  </si>
  <si>
    <t>Quantity/product</t>
  </si>
  <si>
    <t>MS/ALUMINIUM/BRASS /SS/COPPER</t>
  </si>
  <si>
    <t>Density (g/cm3)</t>
  </si>
  <si>
    <t>Max dimension (L)</t>
  </si>
  <si>
    <t>Max dimension (W)</t>
  </si>
  <si>
    <t>Draw Depth (mm)</t>
  </si>
  <si>
    <t>Thickness (mm)</t>
  </si>
  <si>
    <t>CTL Size</t>
  </si>
  <si>
    <t>CTL Weight (kgs)</t>
  </si>
  <si>
    <t>No of pieces / CTL Calc 1</t>
  </si>
  <si>
    <t>Option 1</t>
  </si>
  <si>
    <t>No of pieces / CTL Calc 2</t>
  </si>
  <si>
    <t>Option 2</t>
  </si>
  <si>
    <t>G.WT. (kg)</t>
  </si>
  <si>
    <t>FIN. WT. (kg)</t>
  </si>
  <si>
    <t xml:space="preserve">MANUAL </t>
  </si>
  <si>
    <t>Area (cm3)</t>
  </si>
  <si>
    <t xml:space="preserve">BOM </t>
  </si>
  <si>
    <t>M/C Tonnage</t>
  </si>
  <si>
    <t>Sharing</t>
  </si>
  <si>
    <t>Blanking</t>
  </si>
  <si>
    <t>Draw-1</t>
  </si>
  <si>
    <t>Draw-2</t>
  </si>
  <si>
    <t>Draw-3</t>
  </si>
  <si>
    <t>Draw-4</t>
  </si>
  <si>
    <t>Draw-5</t>
  </si>
  <si>
    <t>sizing</t>
  </si>
  <si>
    <t>Pearcing</t>
  </si>
  <si>
    <t>Re-strake</t>
  </si>
  <si>
    <t>Debburing</t>
  </si>
  <si>
    <t>Tool Maintanance</t>
  </si>
  <si>
    <t>Plating Cost</t>
  </si>
  <si>
    <t>ICC</t>
  </si>
  <si>
    <t>PREVIEW</t>
  </si>
  <si>
    <t>LENGTH</t>
  </si>
  <si>
    <t>PARTING</t>
  </si>
  <si>
    <t>TUBE LENGTH</t>
  </si>
  <si>
    <t xml:space="preserve">TUBE LENGTH </t>
  </si>
  <si>
    <t>TUBE OD</t>
  </si>
  <si>
    <t>TUBE THICKNESS</t>
  </si>
  <si>
    <t>NO. OF PIECES IN LENGTH</t>
  </si>
  <si>
    <t xml:space="preserve">DRAWING IMAGE </t>
  </si>
  <si>
    <t>BOM (TUBE)</t>
  </si>
  <si>
    <t>MC SPEC</t>
  </si>
  <si>
    <t>TOTAL PART WEIGHT</t>
  </si>
  <si>
    <t>BOP/METAL COST</t>
  </si>
  <si>
    <t>Tool cost</t>
  </si>
  <si>
    <t>NRY318</t>
  </si>
  <si>
    <t xml:space="preserve">SI NO. </t>
  </si>
  <si>
    <t>PART DESCRIPTION</t>
  </si>
  <si>
    <t>RUBBER COMPOUND</t>
  </si>
  <si>
    <t>NET WT.</t>
  </si>
  <si>
    <t>GROSS WT.</t>
  </si>
  <si>
    <t>RUBBER COST/ KG</t>
  </si>
  <si>
    <t>*OPERATIONS AS LISTED IN PROCESS DETAILS OF COST ESTIMATION SHEETS</t>
  </si>
  <si>
    <t>INSPECTION COST</t>
  </si>
  <si>
    <t>REJECTION %</t>
  </si>
  <si>
    <t>REJECTION COST</t>
  </si>
  <si>
    <t>PACKING LABOUR</t>
  </si>
  <si>
    <t>OH</t>
  </si>
  <si>
    <t>PACKING AND FORWARDING</t>
  </si>
  <si>
    <t>TOTAL COMPONENT COST</t>
  </si>
  <si>
    <t>AMORTISATION</t>
  </si>
  <si>
    <t>% OF QTY TO BE AMORTISED</t>
  </si>
  <si>
    <t>BUISNESS VALUE</t>
  </si>
  <si>
    <t>PROFIT %</t>
  </si>
  <si>
    <t>GST/PC</t>
  </si>
  <si>
    <t>TOTAL GST</t>
  </si>
  <si>
    <t>GST(in %)</t>
  </si>
  <si>
    <t>Proposed Tool Cost</t>
  </si>
  <si>
    <t>Profit %</t>
  </si>
  <si>
    <t>AMORTISED VALUE</t>
  </si>
  <si>
    <t>FINAL COMPONENT COST</t>
  </si>
  <si>
    <t>FINAL PROPOSED COST</t>
  </si>
  <si>
    <t>USD RATE</t>
  </si>
  <si>
    <t>BOP WEIGHT</t>
  </si>
  <si>
    <t>SI20224410</t>
  </si>
  <si>
    <t>MOTOR SUSPENSION BUSH</t>
  </si>
  <si>
    <t>RUBBER COST (Rs.)</t>
  </si>
  <si>
    <t>YES/NO</t>
  </si>
  <si>
    <t>PROPOSED PRICE</t>
  </si>
  <si>
    <t>FINAL COMPONENT PRICE (USD)</t>
  </si>
  <si>
    <t>FINAL TOOL PRICE (USD)</t>
  </si>
  <si>
    <t>SUJAN INDUSTRIES PRICE ESTIMATION</t>
  </si>
  <si>
    <t>ANCILLARY COSTS</t>
  </si>
  <si>
    <t>FINAL COMPONENT  DETAILS</t>
  </si>
  <si>
    <t>FINAL TOOL DETAILS</t>
  </si>
  <si>
    <t>USD CONVERSION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</si>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</sst>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&quot;$&quot;#,##0.00_);\(&quot;$&quot;#,##0.00\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\ _€_-;\-* #,##0.00\ _€_-;_-* &quot;-&quot;??\ _€_-;_-@_-"/>
    <numFmt numFmtId="171" formatCode="General_)"/>
    <numFmt numFmtId="172" formatCode="0.000"/>
    <numFmt numFmtId="173" formatCode="_-[$€-2]\ * #,##0.00_-;\-[$€-2]\ * #,##0.00_-;_-[$€-2]\ * &quot;-&quot;??_-"/>
    <numFmt numFmtId="174" formatCode="_-* #,##0.000_-;\-* #,##0.000_-;_-* &quot;-&quot;???_-;_-@_-"/>
    <numFmt numFmtId="175" formatCode="0.0%"/>
    <numFmt numFmtId="176" formatCode="0.000_)"/>
    <numFmt numFmtId="177" formatCode="0.0"/>
    <numFmt numFmtId="178" formatCode="_-* #,##0\ _€_-;\-* #,##0\ _€_-;_-* &quot;-&quot;??\ _€_-;_-@_-"/>
    <numFmt numFmtId="179" formatCode="[$-14009]dd/mm/yy;@"/>
    <numFmt numFmtId="180" formatCode="_(* #,##0_);_(* \(#,##0\);_(* &quot;-&quot;??_);_(@_)"/>
    <numFmt numFmtId="181" formatCode="_-* #,##0.00_-;\-* #,##0.00_-;_-* &quot;-&quot;???_-;_-@_-"/>
    <numFmt numFmtId="182" formatCode="&quot;L.&quot;\ #,##0;[Red]\-&quot;L.&quot;\ #,##0"/>
    <numFmt numFmtId="183" formatCode="&quot;L.&quot;\ #,##0.00;\-&quot;L.&quot;\ #,##0.00"/>
    <numFmt numFmtId="184" formatCode="&quot;L.&quot;\ #,##0.00;[Red]\-&quot;L.&quot;\ #,##0.00"/>
    <numFmt numFmtId="185" formatCode="mmmm\-yy"/>
    <numFmt numFmtId="186" formatCode="h\.mm\ AM/PM"/>
    <numFmt numFmtId="187" formatCode="0.0000%"/>
    <numFmt numFmtId="188" formatCode="_ * #,##0.0000_ ;_ * \-#,##0.0000_ ;_ * &quot;-&quot;_ ;_ @_ "/>
    <numFmt numFmtId="189" formatCode="_-&quot;L.&quot;\ * #,##0_-;\-&quot;L.&quot;\ * #,##0_-;_-&quot;L.&quot;\ * &quot;-&quot;_-;_-@_-"/>
    <numFmt numFmtId="190" formatCode="_-* #,##0\ _F_B_-;\-* #,##0\ _F_B_-;_-* &quot;-&quot;\ _F_B_-;_-@_-"/>
    <numFmt numFmtId="191" formatCode="_-* #,##0.00\ _F_B_-;\-* #,##0.00\ _F_B_-;_-* &quot;-&quot;??\ _F_B_-;_-@_-"/>
    <numFmt numFmtId="192" formatCode="_-* #,##0\ &quot;FB&quot;_-;\-* #,##0\ &quot;FB&quot;_-;_-* &quot;-&quot;\ &quot;FB&quot;_-;_-@_-"/>
    <numFmt numFmtId="193" formatCode="_-* #,##0.00\ &quot;FB&quot;_-;\-* #,##0.00\ &quot;FB&quot;_-;_-* &quot;-&quot;??\ &quot;FB&quot;_-;_-@_-"/>
    <numFmt numFmtId="194" formatCode="0.00_)"/>
    <numFmt numFmtId="195" formatCode="&quot;Rs.&quot;#,##0_);\(&quot;Rs.&quot;#,##0\)"/>
    <numFmt numFmtId="196" formatCode="#,##0.00\ &quot;F&quot;;\-#,##0.00\ &quot;F&quot;"/>
    <numFmt numFmtId="197" formatCode="0_);[Red]\(0\)"/>
    <numFmt numFmtId="198" formatCode="_ * #,##0.00_ ;_ * \-#,##0.00_ ;_ * &quot;-&quot;_ ;_ @_ "/>
    <numFmt numFmtId="199" formatCode="_ * #,##0.000_ ;_ * \-#,##0.000_ ;_ * &quot;-&quot;_ ;_ @_ "/>
    <numFmt numFmtId="200" formatCode="00000"/>
    <numFmt numFmtId="201" formatCode="&quot;\&quot;#,##0.00;[Red]&quot;\&quot;\-#,##0.00"/>
    <numFmt numFmtId="202" formatCode="&quot;\&quot;#,##0;[Red]&quot;\&quot;\-#,##0"/>
    <numFmt numFmtId="203" formatCode="_(* #,##0.000_);_(* \(#,##0.000\);_(* &quot;-&quot;??_);_(@_)"/>
    <numFmt numFmtId="204" formatCode="#,##0\ _€"/>
    <numFmt numFmtId="205" formatCode="_ * #,##0_ ;_ * \-#,##0_ ;_ * &quot;-&quot;??_ ;_ @_ "/>
    <numFmt numFmtId="206" formatCode="[$-F400]h:mm:ss\ AM/PM"/>
    <numFmt numFmtId="207" formatCode="0.0000"/>
  </numFmts>
  <fonts count="129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indexed="12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Helv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 MT"/>
    </font>
    <font>
      <b/>
      <sz val="9"/>
      <color indexed="8"/>
      <name val="Book Antiqua"/>
      <family val="1"/>
    </font>
    <font>
      <sz val="9"/>
      <name val="Arial MT"/>
      <family val="2"/>
    </font>
    <font>
      <sz val="10"/>
      <name val="Helv"/>
      <charset val="238"/>
    </font>
    <font>
      <sz val="14"/>
      <name val="–¾’©"/>
      <family val="3"/>
      <charset val="129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0"/>
      <name val="Arial Narrow"/>
      <family val="2"/>
    </font>
    <font>
      <sz val="11"/>
      <name val="明朝"/>
      <family val="1"/>
      <charset val="128"/>
    </font>
    <font>
      <sz val="7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2"/>
      <color indexed="8"/>
      <name val="宋体"/>
      <charset val="134"/>
    </font>
    <font>
      <sz val="10"/>
      <color indexed="12"/>
      <name val="Arial"/>
      <family val="2"/>
    </font>
    <font>
      <sz val="10"/>
      <color indexed="18"/>
      <name val="Arial"/>
      <family val="2"/>
    </font>
    <font>
      <sz val="18"/>
      <name val="Tahoma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10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0"/>
      <color rgb="FFFFFF00"/>
      <name val="Tahoma"/>
      <family val="2"/>
    </font>
    <font>
      <b/>
      <sz val="12"/>
      <color rgb="FFFFFF00"/>
      <name val="Calibri"/>
      <family val="2"/>
      <scheme val="minor"/>
    </font>
    <font>
      <sz val="10"/>
      <color rgb="FFFFFF00"/>
      <name val="Tahoma"/>
      <family val="2"/>
    </font>
    <font>
      <sz val="14"/>
      <color theme="6" tint="-0.249977111117893"/>
      <name val="Arial"/>
      <family val="2"/>
    </font>
    <font>
      <u/>
      <sz val="8"/>
      <color theme="10"/>
      <name val="Arial"/>
      <family val="2"/>
    </font>
    <font>
      <u/>
      <sz val="8"/>
      <color theme="0"/>
      <name val="Arial"/>
      <family val="2"/>
    </font>
    <font>
      <b/>
      <sz val="12"/>
      <color rgb="FF0A1AB6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Arial Black"/>
      <family val="2"/>
    </font>
    <font>
      <sz val="10"/>
      <name val="Arial Black"/>
      <family val="2"/>
    </font>
    <font>
      <sz val="11"/>
      <name val="Arial Black"/>
      <family val="2"/>
    </font>
    <font>
      <b/>
      <sz val="12"/>
      <color theme="1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rgb="FFFFFF00"/>
      <name val="Arial"/>
      <family val="2"/>
    </font>
    <font>
      <b/>
      <sz val="14"/>
      <color indexed="8"/>
      <name val="Calibri"/>
      <family val="2"/>
    </font>
    <font>
      <b/>
      <sz val="9"/>
      <color rgb="FFFFFF00"/>
      <name val="Arial Black"/>
      <family val="2"/>
    </font>
    <font>
      <b/>
      <sz val="8"/>
      <color rgb="FFFFFF00"/>
      <name val="Arial Black"/>
      <family val="2"/>
    </font>
    <font>
      <sz val="12"/>
      <color rgb="FF0A1AB6"/>
      <name val="Arial"/>
      <family val="2"/>
    </font>
    <font>
      <b/>
      <sz val="24"/>
      <color theme="1"/>
      <name val="Arial"/>
      <family val="2"/>
    </font>
    <font>
      <b/>
      <sz val="2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Verdana"/>
      <family val="2"/>
    </font>
    <font>
      <b/>
      <sz val="9"/>
      <color indexed="8"/>
      <name val="Calibri"/>
      <family val="2"/>
    </font>
    <font>
      <sz val="14"/>
      <name val="Arial"/>
      <family val="2"/>
    </font>
    <font>
      <b/>
      <i/>
      <sz val="14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2"/>
      <name val="Arial"/>
      <family val="2"/>
    </font>
    <font>
      <b/>
      <sz val="11"/>
      <color rgb="FF0A1AB6"/>
      <name val="Arial"/>
      <family val="2"/>
    </font>
    <font>
      <b/>
      <sz val="11"/>
      <color rgb="FF0000FF"/>
      <name val="Arial"/>
      <family val="2"/>
    </font>
    <font>
      <b/>
      <sz val="11"/>
      <color indexed="12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b/>
      <sz val="7"/>
      <name val="Arial"/>
      <family val="2"/>
    </font>
    <font>
      <sz val="10"/>
      <color theme="1"/>
      <name val="Calibri"/>
      <family val="2"/>
      <scheme val="minor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gray0625">
        <fgColor indexed="27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7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gray0625">
        <fgColor indexed="27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A1AB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99">
    <border>
      <left/>
      <right/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3"/>
      </left>
      <right/>
      <top style="thin">
        <color indexed="63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236">
    <xf numFmtId="0" fontId="0" fillId="0" borderId="0"/>
    <xf numFmtId="0" fontId="5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3" fillId="0" borderId="0"/>
    <xf numFmtId="0" fontId="54" fillId="2" borderId="1">
      <alignment horizontal="center"/>
    </xf>
    <xf numFmtId="165" fontId="28" fillId="0" borderId="0" applyNumberFormat="0" applyFill="0" applyBorder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55" fillId="0" borderId="0"/>
    <xf numFmtId="0" fontId="28" fillId="0" borderId="0"/>
    <xf numFmtId="0" fontId="50" fillId="0" borderId="0" applyNumberFormat="0" applyFill="0" applyBorder="0" applyAlignment="0" applyProtection="0"/>
    <xf numFmtId="43" fontId="28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84" fontId="34" fillId="0" borderId="0" applyFill="0" applyBorder="0" applyAlignment="0"/>
    <xf numFmtId="185" fontId="28" fillId="0" borderId="0" applyFill="0" applyBorder="0" applyAlignment="0"/>
    <xf numFmtId="43" fontId="28" fillId="0" borderId="0" applyFill="0" applyBorder="0" applyAlignment="0"/>
    <xf numFmtId="186" fontId="34" fillId="0" borderId="0" applyFill="0" applyBorder="0" applyAlignment="0"/>
    <xf numFmtId="182" fontId="34" fillId="0" borderId="0" applyFill="0" applyBorder="0" applyAlignment="0"/>
    <xf numFmtId="0" fontId="38" fillId="17" borderId="2" applyNumberFormat="0" applyAlignment="0" applyProtection="0"/>
    <xf numFmtId="0" fontId="46" fillId="0" borderId="3" applyNumberFormat="0" applyFill="0" applyAlignment="0" applyProtection="0"/>
    <xf numFmtId="170" fontId="18" fillId="0" borderId="0" applyFont="0" applyFill="0" applyBorder="0" applyAlignment="0" applyProtection="0"/>
    <xf numFmtId="187" fontId="28" fillId="0" borderId="0"/>
    <xf numFmtId="187" fontId="28" fillId="0" borderId="0"/>
    <xf numFmtId="187" fontId="28" fillId="0" borderId="0"/>
    <xf numFmtId="187" fontId="28" fillId="0" borderId="0"/>
    <xf numFmtId="187" fontId="28" fillId="0" borderId="0"/>
    <xf numFmtId="187" fontId="28" fillId="0" borderId="0"/>
    <xf numFmtId="187" fontId="28" fillId="0" borderId="0"/>
    <xf numFmtId="187" fontId="28" fillId="0" borderId="0"/>
    <xf numFmtId="164" fontId="28" fillId="0" borderId="0" applyFont="0" applyFill="0" applyBorder="0" applyAlignment="0" applyProtection="0"/>
    <xf numFmtId="164" fontId="34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189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72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2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5" fillId="19" borderId="5" applyNumberFormat="0" applyFont="0" applyAlignment="0" applyProtection="0"/>
    <xf numFmtId="182" fontId="34" fillId="0" borderId="0" applyFont="0" applyFill="0" applyBorder="0" applyAlignment="0" applyProtection="0"/>
    <xf numFmtId="14" fontId="29" fillId="0" borderId="0" applyFill="0" applyBorder="0" applyAlignment="0"/>
    <xf numFmtId="43" fontId="28" fillId="0" borderId="0" applyFill="0" applyBorder="0" applyAlignment="0"/>
    <xf numFmtId="182" fontId="34" fillId="0" borderId="0" applyFill="0" applyBorder="0" applyAlignment="0"/>
    <xf numFmtId="43" fontId="28" fillId="0" borderId="0" applyFill="0" applyBorder="0" applyAlignment="0"/>
    <xf numFmtId="186" fontId="34" fillId="0" borderId="0" applyFill="0" applyBorder="0" applyAlignment="0"/>
    <xf numFmtId="182" fontId="34" fillId="0" borderId="0" applyFill="0" applyBorder="0" applyAlignment="0"/>
    <xf numFmtId="0" fontId="45" fillId="8" borderId="2" applyNumberFormat="0" applyAlignment="0" applyProtection="0"/>
    <xf numFmtId="173" fontId="26" fillId="0" borderId="0" applyFont="0" applyFill="0" applyBorder="0" applyAlignment="0" applyProtection="0"/>
    <xf numFmtId="173" fontId="28" fillId="0" borderId="0" applyNumberFormat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38" fontId="18" fillId="20" borderId="0" applyNumberFormat="0" applyBorder="0" applyAlignment="0" applyProtection="0"/>
    <xf numFmtId="0" fontId="27" fillId="0" borderId="6" applyNumberFormat="0" applyAlignment="0" applyProtection="0">
      <alignment horizontal="left" vertical="center"/>
    </xf>
    <xf numFmtId="0" fontId="27" fillId="0" borderId="7">
      <alignment horizontal="left" vertical="center"/>
    </xf>
    <xf numFmtId="10" fontId="18" fillId="21" borderId="11" applyNumberFormat="0" applyBorder="0" applyAlignment="0" applyProtection="0"/>
    <xf numFmtId="0" fontId="37" fillId="4" borderId="0" applyNumberFormat="0" applyBorder="0" applyAlignment="0" applyProtection="0"/>
    <xf numFmtId="43" fontId="28" fillId="0" borderId="0" applyFill="0" applyBorder="0" applyAlignment="0"/>
    <xf numFmtId="182" fontId="34" fillId="0" borderId="0" applyFill="0" applyBorder="0" applyAlignment="0"/>
    <xf numFmtId="43" fontId="28" fillId="0" borderId="0" applyFill="0" applyBorder="0" applyAlignment="0"/>
    <xf numFmtId="186" fontId="34" fillId="0" borderId="0" applyFill="0" applyBorder="0" applyAlignment="0"/>
    <xf numFmtId="182" fontId="34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3" fontId="28" fillId="0" borderId="0" applyFont="0" applyFill="0" applyBorder="0" applyAlignment="0" applyProtection="0"/>
    <xf numFmtId="0" fontId="47" fillId="22" borderId="0" applyNumberFormat="0" applyBorder="0" applyAlignment="0" applyProtection="0"/>
    <xf numFmtId="194" fontId="2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28" fillId="0" borderId="0"/>
    <xf numFmtId="0" fontId="28" fillId="0" borderId="0"/>
    <xf numFmtId="0" fontId="7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8" fillId="0" borderId="0"/>
    <xf numFmtId="0" fontId="72" fillId="0" borderId="0"/>
    <xf numFmtId="0" fontId="72" fillId="0" borderId="0"/>
    <xf numFmtId="0" fontId="28" fillId="0" borderId="0"/>
    <xf numFmtId="0" fontId="18" fillId="0" borderId="0"/>
    <xf numFmtId="0" fontId="18" fillId="0" borderId="0"/>
    <xf numFmtId="0" fontId="28" fillId="0" borderId="0"/>
    <xf numFmtId="0" fontId="56" fillId="0" borderId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195" fontId="58" fillId="0" borderId="0" applyFont="0" applyFill="0" applyBorder="0" applyAlignment="0" applyProtection="0"/>
    <xf numFmtId="196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ill="0" applyBorder="0" applyAlignment="0"/>
    <xf numFmtId="197" fontId="58" fillId="0" borderId="0" applyFill="0" applyBorder="0" applyAlignment="0"/>
    <xf numFmtId="43" fontId="28" fillId="0" borderId="0" applyFill="0" applyBorder="0" applyAlignment="0"/>
    <xf numFmtId="198" fontId="58" fillId="0" borderId="0" applyFill="0" applyBorder="0" applyAlignment="0"/>
    <xf numFmtId="197" fontId="58" fillId="0" borderId="0" applyFill="0" applyBorder="0" applyAlignment="0"/>
    <xf numFmtId="0" fontId="59" fillId="0" borderId="0" applyNumberFormat="0" applyFont="0" applyFill="0" applyBorder="0" applyAlignment="0" applyProtection="0">
      <alignment horizontal="left"/>
    </xf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60" fillId="0" borderId="13">
      <alignment horizontal="center"/>
    </xf>
    <xf numFmtId="3" fontId="59" fillId="0" borderId="0" applyFont="0" applyFill="0" applyBorder="0" applyAlignment="0" applyProtection="0"/>
    <xf numFmtId="0" fontId="59" fillId="23" borderId="0" applyNumberFormat="0" applyFont="0" applyBorder="0" applyAlignment="0" applyProtection="0"/>
    <xf numFmtId="0" fontId="41" fillId="5" borderId="0" applyNumberFormat="0" applyBorder="0" applyAlignment="0" applyProtection="0"/>
    <xf numFmtId="0" fontId="48" fillId="17" borderId="12" applyNumberFormat="0" applyAlignment="0" applyProtection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9" fontId="29" fillId="0" borderId="0" applyFill="0" applyBorder="0" applyAlignment="0"/>
    <xf numFmtId="199" fontId="58" fillId="0" borderId="0" applyFill="0" applyBorder="0" applyAlignment="0"/>
    <xf numFmtId="188" fontId="58" fillId="0" borderId="0" applyFill="0" applyBorder="0" applyAlignment="0"/>
    <xf numFmtId="0" fontId="4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0" fontId="44" fillId="0" borderId="10" applyNumberFormat="0" applyFill="0" applyAlignment="0" applyProtection="0"/>
    <xf numFmtId="0" fontId="44" fillId="0" borderId="0" applyNumberFormat="0" applyFill="0" applyBorder="0" applyAlignment="0" applyProtection="0"/>
    <xf numFmtId="200" fontId="58" fillId="0" borderId="0">
      <alignment horizontal="left"/>
    </xf>
    <xf numFmtId="0" fontId="61" fillId="0" borderId="0">
      <alignment vertical="top"/>
    </xf>
    <xf numFmtId="18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39" fillId="18" borderId="4" applyNumberFormat="0" applyAlignment="0" applyProtection="0"/>
    <xf numFmtId="0" fontId="67" fillId="0" borderId="0"/>
    <xf numFmtId="0" fontId="71" fillId="0" borderId="0"/>
    <xf numFmtId="201" fontId="62" fillId="0" borderId="0" applyFont="0" applyFill="0" applyBorder="0" applyAlignment="0" applyProtection="0"/>
    <xf numFmtId="202" fontId="62" fillId="0" borderId="0" applyFont="0" applyFill="0" applyBorder="0" applyAlignment="0" applyProtection="0"/>
    <xf numFmtId="0" fontId="16" fillId="0" borderId="0"/>
    <xf numFmtId="0" fontId="15" fillId="0" borderId="0"/>
    <xf numFmtId="0" fontId="71" fillId="0" borderId="0"/>
    <xf numFmtId="9" fontId="71" fillId="0" borderId="0" applyFon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0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100" fillId="0" borderId="0"/>
    <xf numFmtId="0" fontId="6" fillId="0" borderId="0"/>
    <xf numFmtId="0" fontId="18" fillId="0" borderId="0"/>
    <xf numFmtId="0" fontId="5" fillId="0" borderId="0"/>
    <xf numFmtId="10" fontId="18" fillId="21" borderId="126" applyNumberFormat="0" applyBorder="0" applyAlignment="0" applyProtection="0"/>
    <xf numFmtId="170" fontId="4" fillId="0" borderId="0" applyFont="0" applyFill="0" applyBorder="0" applyAlignment="0" applyProtection="0"/>
    <xf numFmtId="0" fontId="27" fillId="0" borderId="127">
      <alignment horizontal="left" vertical="center"/>
    </xf>
    <xf numFmtId="165" fontId="4" fillId="0" borderId="0" applyFont="0" applyFill="0" applyBorder="0" applyAlignment="0" applyProtection="0"/>
    <xf numFmtId="0" fontId="27" fillId="0" borderId="115">
      <alignment horizontal="left" vertical="center"/>
    </xf>
    <xf numFmtId="10" fontId="18" fillId="21" borderId="100" applyNumberFormat="0" applyBorder="0" applyAlignment="0" applyProtection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1474">
    <xf numFmtId="0" fontId="0" fillId="0" borderId="0" xfId="0"/>
    <xf numFmtId="0" fontId="28" fillId="0" borderId="0" xfId="0" applyFont="1" applyProtection="1">
      <protection locked="0"/>
    </xf>
    <xf numFmtId="177" fontId="0" fillId="0" borderId="0" xfId="0" applyNumberFormat="1" applyProtection="1">
      <protection locked="0"/>
    </xf>
    <xf numFmtId="177" fontId="25" fillId="0" borderId="0" xfId="0" applyNumberFormat="1" applyFont="1" applyProtection="1">
      <protection locked="0"/>
    </xf>
    <xf numFmtId="177" fontId="0" fillId="0" borderId="0" xfId="0" applyNumberFormat="1" applyFill="1" applyProtection="1">
      <protection locked="0"/>
    </xf>
    <xf numFmtId="0" fontId="0" fillId="0" borderId="0" xfId="0" applyProtection="1">
      <protection locked="0"/>
    </xf>
    <xf numFmtId="0" fontId="30" fillId="0" borderId="29" xfId="0" applyFont="1" applyBorder="1" applyAlignment="1" applyProtection="1">
      <alignment horizontal="center"/>
      <protection locked="0"/>
    </xf>
    <xf numFmtId="0" fontId="30" fillId="0" borderId="25" xfId="0" applyFont="1" applyBorder="1" applyAlignment="1" applyProtection="1">
      <alignment horizontal="center"/>
      <protection locked="0"/>
    </xf>
    <xf numFmtId="0" fontId="18" fillId="0" borderId="37" xfId="0" applyFont="1" applyBorder="1" applyProtection="1">
      <protection locked="0"/>
    </xf>
    <xf numFmtId="0" fontId="35" fillId="0" borderId="0" xfId="0" applyFont="1" applyProtection="1">
      <protection locked="0"/>
    </xf>
    <xf numFmtId="0" fontId="30" fillId="0" borderId="30" xfId="0" applyFont="1" applyBorder="1" applyAlignment="1" applyProtection="1">
      <alignment horizontal="center"/>
      <protection locked="0"/>
    </xf>
    <xf numFmtId="0" fontId="30" fillId="0" borderId="22" xfId="0" applyFont="1" applyBorder="1" applyAlignment="1" applyProtection="1">
      <alignment horizontal="center"/>
      <protection locked="0"/>
    </xf>
    <xf numFmtId="0" fontId="35" fillId="0" borderId="33" xfId="0" applyFont="1" applyBorder="1" applyProtection="1">
      <protection locked="0"/>
    </xf>
    <xf numFmtId="0" fontId="35" fillId="0" borderId="11" xfId="0" applyFont="1" applyBorder="1" applyProtection="1">
      <protection locked="0"/>
    </xf>
    <xf numFmtId="0" fontId="35" fillId="0" borderId="0" xfId="0" applyFont="1" applyFill="1" applyBorder="1" applyAlignment="1" applyProtection="1">
      <alignment horizontal="left"/>
      <protection locked="0"/>
    </xf>
    <xf numFmtId="0" fontId="33" fillId="0" borderId="11" xfId="0" applyFont="1" applyBorder="1" applyAlignment="1" applyProtection="1">
      <alignment horizontal="center"/>
      <protection locked="0"/>
    </xf>
    <xf numFmtId="177" fontId="35" fillId="0" borderId="11" xfId="0" applyNumberFormat="1" applyFont="1" applyBorder="1" applyAlignment="1" applyProtection="1">
      <alignment horizontal="right"/>
      <protection locked="0"/>
    </xf>
    <xf numFmtId="0" fontId="28" fillId="0" borderId="11" xfId="0" applyFont="1" applyFill="1" applyBorder="1" applyProtection="1">
      <protection locked="0"/>
    </xf>
    <xf numFmtId="0" fontId="31" fillId="0" borderId="11" xfId="0" applyFont="1" applyFill="1" applyBorder="1" applyProtection="1">
      <protection locked="0"/>
    </xf>
    <xf numFmtId="0" fontId="0" fillId="0" borderId="11" xfId="0" applyBorder="1" applyProtection="1">
      <protection locked="0"/>
    </xf>
    <xf numFmtId="204" fontId="68" fillId="0" borderId="11" xfId="0" applyNumberFormat="1" applyFont="1" applyBorder="1" applyAlignment="1" applyProtection="1">
      <alignment horizontal="center"/>
      <protection locked="0"/>
    </xf>
    <xf numFmtId="204" fontId="28" fillId="0" borderId="11" xfId="0" applyNumberFormat="1" applyFont="1" applyBorder="1" applyAlignment="1" applyProtection="1">
      <alignment horizontal="center"/>
      <protection locked="0"/>
    </xf>
    <xf numFmtId="204" fontId="0" fillId="0" borderId="11" xfId="0" applyNumberFormat="1" applyBorder="1" applyAlignment="1" applyProtection="1">
      <alignment horizontal="center"/>
      <protection locked="0"/>
    </xf>
    <xf numFmtId="0" fontId="31" fillId="0" borderId="11" xfId="0" applyFont="1" applyBorder="1" applyProtection="1">
      <protection locked="0"/>
    </xf>
    <xf numFmtId="0" fontId="35" fillId="0" borderId="0" xfId="0" applyFont="1" applyAlignment="1" applyProtection="1">
      <alignment horizontal="right"/>
      <protection locked="0"/>
    </xf>
    <xf numFmtId="0" fontId="33" fillId="0" borderId="11" xfId="0" applyFont="1" applyFill="1" applyBorder="1" applyAlignment="1" applyProtection="1">
      <alignment horizontal="center"/>
      <protection locked="0"/>
    </xf>
    <xf numFmtId="0" fontId="0" fillId="0" borderId="52" xfId="0" applyFill="1" applyBorder="1" applyProtection="1">
      <protection locked="0"/>
    </xf>
    <xf numFmtId="0" fontId="28" fillId="0" borderId="11" xfId="0" applyFont="1" applyBorder="1" applyProtection="1">
      <protection locked="0"/>
    </xf>
    <xf numFmtId="177" fontId="28" fillId="0" borderId="11" xfId="0" applyNumberFormat="1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center"/>
      <protection locked="0"/>
    </xf>
    <xf numFmtId="0" fontId="35" fillId="0" borderId="11" xfId="0" applyFont="1" applyFill="1" applyBorder="1" applyAlignment="1" applyProtection="1">
      <alignment horizontal="left"/>
      <protection locked="0"/>
    </xf>
    <xf numFmtId="0" fontId="35" fillId="31" borderId="53" xfId="0" applyFont="1" applyFill="1" applyBorder="1" applyProtection="1">
      <protection locked="0"/>
    </xf>
    <xf numFmtId="0" fontId="18" fillId="31" borderId="54" xfId="0" applyFont="1" applyFill="1" applyBorder="1" applyAlignment="1" applyProtection="1">
      <alignment horizontal="center"/>
      <protection locked="0"/>
    </xf>
    <xf numFmtId="0" fontId="18" fillId="31" borderId="55" xfId="0" applyFont="1" applyFill="1" applyBorder="1" applyAlignment="1" applyProtection="1">
      <alignment horizontal="center"/>
      <protection locked="0"/>
    </xf>
    <xf numFmtId="0" fontId="35" fillId="31" borderId="56" xfId="0" applyFont="1" applyFill="1" applyBorder="1" applyProtection="1">
      <protection locked="0"/>
    </xf>
    <xf numFmtId="0" fontId="35" fillId="31" borderId="57" xfId="0" applyFont="1" applyFill="1" applyBorder="1" applyProtection="1">
      <protection locked="0"/>
    </xf>
    <xf numFmtId="0" fontId="35" fillId="31" borderId="58" xfId="0" applyFont="1" applyFill="1" applyBorder="1" applyProtection="1">
      <protection locked="0"/>
    </xf>
    <xf numFmtId="204" fontId="69" fillId="0" borderId="11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4" fontId="68" fillId="0" borderId="0" xfId="0" applyNumberFormat="1" applyFont="1" applyBorder="1" applyAlignment="1" applyProtection="1">
      <alignment horizontal="center"/>
      <protection locked="0"/>
    </xf>
    <xf numFmtId="204" fontId="0" fillId="0" borderId="0" xfId="0" applyNumberFormat="1" applyAlignment="1" applyProtection="1">
      <alignment horizontal="center"/>
      <protection locked="0"/>
    </xf>
    <xf numFmtId="204" fontId="69" fillId="0" borderId="0" xfId="0" applyNumberFormat="1" applyFont="1" applyBorder="1" applyAlignment="1" applyProtection="1">
      <alignment horizontal="center"/>
      <protection locked="0"/>
    </xf>
    <xf numFmtId="177" fontId="35" fillId="31" borderId="11" xfId="0" applyNumberFormat="1" applyFont="1" applyFill="1" applyBorder="1" applyProtection="1">
      <protection locked="0"/>
    </xf>
    <xf numFmtId="0" fontId="28" fillId="32" borderId="11" xfId="0" applyFont="1" applyFill="1" applyBorder="1" applyProtection="1"/>
    <xf numFmtId="0" fontId="35" fillId="32" borderId="11" xfId="0" applyFont="1" applyFill="1" applyBorder="1" applyProtection="1"/>
    <xf numFmtId="0" fontId="28" fillId="28" borderId="11" xfId="0" applyFont="1" applyFill="1" applyBorder="1" applyProtection="1"/>
    <xf numFmtId="204" fontId="33" fillId="20" borderId="11" xfId="0" applyNumberFormat="1" applyFont="1" applyFill="1" applyBorder="1" applyAlignment="1" applyProtection="1">
      <alignment horizontal="center"/>
    </xf>
    <xf numFmtId="204" fontId="33" fillId="20" borderId="11" xfId="0" applyNumberFormat="1" applyFont="1" applyFill="1" applyBorder="1" applyAlignment="1" applyProtection="1">
      <alignment horizontal="center" wrapText="1"/>
    </xf>
    <xf numFmtId="0" fontId="33" fillId="20" borderId="11" xfId="0" applyFont="1" applyFill="1" applyBorder="1" applyProtection="1"/>
    <xf numFmtId="204" fontId="68" fillId="28" borderId="11" xfId="0" applyNumberFormat="1" applyFont="1" applyFill="1" applyBorder="1" applyAlignment="1" applyProtection="1">
      <alignment horizontal="center"/>
    </xf>
    <xf numFmtId="204" fontId="28" fillId="28" borderId="11" xfId="0" applyNumberFormat="1" applyFont="1" applyFill="1" applyBorder="1" applyAlignment="1" applyProtection="1">
      <alignment horizontal="center"/>
    </xf>
    <xf numFmtId="0" fontId="21" fillId="28" borderId="11" xfId="0" applyFont="1" applyFill="1" applyBorder="1" applyProtection="1"/>
    <xf numFmtId="204" fontId="21" fillId="28" borderId="0" xfId="0" applyNumberFormat="1" applyFont="1" applyFill="1" applyBorder="1" applyAlignment="1" applyProtection="1">
      <alignment horizontal="center"/>
    </xf>
    <xf numFmtId="204" fontId="21" fillId="28" borderId="11" xfId="0" applyNumberFormat="1" applyFont="1" applyFill="1" applyBorder="1" applyAlignment="1" applyProtection="1">
      <alignment horizontal="center"/>
    </xf>
    <xf numFmtId="0" fontId="18" fillId="0" borderId="0" xfId="0" applyFont="1"/>
    <xf numFmtId="180" fontId="18" fillId="33" borderId="11" xfId="82" applyNumberFormat="1" applyFont="1" applyFill="1" applyBorder="1" applyAlignment="1" applyProtection="1">
      <alignment vertical="center" wrapText="1"/>
    </xf>
    <xf numFmtId="0" fontId="74" fillId="0" borderId="19" xfId="0" applyFont="1" applyFill="1" applyBorder="1" applyAlignment="1" applyProtection="1">
      <alignment horizontal="left" vertical="center" wrapText="1"/>
    </xf>
    <xf numFmtId="0" fontId="52" fillId="0" borderId="11" xfId="134" applyFont="1" applyBorder="1" applyAlignment="1" applyProtection="1">
      <alignment vertical="center" wrapText="1"/>
    </xf>
    <xf numFmtId="0" fontId="51" fillId="0" borderId="0" xfId="134" applyAlignment="1" applyProtection="1">
      <alignment vertical="center" wrapText="1"/>
    </xf>
    <xf numFmtId="0" fontId="76" fillId="34" borderId="11" xfId="134" applyFont="1" applyFill="1" applyBorder="1" applyAlignment="1" applyProtection="1">
      <alignment horizontal="center" vertical="center" wrapText="1"/>
    </xf>
    <xf numFmtId="180" fontId="51" fillId="0" borderId="0" xfId="134" applyNumberFormat="1" applyAlignment="1" applyProtection="1">
      <alignment vertical="center" wrapText="1"/>
    </xf>
    <xf numFmtId="180" fontId="0" fillId="0" borderId="11" xfId="78" applyNumberFormat="1" applyFont="1" applyBorder="1" applyAlignment="1" applyProtection="1">
      <alignment vertical="center" wrapText="1"/>
    </xf>
    <xf numFmtId="0" fontId="51" fillId="0" borderId="0" xfId="134" applyBorder="1" applyAlignment="1" applyProtection="1">
      <alignment vertical="center" wrapText="1"/>
    </xf>
    <xf numFmtId="180" fontId="0" fillId="0" borderId="0" xfId="78" applyNumberFormat="1" applyFont="1" applyBorder="1" applyAlignment="1" applyProtection="1">
      <alignment vertical="center" wrapText="1"/>
    </xf>
    <xf numFmtId="180" fontId="52" fillId="0" borderId="0" xfId="78" applyNumberFormat="1" applyFont="1" applyBorder="1" applyAlignment="1" applyProtection="1">
      <alignment vertical="center" wrapText="1"/>
    </xf>
    <xf numFmtId="0" fontId="51" fillId="0" borderId="21" xfId="134" applyBorder="1" applyAlignment="1" applyProtection="1">
      <alignment horizontal="center" vertical="center" wrapText="1"/>
    </xf>
    <xf numFmtId="0" fontId="51" fillId="0" borderId="21" xfId="134" applyBorder="1" applyAlignment="1" applyProtection="1">
      <alignment vertical="center" wrapText="1"/>
    </xf>
    <xf numFmtId="0" fontId="51" fillId="0" borderId="11" xfId="134" applyBorder="1" applyAlignment="1" applyProtection="1">
      <alignment vertical="center" wrapText="1"/>
    </xf>
    <xf numFmtId="0" fontId="77" fillId="34" borderId="29" xfId="134" applyFont="1" applyFill="1" applyBorder="1" applyAlignment="1" applyProtection="1">
      <alignment horizontal="center" vertical="center" wrapText="1"/>
    </xf>
    <xf numFmtId="0" fontId="76" fillId="34" borderId="25" xfId="134" applyFont="1" applyFill="1" applyBorder="1" applyAlignment="1" applyProtection="1">
      <alignment horizontal="center" vertical="center" wrapText="1"/>
    </xf>
    <xf numFmtId="180" fontId="76" fillId="34" borderId="25" xfId="78" applyNumberFormat="1" applyFont="1" applyFill="1" applyBorder="1" applyAlignment="1" applyProtection="1">
      <alignment horizontal="center" vertical="center" wrapText="1"/>
    </xf>
    <xf numFmtId="0" fontId="76" fillId="34" borderId="25" xfId="134" applyFont="1" applyFill="1" applyBorder="1" applyAlignment="1" applyProtection="1">
      <alignment vertical="center" wrapText="1"/>
    </xf>
    <xf numFmtId="0" fontId="78" fillId="34" borderId="25" xfId="134" applyFont="1" applyFill="1" applyBorder="1" applyAlignment="1" applyProtection="1">
      <alignment vertical="center" wrapText="1"/>
    </xf>
    <xf numFmtId="43" fontId="51" fillId="0" borderId="11" xfId="134" applyNumberFormat="1" applyBorder="1" applyAlignment="1" applyProtection="1">
      <alignment vertical="center" wrapText="1"/>
    </xf>
    <xf numFmtId="0" fontId="51" fillId="0" borderId="11" xfId="134" applyFill="1" applyBorder="1" applyAlignment="1" applyProtection="1">
      <alignment vertical="center" wrapText="1"/>
    </xf>
    <xf numFmtId="0" fontId="51" fillId="0" borderId="0" xfId="134" applyFill="1" applyBorder="1" applyAlignment="1" applyProtection="1">
      <alignment vertical="center" wrapText="1"/>
    </xf>
    <xf numFmtId="0" fontId="30" fillId="0" borderId="19" xfId="0" applyFont="1" applyFill="1" applyBorder="1" applyProtection="1"/>
    <xf numFmtId="0" fontId="74" fillId="0" borderId="30" xfId="0" applyFont="1" applyFill="1" applyBorder="1" applyAlignment="1" applyProtection="1">
      <alignment horizontal="left" vertical="center" wrapText="1"/>
    </xf>
    <xf numFmtId="180" fontId="0" fillId="0" borderId="22" xfId="78" applyNumberFormat="1" applyFont="1" applyBorder="1" applyAlignment="1" applyProtection="1">
      <alignment vertical="center" wrapText="1"/>
    </xf>
    <xf numFmtId="0" fontId="18" fillId="0" borderId="0" xfId="125" applyFill="1" applyBorder="1" applyAlignment="1" applyProtection="1">
      <alignment wrapText="1"/>
    </xf>
    <xf numFmtId="2" fontId="18" fillId="0" borderId="0" xfId="125" applyNumberFormat="1" applyFill="1" applyBorder="1" applyAlignment="1" applyProtection="1">
      <alignment vertical="center" wrapText="1"/>
    </xf>
    <xf numFmtId="0" fontId="51" fillId="0" borderId="0" xfId="134" applyFill="1" applyBorder="1" applyProtection="1"/>
    <xf numFmtId="0" fontId="78" fillId="34" borderId="37" xfId="134" applyFont="1" applyFill="1" applyBorder="1" applyAlignment="1" applyProtection="1">
      <alignment vertical="center" wrapText="1"/>
    </xf>
    <xf numFmtId="203" fontId="0" fillId="0" borderId="11" xfId="78" applyNumberFormat="1" applyFont="1" applyBorder="1" applyAlignment="1" applyProtection="1">
      <alignment vertical="center" wrapText="1"/>
    </xf>
    <xf numFmtId="0" fontId="51" fillId="0" borderId="32" xfId="134" applyFill="1" applyBorder="1" applyAlignment="1" applyProtection="1">
      <alignment vertical="center" wrapText="1"/>
    </xf>
    <xf numFmtId="0" fontId="51" fillId="0" borderId="32" xfId="134" applyBorder="1" applyAlignment="1" applyProtection="1">
      <alignment vertical="center" wrapText="1"/>
    </xf>
    <xf numFmtId="0" fontId="51" fillId="0" borderId="22" xfId="134" applyBorder="1" applyAlignment="1" applyProtection="1">
      <alignment vertical="center" wrapText="1"/>
    </xf>
    <xf numFmtId="0" fontId="51" fillId="0" borderId="33" xfId="134" applyBorder="1" applyAlignment="1" applyProtection="1">
      <alignment vertical="center" wrapText="1"/>
    </xf>
    <xf numFmtId="0" fontId="70" fillId="0" borderId="0" xfId="134" applyFont="1" applyAlignment="1" applyProtection="1">
      <alignment vertical="center" wrapText="1"/>
    </xf>
    <xf numFmtId="0" fontId="70" fillId="0" borderId="0" xfId="134" applyFont="1" applyAlignment="1" applyProtection="1">
      <alignment vertical="center"/>
    </xf>
    <xf numFmtId="0" fontId="51" fillId="0" borderId="0" xfId="134" applyAlignment="1" applyProtection="1">
      <alignment vertical="center"/>
    </xf>
    <xf numFmtId="0" fontId="30" fillId="30" borderId="25" xfId="0" applyFont="1" applyFill="1" applyBorder="1" applyAlignment="1" applyProtection="1">
      <alignment horizontal="center"/>
    </xf>
    <xf numFmtId="0" fontId="30" fillId="30" borderId="11" xfId="0" applyFont="1" applyFill="1" applyBorder="1" applyAlignment="1" applyProtection="1">
      <alignment horizontal="center"/>
    </xf>
    <xf numFmtId="0" fontId="28" fillId="30" borderId="11" xfId="0" applyFont="1" applyFill="1" applyBorder="1" applyProtection="1"/>
    <xf numFmtId="0" fontId="35" fillId="30" borderId="11" xfId="0" applyFont="1" applyFill="1" applyBorder="1" applyProtection="1"/>
    <xf numFmtId="0" fontId="35" fillId="30" borderId="11" xfId="0" applyFont="1" applyFill="1" applyBorder="1" applyAlignment="1" applyProtection="1">
      <alignment horizontal="left"/>
    </xf>
    <xf numFmtId="0" fontId="28" fillId="30" borderId="11" xfId="0" applyFont="1" applyFill="1" applyBorder="1" applyAlignment="1" applyProtection="1">
      <alignment horizontal="left"/>
    </xf>
    <xf numFmtId="177" fontId="35" fillId="30" borderId="11" xfId="0" applyNumberFormat="1" applyFont="1" applyFill="1" applyBorder="1" applyAlignment="1" applyProtection="1">
      <alignment horizontal="right"/>
    </xf>
    <xf numFmtId="204" fontId="0" fillId="0" borderId="20" xfId="0" applyNumberFormat="1" applyBorder="1" applyAlignment="1" applyProtection="1">
      <alignment horizontal="center"/>
      <protection locked="0"/>
    </xf>
    <xf numFmtId="0" fontId="33" fillId="30" borderId="11" xfId="0" applyFont="1" applyFill="1" applyBorder="1" applyProtection="1"/>
    <xf numFmtId="165" fontId="0" fillId="0" borderId="11" xfId="78" applyNumberFormat="1" applyFont="1" applyBorder="1" applyAlignment="1" applyProtection="1">
      <alignment vertical="center" wrapText="1"/>
    </xf>
    <xf numFmtId="0" fontId="30" fillId="0" borderId="11" xfId="0" applyFont="1" applyFill="1" applyBorder="1" applyProtection="1"/>
    <xf numFmtId="0" fontId="74" fillId="0" borderId="11" xfId="0" applyFont="1" applyFill="1" applyBorder="1" applyAlignment="1" applyProtection="1">
      <alignment horizontal="left" vertical="center" wrapText="1"/>
    </xf>
    <xf numFmtId="0" fontId="18" fillId="0" borderId="11" xfId="125" applyFill="1" applyBorder="1" applyAlignment="1" applyProtection="1">
      <alignment wrapText="1"/>
    </xf>
    <xf numFmtId="170" fontId="0" fillId="0" borderId="11" xfId="59" applyNumberFormat="1" applyFont="1" applyBorder="1" applyAlignment="1" applyProtection="1">
      <alignment vertical="center" wrapText="1"/>
    </xf>
    <xf numFmtId="179" fontId="75" fillId="33" borderId="20" xfId="125" applyNumberFormat="1" applyFont="1" applyFill="1" applyBorder="1" applyAlignment="1" applyProtection="1">
      <alignment vertical="center"/>
    </xf>
    <xf numFmtId="180" fontId="51" fillId="33" borderId="20" xfId="134" applyNumberFormat="1" applyFill="1" applyBorder="1" applyAlignment="1" applyProtection="1">
      <alignment vertical="center" wrapText="1"/>
    </xf>
    <xf numFmtId="0" fontId="76" fillId="34" borderId="47" xfId="134" applyFont="1" applyFill="1" applyBorder="1" applyAlignment="1" applyProtection="1">
      <alignment horizontal="center" vertical="center" wrapText="1"/>
    </xf>
    <xf numFmtId="205" fontId="51" fillId="0" borderId="0" xfId="134" applyNumberFormat="1" applyAlignment="1" applyProtection="1">
      <alignment vertical="center" wrapText="1"/>
    </xf>
    <xf numFmtId="43" fontId="51" fillId="0" borderId="0" xfId="134" applyNumberFormat="1" applyAlignment="1" applyProtection="1">
      <alignment vertical="center" wrapText="1"/>
    </xf>
    <xf numFmtId="43" fontId="51" fillId="0" borderId="0" xfId="59" applyNumberFormat="1" applyFont="1" applyAlignment="1" applyProtection="1">
      <alignment vertical="center" wrapText="1"/>
    </xf>
    <xf numFmtId="165" fontId="0" fillId="0" borderId="0" xfId="78" applyNumberFormat="1" applyFont="1" applyBorder="1" applyAlignment="1" applyProtection="1">
      <alignment vertical="center" wrapText="1"/>
    </xf>
    <xf numFmtId="0" fontId="78" fillId="0" borderId="52" xfId="134" applyFont="1" applyFill="1" applyBorder="1" applyAlignment="1" applyProtection="1">
      <alignment vertical="center" wrapText="1"/>
    </xf>
    <xf numFmtId="0" fontId="74" fillId="0" borderId="18" xfId="0" applyFont="1" applyFill="1" applyBorder="1" applyAlignment="1" applyProtection="1">
      <alignment horizontal="left" vertical="center" wrapText="1"/>
    </xf>
    <xf numFmtId="0" fontId="51" fillId="0" borderId="52" xfId="134" applyBorder="1" applyAlignment="1" applyProtection="1">
      <alignment vertical="center" wrapText="1"/>
    </xf>
    <xf numFmtId="0" fontId="51" fillId="0" borderId="52" xfId="134" applyFill="1" applyBorder="1" applyAlignment="1" applyProtection="1">
      <alignment vertical="center" wrapText="1"/>
    </xf>
    <xf numFmtId="0" fontId="74" fillId="0" borderId="0" xfId="0" applyFont="1" applyFill="1" applyBorder="1" applyAlignment="1" applyProtection="1">
      <alignment horizontal="left" vertical="center" wrapText="1"/>
    </xf>
    <xf numFmtId="165" fontId="0" fillId="0" borderId="22" xfId="78" applyNumberFormat="1" applyFont="1" applyBorder="1" applyAlignment="1" applyProtection="1">
      <alignment vertical="center" wrapText="1"/>
    </xf>
    <xf numFmtId="203" fontId="0" fillId="0" borderId="76" xfId="78" applyNumberFormat="1" applyFont="1" applyBorder="1" applyAlignment="1" applyProtection="1">
      <alignment vertical="center" wrapText="1"/>
    </xf>
    <xf numFmtId="0" fontId="81" fillId="0" borderId="76" xfId="204" applyFont="1" applyBorder="1" applyAlignment="1" applyProtection="1">
      <alignment vertical="center" wrapText="1"/>
    </xf>
    <xf numFmtId="0" fontId="30" fillId="0" borderId="37" xfId="0" applyFont="1" applyFill="1" applyBorder="1" applyAlignment="1" applyProtection="1">
      <alignment horizontal="center" vertical="center" wrapText="1"/>
      <protection locked="0"/>
    </xf>
    <xf numFmtId="0" fontId="51" fillId="0" borderId="77" xfId="134" applyBorder="1" applyAlignment="1" applyProtection="1">
      <alignment horizontal="center" vertical="center" wrapText="1"/>
    </xf>
    <xf numFmtId="180" fontId="0" fillId="0" borderId="76" xfId="78" applyNumberFormat="1" applyFont="1" applyBorder="1" applyAlignment="1" applyProtection="1">
      <alignment vertical="center" wrapText="1"/>
    </xf>
    <xf numFmtId="180" fontId="76" fillId="34" borderId="47" xfId="78" applyNumberFormat="1" applyFont="1" applyFill="1" applyBorder="1" applyAlignment="1" applyProtection="1">
      <alignment horizontal="center" vertical="center" wrapText="1"/>
    </xf>
    <xf numFmtId="180" fontId="51" fillId="0" borderId="21" xfId="134" applyNumberFormat="1" applyBorder="1" applyAlignment="1" applyProtection="1">
      <alignment horizontal="center" vertical="center" wrapText="1"/>
    </xf>
    <xf numFmtId="180" fontId="51" fillId="0" borderId="76" xfId="134" applyNumberFormat="1" applyFill="1" applyBorder="1" applyAlignment="1" applyProtection="1">
      <alignment vertical="center" wrapText="1"/>
    </xf>
    <xf numFmtId="0" fontId="35" fillId="0" borderId="0" xfId="0" applyFont="1" applyAlignment="1" applyProtection="1">
      <alignment horizontal="center"/>
      <protection locked="0"/>
    </xf>
    <xf numFmtId="1" fontId="31" fillId="30" borderId="11" xfId="0" applyNumberFormat="1" applyFont="1" applyFill="1" applyBorder="1" applyProtection="1"/>
    <xf numFmtId="1" fontId="35" fillId="30" borderId="11" xfId="0" applyNumberFormat="1" applyFont="1" applyFill="1" applyBorder="1" applyAlignment="1" applyProtection="1">
      <alignment horizontal="right"/>
    </xf>
    <xf numFmtId="0" fontId="28" fillId="30" borderId="11" xfId="0" applyFont="1" applyFill="1" applyBorder="1" applyProtection="1">
      <protection locked="0"/>
    </xf>
    <xf numFmtId="0" fontId="28" fillId="0" borderId="0" xfId="0" applyFont="1" applyAlignment="1">
      <alignment vertical="center"/>
    </xf>
    <xf numFmtId="1" fontId="35" fillId="0" borderId="0" xfId="0" applyNumberFormat="1" applyFont="1" applyAlignment="1" applyProtection="1">
      <alignment horizontal="center"/>
      <protection locked="0"/>
    </xf>
    <xf numFmtId="1" fontId="35" fillId="0" borderId="15" xfId="0" applyNumberFormat="1" applyFont="1" applyBorder="1" applyAlignment="1" applyProtection="1">
      <alignment horizontal="center"/>
      <protection locked="0"/>
    </xf>
    <xf numFmtId="177" fontId="34" fillId="39" borderId="78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78" xfId="0" applyNumberFormat="1" applyFont="1" applyFill="1" applyBorder="1" applyAlignment="1" applyProtection="1">
      <alignment horizontal="left" vertical="center" wrapText="1"/>
      <protection locked="0"/>
    </xf>
    <xf numFmtId="0" fontId="74" fillId="42" borderId="18" xfId="0" applyFont="1" applyFill="1" applyBorder="1" applyAlignment="1" applyProtection="1">
      <alignment horizontal="left" vertical="center" wrapText="1"/>
    </xf>
    <xf numFmtId="0" fontId="74" fillId="42" borderId="11" xfId="0" applyFont="1" applyFill="1" applyBorder="1" applyAlignment="1" applyProtection="1">
      <alignment horizontal="left" vertical="center" wrapText="1"/>
    </xf>
    <xf numFmtId="165" fontId="0" fillId="42" borderId="11" xfId="78" applyNumberFormat="1" applyFont="1" applyFill="1" applyBorder="1" applyAlignment="1" applyProtection="1">
      <alignment vertical="center" wrapText="1"/>
    </xf>
    <xf numFmtId="180" fontId="0" fillId="42" borderId="11" xfId="78" applyNumberFormat="1" applyFont="1" applyFill="1" applyBorder="1" applyAlignment="1" applyProtection="1">
      <alignment vertical="center" wrapText="1"/>
    </xf>
    <xf numFmtId="0" fontId="51" fillId="42" borderId="52" xfId="134" applyFill="1" applyBorder="1" applyAlignment="1" applyProtection="1">
      <alignment vertical="center" wrapText="1"/>
    </xf>
    <xf numFmtId="43" fontId="51" fillId="42" borderId="11" xfId="134" applyNumberFormat="1" applyFill="1" applyBorder="1" applyAlignment="1" applyProtection="1">
      <alignment vertical="center" wrapText="1"/>
    </xf>
    <xf numFmtId="180" fontId="0" fillId="42" borderId="76" xfId="78" applyNumberFormat="1" applyFont="1" applyFill="1" applyBorder="1" applyAlignment="1" applyProtection="1">
      <alignment vertical="center" wrapText="1"/>
    </xf>
    <xf numFmtId="0" fontId="51" fillId="42" borderId="0" xfId="134" applyFill="1" applyAlignment="1" applyProtection="1">
      <alignment vertical="center" wrapText="1"/>
    </xf>
    <xf numFmtId="170" fontId="0" fillId="42" borderId="11" xfId="59" applyNumberFormat="1" applyFont="1" applyFill="1" applyBorder="1" applyAlignment="1" applyProtection="1">
      <alignment vertical="center" wrapText="1"/>
    </xf>
    <xf numFmtId="0" fontId="0" fillId="0" borderId="0" xfId="0" applyBorder="1"/>
    <xf numFmtId="0" fontId="0" fillId="0" borderId="45" xfId="0" applyBorder="1"/>
    <xf numFmtId="0" fontId="0" fillId="0" borderId="49" xfId="0" applyBorder="1"/>
    <xf numFmtId="0" fontId="0" fillId="0" borderId="28" xfId="0" applyBorder="1"/>
    <xf numFmtId="0" fontId="30" fillId="0" borderId="0" xfId="0" applyFont="1" applyBorder="1"/>
    <xf numFmtId="0" fontId="86" fillId="0" borderId="0" xfId="0" applyFont="1" applyBorder="1" applyAlignment="1">
      <alignment horizontal="center"/>
    </xf>
    <xf numFmtId="172" fontId="86" fillId="0" borderId="0" xfId="0" applyNumberFormat="1" applyFont="1" applyBorder="1"/>
    <xf numFmtId="2" fontId="0" fillId="0" borderId="0" xfId="0" applyNumberFormat="1" applyBorder="1"/>
    <xf numFmtId="17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33" fillId="0" borderId="27" xfId="0" applyFont="1" applyBorder="1"/>
    <xf numFmtId="0" fontId="0" fillId="0" borderId="0" xfId="0" applyBorder="1" applyAlignment="1">
      <alignment horizontal="left"/>
    </xf>
    <xf numFmtId="0" fontId="0" fillId="0" borderId="27" xfId="0" applyBorder="1"/>
    <xf numFmtId="0" fontId="0" fillId="0" borderId="0" xfId="0" applyBorder="1" applyAlignment="1">
      <alignment horizontal="center"/>
    </xf>
    <xf numFmtId="0" fontId="30" fillId="0" borderId="45" xfId="0" applyFont="1" applyFill="1" applyBorder="1" applyAlignment="1">
      <alignment vertical="center"/>
    </xf>
    <xf numFmtId="0" fontId="30" fillId="0" borderId="49" xfId="0" applyFont="1" applyBorder="1" applyAlignment="1">
      <alignment horizontal="center" vertical="center"/>
    </xf>
    <xf numFmtId="0" fontId="0" fillId="0" borderId="0" xfId="0" applyFill="1" applyBorder="1"/>
    <xf numFmtId="0" fontId="0" fillId="0" borderId="28" xfId="0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33" fillId="0" borderId="0" xfId="0" applyFont="1" applyFill="1" applyBorder="1"/>
    <xf numFmtId="2" fontId="33" fillId="0" borderId="13" xfId="0" applyNumberFormat="1" applyFont="1" applyBorder="1" applyAlignment="1">
      <alignment horizontal="center"/>
    </xf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 applyAlignment="1"/>
    <xf numFmtId="0" fontId="84" fillId="0" borderId="41" xfId="0" applyFont="1" applyBorder="1" applyAlignment="1">
      <alignment horizontal="center"/>
    </xf>
    <xf numFmtId="0" fontId="84" fillId="0" borderId="39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89" fillId="25" borderId="30" xfId="0" applyFont="1" applyFill="1" applyBorder="1"/>
    <xf numFmtId="0" fontId="0" fillId="0" borderId="39" xfId="0" applyBorder="1"/>
    <xf numFmtId="0" fontId="0" fillId="0" borderId="37" xfId="0" applyBorder="1"/>
    <xf numFmtId="0" fontId="0" fillId="0" borderId="27" xfId="0" applyBorder="1" applyAlignment="1">
      <alignment horizontal="center" wrapText="1"/>
    </xf>
    <xf numFmtId="0" fontId="0" fillId="0" borderId="6" xfId="0" applyBorder="1"/>
    <xf numFmtId="0" fontId="0" fillId="0" borderId="44" xfId="0" applyBorder="1"/>
    <xf numFmtId="0" fontId="30" fillId="0" borderId="30" xfId="0" applyFont="1" applyBorder="1"/>
    <xf numFmtId="172" fontId="86" fillId="0" borderId="33" xfId="0" applyNumberFormat="1" applyFont="1" applyBorder="1" applyAlignment="1">
      <alignment horizontal="center"/>
    </xf>
    <xf numFmtId="0" fontId="30" fillId="0" borderId="29" xfId="0" applyFont="1" applyBorder="1" applyAlignment="1">
      <alignment vertical="center" wrapText="1"/>
    </xf>
    <xf numFmtId="0" fontId="30" fillId="0" borderId="37" xfId="0" applyFont="1" applyBorder="1" applyAlignment="1">
      <alignment horizontal="center" vertical="center"/>
    </xf>
    <xf numFmtId="0" fontId="30" fillId="0" borderId="30" xfId="0" applyFont="1" applyBorder="1" applyAlignment="1">
      <alignment wrapText="1"/>
    </xf>
    <xf numFmtId="0" fontId="86" fillId="0" borderId="22" xfId="0" applyFont="1" applyBorder="1" applyAlignment="1">
      <alignment horizontal="center"/>
    </xf>
    <xf numFmtId="0" fontId="86" fillId="0" borderId="22" xfId="0" applyFont="1" applyBorder="1"/>
    <xf numFmtId="0" fontId="86" fillId="0" borderId="22" xfId="0" applyFont="1" applyFill="1" applyBorder="1"/>
    <xf numFmtId="172" fontId="30" fillId="0" borderId="33" xfId="0" applyNumberFormat="1" applyFont="1" applyBorder="1" applyAlignment="1">
      <alignment horizontal="center"/>
    </xf>
    <xf numFmtId="0" fontId="87" fillId="0" borderId="29" xfId="0" applyFont="1" applyBorder="1"/>
    <xf numFmtId="2" fontId="33" fillId="0" borderId="37" xfId="0" applyNumberFormat="1" applyFont="1" applyBorder="1" applyAlignment="1">
      <alignment horizontal="center"/>
    </xf>
    <xf numFmtId="2" fontId="33" fillId="25" borderId="33" xfId="0" applyNumberFormat="1" applyFont="1" applyFill="1" applyBorder="1" applyAlignment="1">
      <alignment horizontal="center"/>
    </xf>
    <xf numFmtId="0" fontId="0" fillId="0" borderId="27" xfId="0" applyBorder="1" applyAlignment="1">
      <alignment wrapText="1"/>
    </xf>
    <xf numFmtId="0" fontId="94" fillId="0" borderId="30" xfId="0" applyFont="1" applyBorder="1" applyAlignment="1">
      <alignment horizontal="left"/>
    </xf>
    <xf numFmtId="0" fontId="86" fillId="0" borderId="23" xfId="0" applyFont="1" applyBorder="1" applyAlignment="1"/>
    <xf numFmtId="0" fontId="86" fillId="0" borderId="66" xfId="0" applyFont="1" applyBorder="1" applyAlignment="1"/>
    <xf numFmtId="0" fontId="30" fillId="0" borderId="22" xfId="0" applyFont="1" applyBorder="1" applyAlignment="1">
      <alignment horizontal="center"/>
    </xf>
    <xf numFmtId="0" fontId="0" fillId="0" borderId="24" xfId="0" applyBorder="1"/>
    <xf numFmtId="177" fontId="23" fillId="26" borderId="96" xfId="0" applyNumberFormat="1" applyFont="1" applyFill="1" applyBorder="1" applyAlignment="1" applyProtection="1">
      <alignment horizontal="center" vertical="center"/>
      <protection locked="0"/>
    </xf>
    <xf numFmtId="2" fontId="25" fillId="35" borderId="99" xfId="0" applyNumberFormat="1" applyFont="1" applyFill="1" applyBorder="1" applyAlignment="1" applyProtection="1">
      <alignment horizontal="center" vertical="center"/>
    </xf>
    <xf numFmtId="177" fontId="25" fillId="35" borderId="99" xfId="0" applyNumberFormat="1" applyFont="1" applyFill="1" applyBorder="1" applyAlignment="1" applyProtection="1">
      <alignment horizontal="center" vertical="center"/>
    </xf>
    <xf numFmtId="175" fontId="23" fillId="24" borderId="101" xfId="0" applyNumberFormat="1" applyFont="1" applyFill="1" applyBorder="1" applyAlignment="1" applyProtection="1">
      <alignment horizontal="center" vertical="center"/>
    </xf>
    <xf numFmtId="2" fontId="32" fillId="35" borderId="102" xfId="0" applyNumberFormat="1" applyFont="1" applyFill="1" applyBorder="1" applyAlignment="1" applyProtection="1">
      <alignment horizontal="center" vertical="center"/>
    </xf>
    <xf numFmtId="0" fontId="30" fillId="0" borderId="62" xfId="0" applyFont="1" applyBorder="1" applyAlignment="1">
      <alignment wrapText="1"/>
    </xf>
    <xf numFmtId="0" fontId="30" fillId="0" borderId="44" xfId="0" applyFont="1" applyBorder="1" applyAlignment="1">
      <alignment wrapText="1"/>
    </xf>
    <xf numFmtId="0" fontId="18" fillId="0" borderId="27" xfId="0" applyFont="1" applyBorder="1"/>
    <xf numFmtId="2" fontId="24" fillId="0" borderId="0" xfId="0" applyNumberFormat="1" applyFont="1" applyBorder="1" applyAlignment="1">
      <alignment horizontal="center"/>
    </xf>
    <xf numFmtId="2" fontId="0" fillId="0" borderId="100" xfId="0" applyNumberFormat="1" applyBorder="1" applyAlignment="1">
      <alignment horizontal="center"/>
    </xf>
    <xf numFmtId="0" fontId="18" fillId="0" borderId="91" xfId="0" applyFont="1" applyBorder="1"/>
    <xf numFmtId="0" fontId="88" fillId="0" borderId="91" xfId="0" applyFont="1" applyBorder="1"/>
    <xf numFmtId="2" fontId="33" fillId="0" borderId="92" xfId="0" applyNumberFormat="1" applyFont="1" applyBorder="1" applyAlignment="1">
      <alignment horizontal="center"/>
    </xf>
    <xf numFmtId="0" fontId="86" fillId="0" borderId="91" xfId="0" applyFont="1" applyBorder="1"/>
    <xf numFmtId="0" fontId="86" fillId="0" borderId="100" xfId="0" applyFont="1" applyBorder="1" applyAlignment="1">
      <alignment horizontal="center"/>
    </xf>
    <xf numFmtId="2" fontId="86" fillId="31" borderId="98" xfId="0" applyNumberFormat="1" applyFont="1" applyFill="1" applyBorder="1" applyAlignment="1">
      <alignment horizontal="center"/>
    </xf>
    <xf numFmtId="2" fontId="86" fillId="0" borderId="92" xfId="0" applyNumberFormat="1" applyFont="1" applyBorder="1" applyAlignment="1">
      <alignment horizontal="center"/>
    </xf>
    <xf numFmtId="0" fontId="84" fillId="0" borderId="25" xfId="0" applyFont="1" applyBorder="1" applyAlignment="1">
      <alignment horizontal="center" vertical="center" wrapText="1"/>
    </xf>
    <xf numFmtId="0" fontId="84" fillId="0" borderId="25" xfId="0" applyFont="1" applyBorder="1" applyAlignment="1">
      <alignment vertical="center"/>
    </xf>
    <xf numFmtId="0" fontId="0" fillId="0" borderId="92" xfId="0" applyBorder="1"/>
    <xf numFmtId="0" fontId="18" fillId="0" borderId="112" xfId="0" applyFont="1" applyBorder="1"/>
    <xf numFmtId="0" fontId="18" fillId="0" borderId="113" xfId="0" applyFont="1" applyBorder="1"/>
    <xf numFmtId="0" fontId="30" fillId="0" borderId="25" xfId="0" applyFont="1" applyBorder="1" applyAlignment="1">
      <alignment horizontal="center" vertical="center" wrapText="1"/>
    </xf>
    <xf numFmtId="172" fontId="86" fillId="0" borderId="100" xfId="0" applyNumberFormat="1" applyFont="1" applyBorder="1" applyAlignment="1">
      <alignment horizontal="center"/>
    </xf>
    <xf numFmtId="0" fontId="86" fillId="31" borderId="98" xfId="0" applyFont="1" applyFill="1" applyBorder="1" applyAlignment="1">
      <alignment horizontal="center"/>
    </xf>
    <xf numFmtId="1" fontId="86" fillId="0" borderId="100" xfId="0" applyNumberFormat="1" applyFont="1" applyBorder="1" applyAlignment="1">
      <alignment horizontal="center"/>
    </xf>
    <xf numFmtId="0" fontId="86" fillId="0" borderId="91" xfId="0" applyFont="1" applyBorder="1" applyAlignment="1">
      <alignment horizontal="left"/>
    </xf>
    <xf numFmtId="0" fontId="30" fillId="0" borderId="100" xfId="0" applyFont="1" applyBorder="1" applyAlignment="1"/>
    <xf numFmtId="0" fontId="30" fillId="31" borderId="100" xfId="0" applyFont="1" applyFill="1" applyBorder="1" applyAlignment="1"/>
    <xf numFmtId="172" fontId="86" fillId="0" borderId="92" xfId="0" applyNumberFormat="1" applyFont="1" applyBorder="1" applyAlignment="1">
      <alignment horizontal="center"/>
    </xf>
    <xf numFmtId="0" fontId="30" fillId="0" borderId="98" xfId="0" applyFont="1" applyBorder="1" applyAlignment="1">
      <alignment horizontal="center"/>
    </xf>
    <xf numFmtId="0" fontId="30" fillId="31" borderId="100" xfId="0" applyFont="1" applyFill="1" applyBorder="1" applyAlignment="1">
      <alignment horizontal="center"/>
    </xf>
    <xf numFmtId="0" fontId="87" fillId="0" borderId="91" xfId="0" applyFont="1" applyBorder="1"/>
    <xf numFmtId="2" fontId="33" fillId="0" borderId="28" xfId="0" applyNumberFormat="1" applyFont="1" applyBorder="1" applyAlignment="1">
      <alignment horizontal="center"/>
    </xf>
    <xf numFmtId="0" fontId="30" fillId="0" borderId="25" xfId="0" applyFont="1" applyBorder="1" applyAlignment="1">
      <alignment horizontal="center" vertical="center"/>
    </xf>
    <xf numFmtId="0" fontId="85" fillId="31" borderId="100" xfId="0" applyFont="1" applyFill="1" applyBorder="1" applyAlignment="1">
      <alignment horizontal="center"/>
    </xf>
    <xf numFmtId="0" fontId="84" fillId="0" borderId="100" xfId="0" applyFont="1" applyBorder="1" applyAlignment="1">
      <alignment vertical="center" wrapText="1"/>
    </xf>
    <xf numFmtId="0" fontId="84" fillId="0" borderId="100" xfId="0" applyFont="1" applyBorder="1" applyAlignment="1">
      <alignment horizontal="center" vertical="center" wrapText="1"/>
    </xf>
    <xf numFmtId="0" fontId="18" fillId="0" borderId="91" xfId="0" applyFont="1" applyBorder="1" applyAlignment="1">
      <alignment wrapText="1"/>
    </xf>
    <xf numFmtId="0" fontId="86" fillId="0" borderId="100" xfId="0" applyFont="1" applyBorder="1" applyAlignment="1">
      <alignment horizontal="center" vertical="center" wrapText="1"/>
    </xf>
    <xf numFmtId="0" fontId="86" fillId="31" borderId="100" xfId="0" applyFont="1" applyFill="1" applyBorder="1" applyAlignment="1">
      <alignment horizontal="center" vertical="center" wrapText="1"/>
    </xf>
    <xf numFmtId="177" fontId="86" fillId="0" borderId="100" xfId="0" applyNumberFormat="1" applyFont="1" applyBorder="1" applyAlignment="1">
      <alignment horizontal="center" vertical="center" wrapText="1"/>
    </xf>
    <xf numFmtId="0" fontId="30" fillId="0" borderId="25" xfId="0" applyFont="1" applyFill="1" applyBorder="1" applyAlignment="1">
      <alignment vertical="center"/>
    </xf>
    <xf numFmtId="2" fontId="86" fillId="0" borderId="100" xfId="0" applyNumberFormat="1" applyFont="1" applyBorder="1" applyAlignment="1">
      <alignment horizontal="center"/>
    </xf>
    <xf numFmtId="2" fontId="86" fillId="0" borderId="100" xfId="0" applyNumberFormat="1" applyFont="1" applyFill="1" applyBorder="1" applyAlignment="1">
      <alignment horizontal="center"/>
    </xf>
    <xf numFmtId="172" fontId="30" fillId="0" borderId="92" xfId="0" applyNumberFormat="1" applyFont="1" applyBorder="1" applyAlignment="1">
      <alignment horizontal="center" vertical="center"/>
    </xf>
    <xf numFmtId="0" fontId="30" fillId="0" borderId="100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172" fontId="30" fillId="0" borderId="92" xfId="0" applyNumberFormat="1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/>
    </xf>
    <xf numFmtId="172" fontId="30" fillId="0" borderId="100" xfId="0" applyNumberFormat="1" applyFont="1" applyBorder="1" applyAlignment="1">
      <alignment horizontal="center" vertical="center"/>
    </xf>
    <xf numFmtId="2" fontId="30" fillId="0" borderId="100" xfId="0" applyNumberFormat="1" applyFont="1" applyBorder="1" applyAlignment="1">
      <alignment horizontal="center" vertical="center"/>
    </xf>
    <xf numFmtId="0" fontId="30" fillId="0" borderId="91" xfId="0" applyFont="1" applyBorder="1" applyAlignment="1">
      <alignment horizontal="center" vertical="center"/>
    </xf>
    <xf numFmtId="0" fontId="95" fillId="45" borderId="91" xfId="0" applyFont="1" applyFill="1" applyBorder="1" applyAlignment="1">
      <alignment vertical="center"/>
    </xf>
    <xf numFmtId="172" fontId="0" fillId="0" borderId="0" xfId="0" applyNumberFormat="1" applyBorder="1" applyAlignment="1">
      <alignment horizontal="center"/>
    </xf>
    <xf numFmtId="0" fontId="0" fillId="0" borderId="91" xfId="0" applyNumberFormat="1" applyBorder="1"/>
    <xf numFmtId="0" fontId="0" fillId="0" borderId="100" xfId="0" applyNumberFormat="1" applyBorder="1"/>
    <xf numFmtId="0" fontId="18" fillId="0" borderId="100" xfId="0" applyNumberFormat="1" applyFont="1" applyBorder="1"/>
    <xf numFmtId="0" fontId="0" fillId="0" borderId="92" xfId="0" applyNumberForma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2" fontId="86" fillId="0" borderId="97" xfId="0" applyNumberFormat="1" applyFont="1" applyBorder="1" applyAlignment="1">
      <alignment horizontal="center"/>
    </xf>
    <xf numFmtId="172" fontId="86" fillId="0" borderId="97" xfId="0" applyNumberFormat="1" applyFont="1" applyBorder="1" applyAlignment="1">
      <alignment horizontal="center"/>
    </xf>
    <xf numFmtId="172" fontId="86" fillId="0" borderId="23" xfId="0" applyNumberFormat="1" applyFont="1" applyBorder="1" applyAlignment="1">
      <alignment horizontal="center"/>
    </xf>
    <xf numFmtId="2" fontId="30" fillId="0" borderId="100" xfId="0" applyNumberFormat="1" applyFont="1" applyBorder="1" applyAlignment="1">
      <alignment horizontal="center" vertical="center" wrapText="1"/>
    </xf>
    <xf numFmtId="0" fontId="0" fillId="0" borderId="91" xfId="0" applyBorder="1" applyAlignment="1">
      <alignment horizontal="center"/>
    </xf>
    <xf numFmtId="2" fontId="0" fillId="0" borderId="92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96" fillId="45" borderId="29" xfId="0" applyFont="1" applyFill="1" applyBorder="1" applyAlignment="1">
      <alignment vertical="center"/>
    </xf>
    <xf numFmtId="0" fontId="0" fillId="0" borderId="104" xfId="0" applyNumberFormat="1" applyBorder="1"/>
    <xf numFmtId="0" fontId="0" fillId="0" borderId="111" xfId="0" applyNumberFormat="1" applyBorder="1" applyAlignment="1">
      <alignment horizontal="center"/>
    </xf>
    <xf numFmtId="0" fontId="0" fillId="0" borderId="118" xfId="0" applyNumberFormat="1" applyBorder="1"/>
    <xf numFmtId="0" fontId="18" fillId="0" borderId="46" xfId="0" applyFont="1" applyBorder="1"/>
    <xf numFmtId="0" fontId="18" fillId="0" borderId="0" xfId="0" applyFont="1" applyBorder="1"/>
    <xf numFmtId="2" fontId="30" fillId="0" borderId="92" xfId="0" applyNumberFormat="1" applyFont="1" applyBorder="1" applyAlignment="1">
      <alignment horizontal="center" vertical="center" wrapText="1"/>
    </xf>
    <xf numFmtId="0" fontId="0" fillId="0" borderId="33" xfId="0" applyBorder="1"/>
    <xf numFmtId="0" fontId="30" fillId="0" borderId="91" xfId="0" applyFont="1" applyBorder="1" applyAlignment="1">
      <alignment horizontal="center" vertical="center" wrapText="1"/>
    </xf>
    <xf numFmtId="0" fontId="27" fillId="0" borderId="89" xfId="0" applyFont="1" applyBorder="1" applyAlignment="1">
      <alignment wrapText="1"/>
    </xf>
    <xf numFmtId="0" fontId="27" fillId="0" borderId="63" xfId="0" applyFont="1" applyBorder="1" applyAlignment="1">
      <alignment horizontal="center"/>
    </xf>
    <xf numFmtId="0" fontId="0" fillId="0" borderId="103" xfId="0" applyBorder="1"/>
    <xf numFmtId="0" fontId="27" fillId="0" borderId="65" xfId="0" applyFont="1" applyBorder="1" applyAlignment="1">
      <alignment horizontal="center"/>
    </xf>
    <xf numFmtId="0" fontId="18" fillId="0" borderId="118" xfId="0" applyFont="1" applyBorder="1"/>
    <xf numFmtId="0" fontId="84" fillId="0" borderId="97" xfId="0" quotePrefix="1" applyFont="1" applyBorder="1" applyAlignment="1">
      <alignment horizontal="center" vertical="center" wrapText="1"/>
    </xf>
    <xf numFmtId="177" fontId="86" fillId="0" borderId="97" xfId="0" applyNumberFormat="1" applyFont="1" applyBorder="1" applyAlignment="1">
      <alignment horizontal="center" vertical="center" wrapText="1"/>
    </xf>
    <xf numFmtId="172" fontId="0" fillId="0" borderId="45" xfId="0" applyNumberFormat="1" applyBorder="1" applyAlignment="1">
      <alignment horizontal="center"/>
    </xf>
    <xf numFmtId="177" fontId="34" fillId="41" borderId="100" xfId="0" applyNumberFormat="1" applyFont="1" applyFill="1" applyBorder="1" applyAlignment="1" applyProtection="1">
      <alignment horizontal="left" vertical="center" wrapText="1"/>
      <protection locked="0"/>
    </xf>
    <xf numFmtId="1" fontId="34" fillId="37" borderId="100" xfId="0" applyNumberFormat="1" applyFont="1" applyFill="1" applyBorder="1" applyAlignment="1" applyProtection="1">
      <alignment horizontal="center" vertical="center" wrapText="1"/>
      <protection locked="0"/>
    </xf>
    <xf numFmtId="1" fontId="34" fillId="38" borderId="100" xfId="0" applyNumberFormat="1" applyFont="1" applyFill="1" applyBorder="1" applyAlignment="1" applyProtection="1">
      <alignment horizontal="center" vertical="center" wrapText="1"/>
      <protection locked="0"/>
    </xf>
    <xf numFmtId="1" fontId="34" fillId="40" borderId="100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97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98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110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10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77" fontId="34" fillId="39" borderId="46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92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68" xfId="0" applyNumberFormat="1" applyFont="1" applyFill="1" applyBorder="1" applyAlignment="1" applyProtection="1">
      <alignment horizontal="center" vertical="center" wrapText="1"/>
      <protection locked="0"/>
    </xf>
    <xf numFmtId="1" fontId="34" fillId="41" borderId="91" xfId="0" applyNumberFormat="1" applyFont="1" applyFill="1" applyBorder="1" applyAlignment="1" applyProtection="1">
      <alignment horizontal="center" vertical="center" wrapText="1"/>
      <protection locked="0"/>
    </xf>
    <xf numFmtId="1" fontId="34" fillId="31" borderId="100" xfId="0" applyNumberFormat="1" applyFont="1" applyFill="1" applyBorder="1" applyAlignment="1" applyProtection="1">
      <alignment horizontal="left" vertical="center" wrapText="1"/>
      <protection locked="0"/>
    </xf>
    <xf numFmtId="1" fontId="34" fillId="37" borderId="100" xfId="0" applyNumberFormat="1" applyFont="1" applyFill="1" applyBorder="1" applyAlignment="1" applyProtection="1">
      <alignment horizontal="left" vertical="center" wrapText="1"/>
      <protection locked="0"/>
    </xf>
    <xf numFmtId="177" fontId="34" fillId="37" borderId="100" xfId="0" applyNumberFormat="1" applyFont="1" applyFill="1" applyBorder="1" applyAlignment="1" applyProtection="1">
      <alignment horizontal="center" vertical="center" wrapText="1"/>
      <protection locked="0"/>
    </xf>
    <xf numFmtId="177" fontId="34" fillId="38" borderId="100" xfId="0" applyNumberFormat="1" applyFont="1" applyFill="1" applyBorder="1" applyAlignment="1" applyProtection="1">
      <alignment horizontal="center" vertical="center" wrapText="1"/>
      <protection locked="0"/>
    </xf>
    <xf numFmtId="177" fontId="34" fillId="40" borderId="100" xfId="0" applyNumberFormat="1" applyFont="1" applyFill="1" applyBorder="1" applyAlignment="1" applyProtection="1">
      <alignment horizontal="center" vertical="center" wrapText="1"/>
      <protection locked="0"/>
    </xf>
    <xf numFmtId="177" fontId="34" fillId="37" borderId="100" xfId="0" applyNumberFormat="1" applyFont="1" applyFill="1" applyBorder="1" applyAlignment="1" applyProtection="1">
      <alignment horizontal="left" vertical="center" wrapText="1"/>
      <protection locked="0"/>
    </xf>
    <xf numFmtId="0" fontId="34" fillId="38" borderId="100" xfId="0" applyFont="1" applyFill="1" applyBorder="1" applyAlignment="1">
      <alignment horizontal="center" vertical="center"/>
    </xf>
    <xf numFmtId="0" fontId="34" fillId="40" borderId="100" xfId="0" applyFont="1" applyFill="1" applyBorder="1" applyAlignment="1">
      <alignment horizontal="center" vertical="center"/>
    </xf>
    <xf numFmtId="0" fontId="34" fillId="38" borderId="100" xfId="0" applyFont="1" applyFill="1" applyBorder="1" applyAlignment="1">
      <alignment horizontal="center" wrapText="1"/>
    </xf>
    <xf numFmtId="0" fontId="34" fillId="38" borderId="100" xfId="0" applyFont="1" applyFill="1" applyBorder="1" applyAlignment="1">
      <alignment horizontal="center" vertical="center" wrapText="1"/>
    </xf>
    <xf numFmtId="0" fontId="34" fillId="40" borderId="100" xfId="0" applyFont="1" applyFill="1" applyBorder="1" applyAlignment="1">
      <alignment horizontal="center" vertical="center" wrapText="1"/>
    </xf>
    <xf numFmtId="1" fontId="34" fillId="41" borderId="30" xfId="0" applyNumberFormat="1" applyFont="1" applyFill="1" applyBorder="1" applyAlignment="1" applyProtection="1">
      <alignment horizontal="center" vertical="center" wrapText="1"/>
      <protection locked="0"/>
    </xf>
    <xf numFmtId="177" fontId="34" fillId="41" borderId="119" xfId="0" applyNumberFormat="1" applyFont="1" applyFill="1" applyBorder="1" applyAlignment="1" applyProtection="1">
      <alignment horizontal="left" vertical="center" wrapText="1"/>
      <protection locked="0"/>
    </xf>
    <xf numFmtId="177" fontId="34" fillId="37" borderId="119" xfId="0" applyNumberFormat="1" applyFont="1" applyFill="1" applyBorder="1" applyAlignment="1" applyProtection="1">
      <alignment horizontal="left" vertical="center" wrapText="1"/>
      <protection locked="0"/>
    </xf>
    <xf numFmtId="0" fontId="34" fillId="38" borderId="119" xfId="0" applyFont="1" applyFill="1" applyBorder="1" applyAlignment="1">
      <alignment horizontal="center" vertical="center" wrapText="1"/>
    </xf>
    <xf numFmtId="0" fontId="34" fillId="40" borderId="119" xfId="0" applyFont="1" applyFill="1" applyBorder="1" applyAlignment="1">
      <alignment horizontal="center" vertical="center" wrapText="1"/>
    </xf>
    <xf numFmtId="177" fontId="34" fillId="48" borderId="100" xfId="0" applyNumberFormat="1" applyFont="1" applyFill="1" applyBorder="1" applyAlignment="1" applyProtection="1">
      <alignment horizontal="center" vertical="center" wrapText="1"/>
      <protection locked="0"/>
    </xf>
    <xf numFmtId="0" fontId="18" fillId="48" borderId="78" xfId="0" applyFont="1" applyFill="1" applyBorder="1" applyAlignment="1">
      <alignment vertical="top"/>
    </xf>
    <xf numFmtId="0" fontId="30" fillId="48" borderId="100" xfId="0" applyFont="1" applyFill="1" applyBorder="1" applyAlignment="1">
      <alignment wrapText="1"/>
    </xf>
    <xf numFmtId="0" fontId="18" fillId="48" borderId="100" xfId="0" applyFont="1" applyFill="1" applyBorder="1" applyAlignment="1">
      <alignment vertical="top" wrapText="1"/>
    </xf>
    <xf numFmtId="177" fontId="34" fillId="48" borderId="100" xfId="0" applyNumberFormat="1" applyFont="1" applyFill="1" applyBorder="1" applyAlignment="1" applyProtection="1">
      <alignment horizontal="left" vertical="center" wrapText="1"/>
      <protection locked="0"/>
    </xf>
    <xf numFmtId="177" fontId="34" fillId="48" borderId="119" xfId="0" applyNumberFormat="1" applyFont="1" applyFill="1" applyBorder="1" applyAlignment="1" applyProtection="1">
      <alignment horizontal="left" vertical="center" wrapText="1"/>
      <protection locked="0"/>
    </xf>
    <xf numFmtId="177" fontId="34" fillId="33" borderId="100" xfId="0" applyNumberFormat="1" applyFont="1" applyFill="1" applyBorder="1" applyAlignment="1" applyProtection="1">
      <alignment horizontal="center" vertical="center" wrapText="1"/>
      <protection locked="0"/>
    </xf>
    <xf numFmtId="0" fontId="18" fillId="33" borderId="78" xfId="0" applyFont="1" applyFill="1" applyBorder="1" applyAlignment="1">
      <alignment vertical="top"/>
    </xf>
    <xf numFmtId="0" fontId="30" fillId="33" borderId="100" xfId="0" applyFont="1" applyFill="1" applyBorder="1" applyAlignment="1">
      <alignment wrapText="1"/>
    </xf>
    <xf numFmtId="0" fontId="18" fillId="33" borderId="100" xfId="0" applyFont="1" applyFill="1" applyBorder="1" applyAlignment="1">
      <alignment vertical="top" wrapText="1"/>
    </xf>
    <xf numFmtId="177" fontId="34" fillId="33" borderId="100" xfId="0" applyNumberFormat="1" applyFont="1" applyFill="1" applyBorder="1" applyAlignment="1" applyProtection="1">
      <alignment horizontal="left" vertical="center" wrapText="1"/>
      <protection locked="0"/>
    </xf>
    <xf numFmtId="177" fontId="34" fillId="33" borderId="119" xfId="0" applyNumberFormat="1" applyFont="1" applyFill="1" applyBorder="1" applyAlignment="1" applyProtection="1">
      <alignment horizontal="left" vertical="center" wrapText="1"/>
      <protection locked="0"/>
    </xf>
    <xf numFmtId="177" fontId="34" fillId="48" borderId="92" xfId="0" applyNumberFormat="1" applyFont="1" applyFill="1" applyBorder="1" applyAlignment="1" applyProtection="1">
      <alignment horizontal="center" vertical="center" wrapText="1"/>
      <protection locked="0"/>
    </xf>
    <xf numFmtId="0" fontId="18" fillId="48" borderId="92" xfId="0" applyFont="1" applyFill="1" applyBorder="1" applyAlignment="1">
      <alignment vertical="top" wrapText="1"/>
    </xf>
    <xf numFmtId="0" fontId="30" fillId="48" borderId="92" xfId="0" applyFont="1" applyFill="1" applyBorder="1" applyAlignment="1">
      <alignment wrapText="1"/>
    </xf>
    <xf numFmtId="0" fontId="18" fillId="48" borderId="68" xfId="0" applyFont="1" applyFill="1" applyBorder="1" applyAlignment="1">
      <alignment vertical="top" wrapText="1"/>
    </xf>
    <xf numFmtId="177" fontId="34" fillId="48" borderId="120" xfId="0" applyNumberFormat="1" applyFont="1" applyFill="1" applyBorder="1" applyAlignment="1" applyProtection="1">
      <alignment horizontal="left" vertical="center" wrapText="1"/>
      <protection locked="0"/>
    </xf>
    <xf numFmtId="177" fontId="34" fillId="33" borderId="100" xfId="0" applyNumberFormat="1" applyFont="1" applyFill="1" applyBorder="1" applyAlignment="1" applyProtection="1">
      <alignment horizontal="left" vertical="top" wrapText="1"/>
      <protection locked="0"/>
    </xf>
    <xf numFmtId="177" fontId="34" fillId="37" borderId="100" xfId="0" applyNumberFormat="1" applyFont="1" applyFill="1" applyBorder="1" applyAlignment="1" applyProtection="1">
      <alignment horizontal="left" vertical="top" wrapText="1"/>
      <protection locked="0"/>
    </xf>
    <xf numFmtId="177" fontId="34" fillId="48" borderId="100" xfId="0" applyNumberFormat="1" applyFont="1" applyFill="1" applyBorder="1" applyAlignment="1" applyProtection="1">
      <alignment horizontal="left" vertical="top" wrapText="1"/>
      <protection locked="0"/>
    </xf>
    <xf numFmtId="177" fontId="34" fillId="48" borderId="92" xfId="0" applyNumberFormat="1" applyFont="1" applyFill="1" applyBorder="1" applyAlignment="1" applyProtection="1">
      <alignment horizontal="left" vertical="top" wrapText="1"/>
      <protection locked="0"/>
    </xf>
    <xf numFmtId="0" fontId="34" fillId="38" borderId="100" xfId="0" applyFont="1" applyFill="1" applyBorder="1" applyAlignment="1">
      <alignment horizontal="left" vertical="top" wrapText="1"/>
    </xf>
    <xf numFmtId="0" fontId="34" fillId="40" borderId="100" xfId="0" applyFont="1" applyFill="1" applyBorder="1" applyAlignment="1">
      <alignment horizontal="left" vertical="top" wrapText="1"/>
    </xf>
    <xf numFmtId="165" fontId="51" fillId="0" borderId="0" xfId="134" applyNumberFormat="1" applyAlignment="1" applyProtection="1">
      <alignment vertical="center" wrapText="1"/>
    </xf>
    <xf numFmtId="2" fontId="51" fillId="0" borderId="0" xfId="134" applyNumberFormat="1" applyAlignment="1" applyProtection="1">
      <alignment vertical="center" wrapText="1"/>
    </xf>
    <xf numFmtId="1" fontId="34" fillId="31" borderId="100" xfId="0" applyNumberFormat="1" applyFont="1" applyFill="1" applyBorder="1" applyAlignment="1" applyProtection="1">
      <alignment horizontal="center" vertical="center" wrapText="1"/>
      <protection locked="0"/>
    </xf>
    <xf numFmtId="177" fontId="34" fillId="31" borderId="100" xfId="0" applyNumberFormat="1" applyFont="1" applyFill="1" applyBorder="1" applyAlignment="1" applyProtection="1">
      <alignment horizontal="center" vertical="center" wrapText="1"/>
      <protection locked="0"/>
    </xf>
    <xf numFmtId="0" fontId="34" fillId="31" borderId="100" xfId="0" applyFont="1" applyFill="1" applyBorder="1" applyAlignment="1">
      <alignment horizontal="center" wrapText="1"/>
    </xf>
    <xf numFmtId="0" fontId="18" fillId="29" borderId="16" xfId="128" applyFont="1" applyFill="1" applyBorder="1" applyAlignment="1" applyProtection="1">
      <alignment horizontal="left" vertical="center" wrapText="1"/>
    </xf>
    <xf numFmtId="0" fontId="0" fillId="26" borderId="0" xfId="0" applyFill="1" applyProtection="1">
      <protection locked="0"/>
    </xf>
    <xf numFmtId="0" fontId="0" fillId="26" borderId="0" xfId="0" applyFill="1" applyBorder="1" applyProtection="1">
      <protection locked="0"/>
    </xf>
    <xf numFmtId="0" fontId="18" fillId="26" borderId="0" xfId="128" applyFill="1" applyBorder="1" applyAlignment="1" applyProtection="1">
      <alignment vertical="center" wrapText="1"/>
      <protection locked="0"/>
    </xf>
    <xf numFmtId="0" fontId="18" fillId="26" borderId="0" xfId="128" applyFill="1" applyAlignment="1" applyProtection="1">
      <alignment vertical="center" wrapText="1"/>
      <protection locked="0"/>
    </xf>
    <xf numFmtId="0" fontId="0" fillId="26" borderId="0" xfId="0" applyFill="1" applyBorder="1" applyAlignment="1" applyProtection="1">
      <alignment horizontal="center"/>
      <protection locked="0"/>
    </xf>
    <xf numFmtId="0" fontId="0" fillId="26" borderId="0" xfId="0" applyNumberFormat="1" applyFill="1" applyBorder="1" applyAlignment="1" applyProtection="1">
      <alignment horizontal="center"/>
      <protection locked="0"/>
    </xf>
    <xf numFmtId="49" fontId="0" fillId="26" borderId="0" xfId="0" quotePrefix="1" applyNumberFormat="1" applyFill="1" applyBorder="1" applyAlignment="1" applyProtection="1">
      <alignment horizontal="center"/>
      <protection locked="0"/>
    </xf>
    <xf numFmtId="0" fontId="0" fillId="26" borderId="0" xfId="0" quotePrefix="1" applyNumberFormat="1" applyFill="1" applyBorder="1" applyAlignment="1" applyProtection="1">
      <alignment horizontal="center"/>
      <protection locked="0"/>
    </xf>
    <xf numFmtId="0" fontId="0" fillId="26" borderId="0" xfId="0" applyFill="1" applyBorder="1" applyAlignment="1" applyProtection="1">
      <alignment horizontal="center" vertical="center"/>
      <protection locked="0"/>
    </xf>
    <xf numFmtId="18" fontId="0" fillId="26" borderId="0" xfId="0" applyNumberFormat="1" applyFill="1" applyProtection="1">
      <protection locked="0"/>
    </xf>
    <xf numFmtId="14" fontId="0" fillId="26" borderId="0" xfId="0" applyNumberFormat="1" applyFill="1" applyProtection="1">
      <protection locked="0"/>
    </xf>
    <xf numFmtId="206" fontId="0" fillId="26" borderId="0" xfId="0" applyNumberFormat="1" applyFill="1" applyProtection="1">
      <protection locked="0"/>
    </xf>
    <xf numFmtId="177" fontId="34" fillId="39" borderId="47" xfId="207" applyNumberFormat="1" applyFont="1" applyFill="1" applyBorder="1" applyAlignment="1" applyProtection="1">
      <alignment horizontal="center" vertical="center" wrapText="1"/>
      <protection locked="0"/>
    </xf>
    <xf numFmtId="1" fontId="34" fillId="36" borderId="100" xfId="207" applyNumberFormat="1" applyFont="1" applyFill="1" applyBorder="1" applyAlignment="1" applyProtection="1">
      <alignment horizontal="center" vertical="center" wrapText="1"/>
      <protection locked="0"/>
    </xf>
    <xf numFmtId="177" fontId="34" fillId="36" borderId="100" xfId="207" applyNumberFormat="1" applyFont="1" applyFill="1" applyBorder="1" applyAlignment="1" applyProtection="1">
      <alignment horizontal="center" vertical="center" wrapText="1"/>
      <protection locked="0"/>
    </xf>
    <xf numFmtId="0" fontId="34" fillId="36" borderId="100" xfId="207" applyFont="1" applyFill="1" applyBorder="1" applyAlignment="1">
      <alignment horizontal="center" vertical="center"/>
    </xf>
    <xf numFmtId="0" fontId="34" fillId="36" borderId="100" xfId="207" applyFont="1" applyFill="1" applyBorder="1" applyAlignment="1">
      <alignment horizontal="center" wrapText="1"/>
    </xf>
    <xf numFmtId="0" fontId="34" fillId="36" borderId="100" xfId="207" applyFont="1" applyFill="1" applyBorder="1" applyAlignment="1">
      <alignment horizontal="center" vertical="center" wrapText="1"/>
    </xf>
    <xf numFmtId="0" fontId="34" fillId="36" borderId="119" xfId="207" applyFont="1" applyFill="1" applyBorder="1" applyAlignment="1">
      <alignment horizontal="center" vertical="center" wrapText="1"/>
    </xf>
    <xf numFmtId="0" fontId="34" fillId="36" borderId="100" xfId="207" applyFont="1" applyFill="1" applyBorder="1" applyAlignment="1">
      <alignment vertical="top" wrapText="1"/>
    </xf>
    <xf numFmtId="177" fontId="34" fillId="31" borderId="100" xfId="207" applyNumberFormat="1" applyFont="1" applyFill="1" applyBorder="1" applyAlignment="1" applyProtection="1">
      <alignment horizontal="center" vertical="center" wrapText="1"/>
      <protection locked="0"/>
    </xf>
    <xf numFmtId="0" fontId="27" fillId="0" borderId="65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0" fillId="0" borderId="92" xfId="0" applyFont="1" applyBorder="1" applyAlignment="1">
      <alignment vertical="center" wrapText="1"/>
    </xf>
    <xf numFmtId="0" fontId="0" fillId="0" borderId="130" xfId="0" applyNumberFormat="1" applyBorder="1"/>
    <xf numFmtId="0" fontId="84" fillId="0" borderId="130" xfId="0" applyFont="1" applyBorder="1" applyAlignment="1">
      <alignment vertical="center" wrapText="1"/>
    </xf>
    <xf numFmtId="0" fontId="84" fillId="0" borderId="130" xfId="0" applyFont="1" applyBorder="1" applyAlignment="1">
      <alignment horizontal="center" vertical="center" wrapText="1"/>
    </xf>
    <xf numFmtId="0" fontId="84" fillId="0" borderId="128" xfId="0" quotePrefix="1" applyFont="1" applyBorder="1" applyAlignment="1">
      <alignment horizontal="center" vertical="center" wrapText="1"/>
    </xf>
    <xf numFmtId="0" fontId="86" fillId="31" borderId="104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vertical="center"/>
    </xf>
    <xf numFmtId="0" fontId="30" fillId="0" borderId="130" xfId="0" applyFont="1" applyBorder="1" applyAlignment="1">
      <alignment horizontal="center" vertical="center"/>
    </xf>
    <xf numFmtId="172" fontId="30" fillId="0" borderId="130" xfId="0" applyNumberFormat="1" applyFont="1" applyBorder="1" applyAlignment="1">
      <alignment horizontal="center" vertical="center"/>
    </xf>
    <xf numFmtId="2" fontId="30" fillId="0" borderId="130" xfId="0" applyNumberFormat="1" applyFont="1" applyBorder="1" applyAlignment="1">
      <alignment horizontal="center" vertical="center"/>
    </xf>
    <xf numFmtId="0" fontId="18" fillId="0" borderId="130" xfId="0" applyNumberFormat="1" applyFont="1" applyBorder="1"/>
    <xf numFmtId="0" fontId="0" fillId="0" borderId="125" xfId="0" applyNumberFormat="1" applyBorder="1" applyAlignment="1">
      <alignment horizontal="center"/>
    </xf>
    <xf numFmtId="2" fontId="30" fillId="0" borderId="130" xfId="0" applyNumberFormat="1" applyFont="1" applyBorder="1" applyAlignment="1">
      <alignment horizontal="center" vertical="center" wrapText="1"/>
    </xf>
    <xf numFmtId="172" fontId="86" fillId="0" borderId="130" xfId="0" applyNumberFormat="1" applyFont="1" applyBorder="1" applyAlignment="1">
      <alignment horizontal="center"/>
    </xf>
    <xf numFmtId="0" fontId="86" fillId="31" borderId="129" xfId="0" applyFont="1" applyFill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1" fontId="86" fillId="0" borderId="130" xfId="0" applyNumberFormat="1" applyFont="1" applyBorder="1" applyAlignment="1">
      <alignment horizontal="center"/>
    </xf>
    <xf numFmtId="2" fontId="86" fillId="31" borderId="129" xfId="0" applyNumberFormat="1" applyFont="1" applyFill="1" applyBorder="1" applyAlignment="1">
      <alignment horizontal="center"/>
    </xf>
    <xf numFmtId="0" fontId="86" fillId="0" borderId="130" xfId="0" applyFont="1" applyBorder="1" applyAlignment="1">
      <alignment horizontal="center"/>
    </xf>
    <xf numFmtId="0" fontId="0" fillId="0" borderId="133" xfId="0" applyBorder="1"/>
    <xf numFmtId="2" fontId="86" fillId="0" borderId="130" xfId="0" applyNumberFormat="1" applyFont="1" applyBorder="1" applyAlignment="1">
      <alignment horizontal="center"/>
    </xf>
    <xf numFmtId="2" fontId="86" fillId="0" borderId="130" xfId="0" applyNumberFormat="1" applyFont="1" applyFill="1" applyBorder="1" applyAlignment="1">
      <alignment horizontal="center"/>
    </xf>
    <xf numFmtId="177" fontId="86" fillId="32" borderId="100" xfId="0" applyNumberFormat="1" applyFont="1" applyFill="1" applyBorder="1" applyAlignment="1">
      <alignment horizontal="center" vertical="center" wrapText="1"/>
    </xf>
    <xf numFmtId="2" fontId="33" fillId="32" borderId="37" xfId="0" applyNumberFormat="1" applyFont="1" applyFill="1" applyBorder="1" applyAlignment="1">
      <alignment horizontal="center"/>
    </xf>
    <xf numFmtId="2" fontId="33" fillId="32" borderId="92" xfId="0" applyNumberFormat="1" applyFont="1" applyFill="1" applyBorder="1" applyAlignment="1">
      <alignment horizontal="center"/>
    </xf>
    <xf numFmtId="2" fontId="33" fillId="32" borderId="28" xfId="0" applyNumberFormat="1" applyFont="1" applyFill="1" applyBorder="1" applyAlignment="1">
      <alignment horizontal="center"/>
    </xf>
    <xf numFmtId="2" fontId="33" fillId="32" borderId="33" xfId="0" applyNumberFormat="1" applyFont="1" applyFill="1" applyBorder="1" applyAlignment="1">
      <alignment horizontal="center"/>
    </xf>
    <xf numFmtId="177" fontId="86" fillId="32" borderId="97" xfId="0" applyNumberFormat="1" applyFont="1" applyFill="1" applyBorder="1" applyAlignment="1">
      <alignment horizontal="center" vertical="center" wrapText="1"/>
    </xf>
    <xf numFmtId="0" fontId="86" fillId="32" borderId="0" xfId="0" applyFont="1" applyFill="1" applyBorder="1" applyAlignment="1">
      <alignment horizontal="center"/>
    </xf>
    <xf numFmtId="2" fontId="33" fillId="28" borderId="37" xfId="0" applyNumberFormat="1" applyFont="1" applyFill="1" applyBorder="1" applyAlignment="1">
      <alignment horizontal="center"/>
    </xf>
    <xf numFmtId="2" fontId="33" fillId="28" borderId="92" xfId="0" applyNumberFormat="1" applyFont="1" applyFill="1" applyBorder="1" applyAlignment="1">
      <alignment horizontal="center"/>
    </xf>
    <xf numFmtId="2" fontId="33" fillId="28" borderId="33" xfId="0" applyNumberFormat="1" applyFont="1" applyFill="1" applyBorder="1" applyAlignment="1">
      <alignment horizontal="center"/>
    </xf>
    <xf numFmtId="0" fontId="0" fillId="28" borderId="30" xfId="0" applyFill="1" applyBorder="1" applyAlignment="1">
      <alignment horizontal="center"/>
    </xf>
    <xf numFmtId="2" fontId="0" fillId="28" borderId="22" xfId="0" applyNumberFormat="1" applyFill="1" applyBorder="1" applyAlignment="1">
      <alignment horizontal="center"/>
    </xf>
    <xf numFmtId="172" fontId="30" fillId="28" borderId="33" xfId="0" applyNumberFormat="1" applyFont="1" applyFill="1" applyBorder="1" applyAlignment="1">
      <alignment horizontal="center"/>
    </xf>
    <xf numFmtId="0" fontId="84" fillId="31" borderId="130" xfId="0" applyFont="1" applyFill="1" applyBorder="1" applyAlignment="1">
      <alignment vertical="center" wrapText="1"/>
    </xf>
    <xf numFmtId="0" fontId="0" fillId="28" borderId="92" xfId="0" applyFill="1" applyBorder="1" applyAlignment="1">
      <alignment horizontal="center" vertical="center"/>
    </xf>
    <xf numFmtId="2" fontId="0" fillId="28" borderId="132" xfId="0" applyNumberFormat="1" applyFill="1" applyBorder="1" applyAlignment="1">
      <alignment horizontal="center"/>
    </xf>
    <xf numFmtId="2" fontId="86" fillId="28" borderId="92" xfId="0" applyNumberFormat="1" applyFont="1" applyFill="1" applyBorder="1" applyAlignment="1">
      <alignment horizontal="center"/>
    </xf>
    <xf numFmtId="172" fontId="30" fillId="28" borderId="92" xfId="0" applyNumberFormat="1" applyFont="1" applyFill="1" applyBorder="1" applyAlignment="1">
      <alignment horizontal="center" vertical="center"/>
    </xf>
    <xf numFmtId="0" fontId="86" fillId="0" borderId="134" xfId="0" applyFont="1" applyBorder="1" applyAlignment="1">
      <alignment horizontal="center"/>
    </xf>
    <xf numFmtId="2" fontId="86" fillId="0" borderId="134" xfId="0" applyNumberFormat="1" applyFont="1" applyBorder="1" applyAlignment="1">
      <alignment horizontal="center"/>
    </xf>
    <xf numFmtId="2" fontId="86" fillId="0" borderId="134" xfId="0" applyNumberFormat="1" applyFont="1" applyFill="1" applyBorder="1" applyAlignment="1">
      <alignment horizontal="center"/>
    </xf>
    <xf numFmtId="172" fontId="30" fillId="0" borderId="125" xfId="0" applyNumberFormat="1" applyFont="1" applyBorder="1" applyAlignment="1">
      <alignment horizontal="center" vertical="center"/>
    </xf>
    <xf numFmtId="172" fontId="30" fillId="28" borderId="15" xfId="0" applyNumberFormat="1" applyFont="1" applyFill="1" applyBorder="1" applyAlignment="1">
      <alignment horizontal="center"/>
    </xf>
    <xf numFmtId="0" fontId="87" fillId="0" borderId="14" xfId="0" applyFont="1" applyBorder="1"/>
    <xf numFmtId="0" fontId="88" fillId="0" borderId="83" xfId="0" applyFont="1" applyBorder="1"/>
    <xf numFmtId="0" fontId="87" fillId="0" borderId="83" xfId="0" applyFont="1" applyBorder="1"/>
    <xf numFmtId="0" fontId="89" fillId="25" borderId="90" xfId="0" applyFont="1" applyFill="1" applyBorder="1"/>
    <xf numFmtId="2" fontId="33" fillId="28" borderId="135" xfId="0" applyNumberFormat="1" applyFont="1" applyFill="1" applyBorder="1" applyAlignment="1">
      <alignment horizontal="center"/>
    </xf>
    <xf numFmtId="2" fontId="33" fillId="28" borderId="105" xfId="0" applyNumberFormat="1" applyFont="1" applyFill="1" applyBorder="1" applyAlignment="1">
      <alignment horizontal="center"/>
    </xf>
    <xf numFmtId="2" fontId="33" fillId="28" borderId="36" xfId="0" applyNumberFormat="1" applyFont="1" applyFill="1" applyBorder="1" applyAlignment="1">
      <alignment horizontal="center"/>
    </xf>
    <xf numFmtId="177" fontId="23" fillId="26" borderId="62" xfId="0" applyNumberFormat="1" applyFont="1" applyFill="1" applyBorder="1" applyAlignment="1" applyProtection="1">
      <alignment horizontal="center" vertical="center"/>
      <protection locked="0"/>
    </xf>
    <xf numFmtId="2" fontId="25" fillId="35" borderId="139" xfId="0" applyNumberFormat="1" applyFont="1" applyFill="1" applyBorder="1" applyAlignment="1" applyProtection="1">
      <alignment horizontal="center" vertical="center"/>
    </xf>
    <xf numFmtId="177" fontId="25" fillId="35" borderId="139" xfId="0" applyNumberFormat="1" applyFont="1" applyFill="1" applyBorder="1" applyAlignment="1" applyProtection="1">
      <alignment horizontal="center" vertical="center"/>
    </xf>
    <xf numFmtId="175" fontId="23" fillId="24" borderId="140" xfId="0" applyNumberFormat="1" applyFont="1" applyFill="1" applyBorder="1" applyAlignment="1" applyProtection="1">
      <alignment horizontal="center" vertical="center"/>
    </xf>
    <xf numFmtId="2" fontId="32" fillId="35" borderId="121" xfId="0" applyNumberFormat="1" applyFont="1" applyFill="1" applyBorder="1" applyAlignment="1" applyProtection="1">
      <alignment horizontal="center" vertical="center"/>
    </xf>
    <xf numFmtId="2" fontId="25" fillId="35" borderId="144" xfId="0" applyNumberFormat="1" applyFont="1" applyFill="1" applyBorder="1" applyAlignment="1" applyProtection="1">
      <alignment horizontal="center" vertical="center"/>
    </xf>
    <xf numFmtId="177" fontId="25" fillId="35" borderId="144" xfId="0" applyNumberFormat="1" applyFont="1" applyFill="1" applyBorder="1" applyAlignment="1" applyProtection="1">
      <alignment horizontal="center" vertical="center"/>
    </xf>
    <xf numFmtId="175" fontId="23" fillId="24" borderId="142" xfId="0" applyNumberFormat="1" applyFont="1" applyFill="1" applyBorder="1" applyAlignment="1" applyProtection="1">
      <alignment horizontal="center" vertical="center"/>
    </xf>
    <xf numFmtId="2" fontId="32" fillId="35" borderId="146" xfId="0" applyNumberFormat="1" applyFont="1" applyFill="1" applyBorder="1" applyAlignment="1" applyProtection="1">
      <alignment horizontal="center" vertical="center"/>
    </xf>
    <xf numFmtId="177" fontId="108" fillId="0" borderId="0" xfId="0" applyNumberFormat="1" applyFont="1" applyProtection="1">
      <protection locked="0"/>
    </xf>
    <xf numFmtId="177" fontId="25" fillId="27" borderId="47" xfId="101" applyNumberFormat="1" applyFont="1" applyFill="1" applyBorder="1" applyAlignment="1" applyProtection="1">
      <alignment horizontal="center" vertical="center"/>
    </xf>
    <xf numFmtId="177" fontId="25" fillId="27" borderId="100" xfId="101" applyNumberFormat="1" applyFont="1" applyFill="1" applyBorder="1" applyAlignment="1" applyProtection="1">
      <alignment horizontal="center" vertical="center"/>
    </xf>
    <xf numFmtId="177" fontId="82" fillId="26" borderId="22" xfId="0" applyNumberFormat="1" applyFont="1" applyFill="1" applyBorder="1" applyAlignment="1" applyProtection="1">
      <alignment horizontal="centerContinuous" vertical="center" wrapText="1"/>
    </xf>
    <xf numFmtId="177" fontId="82" fillId="26" borderId="22" xfId="0" applyNumberFormat="1" applyFont="1" applyFill="1" applyBorder="1" applyAlignment="1" applyProtection="1">
      <alignment horizontal="center" vertical="center" wrapText="1"/>
    </xf>
    <xf numFmtId="177" fontId="82" fillId="26" borderId="29" xfId="0" applyNumberFormat="1" applyFont="1" applyFill="1" applyBorder="1" applyAlignment="1" applyProtection="1">
      <alignment horizontal="center" vertical="center"/>
    </xf>
    <xf numFmtId="177" fontId="97" fillId="0" borderId="0" xfId="0" applyNumberFormat="1" applyFont="1" applyFill="1" applyProtection="1">
      <protection locked="0"/>
    </xf>
    <xf numFmtId="177" fontId="97" fillId="0" borderId="0" xfId="0" applyNumberFormat="1" applyFont="1" applyProtection="1">
      <protection locked="0"/>
    </xf>
    <xf numFmtId="177" fontId="82" fillId="26" borderId="30" xfId="0" applyNumberFormat="1" applyFont="1" applyFill="1" applyBorder="1" applyAlignment="1" applyProtection="1">
      <alignment horizontal="center" vertical="center"/>
    </xf>
    <xf numFmtId="177" fontId="82" fillId="26" borderId="22" xfId="0" applyNumberFormat="1" applyFont="1" applyFill="1" applyBorder="1" applyAlignment="1" applyProtection="1">
      <alignment horizontal="centerContinuous" vertical="center"/>
    </xf>
    <xf numFmtId="177" fontId="82" fillId="26" borderId="64" xfId="0" applyNumberFormat="1" applyFont="1" applyFill="1" applyBorder="1" applyAlignment="1" applyProtection="1">
      <alignment horizontal="center" vertical="center"/>
    </xf>
    <xf numFmtId="177" fontId="82" fillId="26" borderId="89" xfId="0" applyNumberFormat="1" applyFont="1" applyFill="1" applyBorder="1" applyAlignment="1" applyProtection="1">
      <alignment horizontal="center" vertical="center"/>
    </xf>
    <xf numFmtId="177" fontId="82" fillId="26" borderId="151" xfId="0" applyNumberFormat="1" applyFont="1" applyFill="1" applyBorder="1" applyAlignment="1" applyProtection="1">
      <alignment horizontal="center" vertical="center"/>
    </xf>
    <xf numFmtId="177" fontId="82" fillId="26" borderId="152" xfId="0" applyNumberFormat="1" applyFont="1" applyFill="1" applyBorder="1" applyAlignment="1" applyProtection="1">
      <alignment horizontal="center" vertical="center" wrapText="1"/>
    </xf>
    <xf numFmtId="177" fontId="82" fillId="26" borderId="153" xfId="0" applyNumberFormat="1" applyFont="1" applyFill="1" applyBorder="1" applyAlignment="1" applyProtection="1">
      <alignment horizontal="center" vertical="center" wrapText="1"/>
    </xf>
    <xf numFmtId="177" fontId="108" fillId="0" borderId="0" xfId="0" applyNumberFormat="1" applyFont="1" applyFill="1" applyProtection="1">
      <protection locked="0"/>
    </xf>
    <xf numFmtId="0" fontId="3" fillId="0" borderId="0" xfId="235"/>
    <xf numFmtId="0" fontId="102" fillId="0" borderId="0" xfId="235" applyFont="1"/>
    <xf numFmtId="0" fontId="101" fillId="0" borderId="50" xfId="128" applyFont="1" applyBorder="1" applyAlignment="1">
      <alignment vertical="center" wrapText="1"/>
    </xf>
    <xf numFmtId="0" fontId="101" fillId="0" borderId="50" xfId="128" applyFont="1" applyBorder="1" applyAlignment="1">
      <alignment horizontal="center" vertical="center" wrapText="1"/>
    </xf>
    <xf numFmtId="0" fontId="101" fillId="0" borderId="150" xfId="128" applyFont="1" applyFill="1" applyBorder="1" applyAlignment="1">
      <alignment horizontal="center" vertical="center" wrapText="1"/>
    </xf>
    <xf numFmtId="0" fontId="101" fillId="0" borderId="130" xfId="128" applyFont="1" applyBorder="1" applyAlignment="1">
      <alignment horizontal="left" vertical="center" wrapText="1"/>
    </xf>
    <xf numFmtId="0" fontId="102" fillId="0" borderId="130" xfId="235" applyFont="1" applyBorder="1" applyAlignment="1"/>
    <xf numFmtId="0" fontId="102" fillId="0" borderId="130" xfId="235" applyFont="1" applyBorder="1"/>
    <xf numFmtId="0" fontId="110" fillId="0" borderId="130" xfId="128" applyFont="1" applyBorder="1" applyAlignment="1">
      <alignment horizontal="left" vertical="center" wrapText="1"/>
    </xf>
    <xf numFmtId="0" fontId="101" fillId="0" borderId="64" xfId="235" applyFont="1" applyBorder="1" applyAlignment="1">
      <alignment vertical="center" textRotation="90" wrapText="1"/>
    </xf>
    <xf numFmtId="0" fontId="101" fillId="0" borderId="39" xfId="128" applyFont="1" applyBorder="1" applyAlignment="1">
      <alignment horizontal="center" vertical="center" wrapText="1"/>
    </xf>
    <xf numFmtId="0" fontId="110" fillId="0" borderId="130" xfId="128" applyFont="1" applyBorder="1" applyAlignment="1">
      <alignment horizontal="left" vertical="center"/>
    </xf>
    <xf numFmtId="0" fontId="110" fillId="0" borderId="94" xfId="235" applyFont="1" applyBorder="1" applyAlignment="1"/>
    <xf numFmtId="1" fontId="110" fillId="0" borderId="94" xfId="235" applyNumberFormat="1" applyFont="1" applyBorder="1" applyAlignment="1">
      <alignment horizontal="center"/>
    </xf>
    <xf numFmtId="0" fontId="110" fillId="0" borderId="94" xfId="235" applyFont="1" applyBorder="1"/>
    <xf numFmtId="0" fontId="102" fillId="49" borderId="48" xfId="128" applyFont="1" applyFill="1" applyBorder="1" applyAlignment="1">
      <alignment horizontal="left" vertical="center" wrapText="1"/>
    </xf>
    <xf numFmtId="0" fontId="110" fillId="0" borderId="130" xfId="235" applyFont="1" applyBorder="1" applyAlignment="1"/>
    <xf numFmtId="1" fontId="110" fillId="0" borderId="130" xfId="235" applyNumberFormat="1" applyFont="1" applyBorder="1" applyAlignment="1">
      <alignment horizontal="center"/>
    </xf>
    <xf numFmtId="0" fontId="110" fillId="0" borderId="130" xfId="235" applyFont="1" applyBorder="1"/>
    <xf numFmtId="0" fontId="102" fillId="49" borderId="87" xfId="128" applyFont="1" applyFill="1" applyBorder="1" applyAlignment="1">
      <alignment horizontal="left" vertical="center" wrapText="1"/>
    </xf>
    <xf numFmtId="0" fontId="110" fillId="0" borderId="130" xfId="235" applyFont="1" applyFill="1" applyBorder="1"/>
    <xf numFmtId="0" fontId="101" fillId="0" borderId="130" xfId="235" applyFont="1" applyBorder="1" applyAlignment="1">
      <alignment horizontal="center" vertical="center" wrapText="1"/>
    </xf>
    <xf numFmtId="0" fontId="110" fillId="0" borderId="0" xfId="235" applyFont="1" applyAlignment="1">
      <alignment vertical="center"/>
    </xf>
    <xf numFmtId="0" fontId="110" fillId="0" borderId="130" xfId="128" applyFont="1" applyFill="1" applyBorder="1" applyAlignment="1">
      <alignment horizontal="left" vertical="center" wrapText="1"/>
    </xf>
    <xf numFmtId="0" fontId="110" fillId="0" borderId="130" xfId="128" applyFont="1" applyFill="1" applyBorder="1" applyAlignment="1">
      <alignment horizontal="left" vertical="center"/>
    </xf>
    <xf numFmtId="0" fontId="110" fillId="0" borderId="155" xfId="128" applyFont="1" applyFill="1" applyBorder="1" applyAlignment="1">
      <alignment horizontal="left" vertical="center" wrapText="1"/>
    </xf>
    <xf numFmtId="0" fontId="110" fillId="0" borderId="155" xfId="235" applyFont="1" applyBorder="1" applyAlignment="1"/>
    <xf numFmtId="0" fontId="110" fillId="0" borderId="155" xfId="235" applyFont="1" applyBorder="1"/>
    <xf numFmtId="0" fontId="110" fillId="0" borderId="79" xfId="128" applyFont="1" applyFill="1" applyBorder="1" applyAlignment="1">
      <alignment horizontal="left" vertical="center" wrapText="1"/>
    </xf>
    <xf numFmtId="0" fontId="110" fillId="0" borderId="79" xfId="235" applyFont="1" applyBorder="1" applyAlignment="1"/>
    <xf numFmtId="0" fontId="110" fillId="0" borderId="79" xfId="235" applyFont="1" applyBorder="1"/>
    <xf numFmtId="0" fontId="102" fillId="0" borderId="37" xfId="235" applyFont="1" applyBorder="1"/>
    <xf numFmtId="0" fontId="102" fillId="0" borderId="87" xfId="235" applyFont="1" applyBorder="1"/>
    <xf numFmtId="0" fontId="102" fillId="0" borderId="156" xfId="235" applyFont="1" applyBorder="1"/>
    <xf numFmtId="0" fontId="101" fillId="0" borderId="0" xfId="235" applyFont="1" applyBorder="1" applyAlignment="1">
      <alignment horizontal="center" vertical="center"/>
    </xf>
    <xf numFmtId="0" fontId="102" fillId="0" borderId="159" xfId="235" applyFont="1" applyBorder="1" applyAlignment="1"/>
    <xf numFmtId="0" fontId="112" fillId="0" borderId="34" xfId="210" applyFont="1" applyBorder="1" applyAlignment="1" applyProtection="1">
      <alignment vertical="center" wrapText="1"/>
      <protection locked="0"/>
    </xf>
    <xf numFmtId="0" fontId="112" fillId="0" borderId="34" xfId="210" applyFont="1" applyBorder="1" applyAlignment="1" applyProtection="1">
      <alignment horizontal="center" vertical="center" wrapText="1"/>
      <protection locked="0"/>
    </xf>
    <xf numFmtId="0" fontId="112" fillId="0" borderId="40" xfId="210" applyFont="1" applyBorder="1" applyAlignment="1" applyProtection="1">
      <alignment horizontal="center" vertical="center" wrapText="1"/>
      <protection locked="0"/>
    </xf>
    <xf numFmtId="0" fontId="110" fillId="0" borderId="94" xfId="128" applyFont="1" applyFill="1" applyBorder="1" applyAlignment="1">
      <alignment horizontal="left" vertical="center" wrapText="1"/>
    </xf>
    <xf numFmtId="0" fontId="110" fillId="0" borderId="94" xfId="235" applyFont="1" applyBorder="1" applyAlignment="1">
      <alignment horizontal="center" vertical="center"/>
    </xf>
    <xf numFmtId="0" fontId="110" fillId="0" borderId="95" xfId="235" applyFont="1" applyBorder="1" applyAlignment="1">
      <alignment horizontal="center" vertical="center"/>
    </xf>
    <xf numFmtId="0" fontId="30" fillId="0" borderId="95" xfId="210" applyFont="1" applyBorder="1" applyAlignment="1" applyProtection="1">
      <alignment vertical="center" wrapText="1"/>
      <protection locked="0"/>
    </xf>
    <xf numFmtId="0" fontId="30" fillId="0" borderId="138" xfId="210" applyFont="1" applyBorder="1" applyAlignment="1" applyProtection="1">
      <alignment vertical="center" wrapText="1"/>
      <protection locked="0"/>
    </xf>
    <xf numFmtId="0" fontId="103" fillId="0" borderId="94" xfId="210" applyFont="1" applyBorder="1" applyAlignment="1" applyProtection="1">
      <alignment vertical="center" wrapText="1"/>
      <protection locked="0"/>
    </xf>
    <xf numFmtId="0" fontId="30" fillId="0" borderId="94" xfId="210" applyFont="1" applyBorder="1" applyAlignment="1" applyProtection="1">
      <alignment vertical="center" wrapText="1"/>
      <protection locked="0"/>
    </xf>
    <xf numFmtId="0" fontId="30" fillId="0" borderId="48" xfId="210" applyFont="1" applyBorder="1" applyAlignment="1" applyProtection="1">
      <alignment vertical="center" wrapText="1"/>
      <protection locked="0"/>
    </xf>
    <xf numFmtId="0" fontId="110" fillId="0" borderId="130" xfId="235" applyFont="1" applyBorder="1" applyAlignment="1">
      <alignment horizontal="center" vertical="center"/>
    </xf>
    <xf numFmtId="0" fontId="110" fillId="0" borderId="128" xfId="235" applyFont="1" applyBorder="1" applyAlignment="1">
      <alignment horizontal="center" vertical="center"/>
    </xf>
    <xf numFmtId="0" fontId="104" fillId="0" borderId="24" xfId="128" applyFont="1" applyBorder="1" applyAlignment="1">
      <alignment horizontal="center"/>
    </xf>
    <xf numFmtId="0" fontId="65" fillId="50" borderId="43" xfId="210" applyFont="1" applyFill="1" applyBorder="1" applyAlignment="1" applyProtection="1">
      <alignment horizontal="left" vertical="center" wrapText="1" indent="1"/>
      <protection locked="0"/>
    </xf>
    <xf numFmtId="0" fontId="103" fillId="50" borderId="13" xfId="210" applyFont="1" applyFill="1" applyBorder="1" applyAlignment="1" applyProtection="1">
      <alignment horizontal="center" vertical="center" textRotation="90" wrapText="1"/>
      <protection locked="0"/>
    </xf>
    <xf numFmtId="0" fontId="103" fillId="50" borderId="0" xfId="210" applyFont="1" applyFill="1" applyBorder="1" applyAlignment="1" applyProtection="1">
      <alignment horizontal="center" vertical="center" textRotation="90" wrapText="1"/>
      <protection locked="0"/>
    </xf>
    <xf numFmtId="0" fontId="18" fillId="50" borderId="0" xfId="210" applyFont="1" applyFill="1" applyBorder="1" applyAlignment="1" applyProtection="1">
      <alignment vertical="center" wrapText="1"/>
      <protection locked="0"/>
    </xf>
    <xf numFmtId="0" fontId="18" fillId="50" borderId="24" xfId="210" applyFont="1" applyFill="1" applyBorder="1" applyAlignment="1" applyProtection="1">
      <alignment horizontal="center" vertical="center" wrapText="1"/>
      <protection locked="0"/>
    </xf>
    <xf numFmtId="0" fontId="18" fillId="51" borderId="145" xfId="210" applyFont="1" applyFill="1" applyBorder="1" applyAlignment="1" applyProtection="1">
      <alignment horizontal="center" vertical="center" wrapText="1"/>
      <protection locked="0"/>
    </xf>
    <xf numFmtId="0" fontId="18" fillId="52" borderId="50" xfId="210" applyFont="1" applyFill="1" applyBorder="1" applyAlignment="1" applyProtection="1">
      <alignment horizontal="center" vertical="center" wrapText="1"/>
      <protection locked="0"/>
    </xf>
    <xf numFmtId="0" fontId="18" fillId="53" borderId="50" xfId="210" applyFont="1" applyFill="1" applyBorder="1" applyAlignment="1" applyProtection="1">
      <alignment horizontal="center" vertical="center" wrapText="1"/>
      <protection locked="0"/>
    </xf>
    <xf numFmtId="0" fontId="18" fillId="30" borderId="50" xfId="210" applyFont="1" applyFill="1" applyBorder="1" applyAlignment="1" applyProtection="1">
      <alignment horizontal="center" vertical="center" wrapText="1"/>
      <protection locked="0"/>
    </xf>
    <xf numFmtId="0" fontId="18" fillId="0" borderId="71" xfId="210" applyFont="1" applyBorder="1" applyAlignment="1" applyProtection="1">
      <alignment vertical="center" wrapText="1"/>
      <protection locked="0"/>
    </xf>
    <xf numFmtId="0" fontId="18" fillId="51" borderId="94" xfId="210" applyFont="1" applyFill="1" applyBorder="1" applyAlignment="1" applyProtection="1">
      <alignment horizontal="center" vertical="center" wrapText="1"/>
      <protection locked="0"/>
    </xf>
    <xf numFmtId="0" fontId="18" fillId="52" borderId="94" xfId="210" applyFont="1" applyFill="1" applyBorder="1" applyAlignment="1" applyProtection="1">
      <alignment horizontal="center" vertical="center" wrapText="1"/>
      <protection locked="0"/>
    </xf>
    <xf numFmtId="0" fontId="18" fillId="53" borderId="94" xfId="210" applyFont="1" applyFill="1" applyBorder="1" applyAlignment="1" applyProtection="1">
      <alignment horizontal="center" vertical="center" wrapText="1"/>
      <protection locked="0"/>
    </xf>
    <xf numFmtId="0" fontId="18" fillId="30" borderId="94" xfId="210" applyFont="1" applyFill="1" applyBorder="1" applyAlignment="1" applyProtection="1">
      <alignment horizontal="center" vertical="center" wrapText="1"/>
      <protection locked="0"/>
    </xf>
    <xf numFmtId="0" fontId="18" fillId="0" borderId="48" xfId="210" applyFont="1" applyBorder="1" applyAlignment="1" applyProtection="1">
      <alignment vertical="center" wrapText="1"/>
      <protection locked="0"/>
    </xf>
    <xf numFmtId="0" fontId="18" fillId="52" borderId="145" xfId="210" applyFont="1" applyFill="1" applyBorder="1" applyAlignment="1" applyProtection="1">
      <alignment horizontal="center" vertical="center" wrapText="1"/>
      <protection locked="0"/>
    </xf>
    <xf numFmtId="0" fontId="18" fillId="53" borderId="145" xfId="210" applyFont="1" applyFill="1" applyBorder="1" applyAlignment="1" applyProtection="1">
      <alignment horizontal="center" vertical="center" wrapText="1"/>
      <protection locked="0"/>
    </xf>
    <xf numFmtId="0" fontId="18" fillId="30" borderId="145" xfId="210" applyFont="1" applyFill="1" applyBorder="1" applyAlignment="1" applyProtection="1">
      <alignment horizontal="center" vertical="center" wrapText="1"/>
      <protection locked="0"/>
    </xf>
    <xf numFmtId="0" fontId="18" fillId="0" borderId="149" xfId="210" applyFont="1" applyBorder="1" applyAlignment="1" applyProtection="1">
      <alignment vertical="center" wrapText="1"/>
      <protection locked="0"/>
    </xf>
    <xf numFmtId="0" fontId="110" fillId="0" borderId="155" xfId="235" applyFont="1" applyBorder="1" applyAlignment="1">
      <alignment horizontal="center" vertical="center"/>
    </xf>
    <xf numFmtId="0" fontId="110" fillId="0" borderId="157" xfId="235" applyFont="1" applyBorder="1" applyAlignment="1">
      <alignment horizontal="center" vertical="center"/>
    </xf>
    <xf numFmtId="0" fontId="102" fillId="0" borderId="0" xfId="235" applyFont="1" applyAlignment="1"/>
    <xf numFmtId="0" fontId="18" fillId="51" borderId="154" xfId="210" applyFont="1" applyFill="1" applyBorder="1" applyAlignment="1" applyProtection="1">
      <alignment horizontal="center" vertical="center" wrapText="1"/>
      <protection locked="0"/>
    </xf>
    <xf numFmtId="0" fontId="18" fillId="52" borderId="154" xfId="210" applyFont="1" applyFill="1" applyBorder="1" applyAlignment="1" applyProtection="1">
      <alignment horizontal="center" vertical="center" wrapText="1"/>
      <protection locked="0"/>
    </xf>
    <xf numFmtId="0" fontId="18" fillId="53" borderId="154" xfId="210" applyFont="1" applyFill="1" applyBorder="1" applyAlignment="1" applyProtection="1">
      <alignment horizontal="center" vertical="center" wrapText="1"/>
      <protection locked="0"/>
    </xf>
    <xf numFmtId="0" fontId="18" fillId="30" borderId="154" xfId="210" applyFont="1" applyFill="1" applyBorder="1" applyAlignment="1" applyProtection="1">
      <alignment horizontal="center" vertical="center" wrapText="1"/>
      <protection locked="0"/>
    </xf>
    <xf numFmtId="0" fontId="18" fillId="0" borderId="68" xfId="210" applyFont="1" applyBorder="1" applyAlignment="1" applyProtection="1">
      <alignment vertical="center" wrapText="1"/>
      <protection locked="0"/>
    </xf>
    <xf numFmtId="0" fontId="18" fillId="51" borderId="63" xfId="210" applyFont="1" applyFill="1" applyBorder="1" applyAlignment="1" applyProtection="1">
      <alignment horizontal="center" vertical="center" wrapText="1"/>
      <protection locked="0"/>
    </xf>
    <xf numFmtId="0" fontId="18" fillId="52" borderId="63" xfId="210" applyFont="1" applyFill="1" applyBorder="1" applyAlignment="1" applyProtection="1">
      <alignment horizontal="center" vertical="center" wrapText="1"/>
      <protection locked="0"/>
    </xf>
    <xf numFmtId="0" fontId="18" fillId="53" borderId="63" xfId="210" applyFont="1" applyFill="1" applyBorder="1" applyAlignment="1" applyProtection="1">
      <alignment horizontal="center" vertical="center" wrapText="1"/>
      <protection locked="0"/>
    </xf>
    <xf numFmtId="0" fontId="18" fillId="30" borderId="63" xfId="210" applyFont="1" applyFill="1" applyBorder="1" applyAlignment="1" applyProtection="1">
      <alignment horizontal="center" vertical="center" wrapText="1"/>
      <protection locked="0"/>
    </xf>
    <xf numFmtId="0" fontId="18" fillId="0" borderId="73" xfId="210" applyFont="1" applyBorder="1" applyAlignment="1" applyProtection="1">
      <alignment vertical="center" wrapText="1"/>
      <protection locked="0"/>
    </xf>
    <xf numFmtId="0" fontId="104" fillId="0" borderId="0" xfId="128" applyFont="1" applyBorder="1"/>
    <xf numFmtId="0" fontId="104" fillId="0" borderId="28" xfId="128" applyFont="1" applyBorder="1"/>
    <xf numFmtId="0" fontId="105" fillId="0" borderId="14" xfId="128" applyFont="1" applyBorder="1" applyAlignment="1">
      <alignment vertical="center"/>
    </xf>
    <xf numFmtId="0" fontId="105" fillId="0" borderId="81" xfId="128" applyFont="1" applyBorder="1" applyAlignment="1">
      <alignment vertical="center"/>
    </xf>
    <xf numFmtId="0" fontId="105" fillId="0" borderId="16" xfId="128" applyFont="1" applyBorder="1" applyAlignment="1">
      <alignment vertical="center"/>
    </xf>
    <xf numFmtId="0" fontId="105" fillId="42" borderId="124" xfId="128" applyFont="1" applyFill="1" applyBorder="1" applyAlignment="1">
      <alignment vertical="center"/>
    </xf>
    <xf numFmtId="0" fontId="105" fillId="42" borderId="159" xfId="128" applyFont="1" applyFill="1" applyBorder="1" applyAlignment="1">
      <alignment vertical="center"/>
    </xf>
    <xf numFmtId="0" fontId="105" fillId="42" borderId="117" xfId="128" applyFont="1" applyFill="1" applyBorder="1" applyAlignment="1">
      <alignment vertical="center"/>
    </xf>
    <xf numFmtId="0" fontId="105" fillId="42" borderId="31" xfId="128" applyFont="1" applyFill="1" applyBorder="1" applyAlignment="1">
      <alignment vertical="center"/>
    </xf>
    <xf numFmtId="0" fontId="105" fillId="42" borderId="136" xfId="128" applyFont="1" applyFill="1" applyBorder="1" applyAlignment="1">
      <alignment vertical="center"/>
    </xf>
    <xf numFmtId="0" fontId="105" fillId="42" borderId="137" xfId="128" applyFont="1" applyFill="1" applyBorder="1" applyAlignment="1">
      <alignment vertical="center"/>
    </xf>
    <xf numFmtId="0" fontId="105" fillId="42" borderId="43" xfId="128" applyFont="1" applyFill="1" applyBorder="1" applyAlignment="1">
      <alignment vertical="center"/>
    </xf>
    <xf numFmtId="0" fontId="105" fillId="42" borderId="13" xfId="128" applyFont="1" applyFill="1" applyBorder="1" applyAlignment="1">
      <alignment vertical="center"/>
    </xf>
    <xf numFmtId="0" fontId="105" fillId="42" borderId="24" xfId="128" applyFont="1" applyFill="1" applyBorder="1" applyAlignment="1">
      <alignment vertical="center"/>
    </xf>
    <xf numFmtId="0" fontId="101" fillId="0" borderId="37" xfId="235" applyFont="1" applyBorder="1" applyAlignment="1">
      <alignment horizontal="center"/>
    </xf>
    <xf numFmtId="0" fontId="101" fillId="0" borderId="0" xfId="235" applyFont="1" applyBorder="1" applyAlignment="1">
      <alignment horizontal="center"/>
    </xf>
    <xf numFmtId="0" fontId="101" fillId="0" borderId="86" xfId="235" applyFont="1" applyBorder="1" applyAlignment="1">
      <alignment horizontal="center"/>
    </xf>
    <xf numFmtId="0" fontId="110" fillId="0" borderId="87" xfId="235" applyFont="1" applyBorder="1" applyAlignment="1">
      <alignment horizontal="center"/>
    </xf>
    <xf numFmtId="0" fontId="110" fillId="0" borderId="0" xfId="235" applyFont="1" applyBorder="1" applyAlignment="1">
      <alignment horizontal="center"/>
    </xf>
    <xf numFmtId="0" fontId="110" fillId="0" borderId="86" xfId="235" applyFont="1" applyBorder="1" applyAlignment="1">
      <alignment horizontal="center"/>
    </xf>
    <xf numFmtId="0" fontId="110" fillId="0" borderId="0" xfId="235" applyFont="1" applyBorder="1"/>
    <xf numFmtId="0" fontId="102" fillId="0" borderId="0" xfId="235" applyFont="1" applyBorder="1"/>
    <xf numFmtId="0" fontId="112" fillId="41" borderId="87" xfId="235" applyFont="1" applyFill="1" applyBorder="1" applyAlignment="1">
      <alignment horizontal="center"/>
    </xf>
    <xf numFmtId="0" fontId="102" fillId="0" borderId="86" xfId="235" applyFont="1" applyBorder="1"/>
    <xf numFmtId="0" fontId="102" fillId="0" borderId="87" xfId="235" applyFont="1" applyBorder="1" applyAlignment="1">
      <alignment horizontal="center"/>
    </xf>
    <xf numFmtId="0" fontId="102" fillId="0" borderId="0" xfId="235" applyFont="1" applyBorder="1" applyAlignment="1">
      <alignment horizontal="center"/>
    </xf>
    <xf numFmtId="0" fontId="102" fillId="0" borderId="30" xfId="235" applyFont="1" applyBorder="1"/>
    <xf numFmtId="0" fontId="101" fillId="0" borderId="155" xfId="235" applyFont="1" applyBorder="1"/>
    <xf numFmtId="0" fontId="102" fillId="0" borderId="156" xfId="235" applyFont="1" applyBorder="1" applyAlignment="1">
      <alignment horizontal="center"/>
    </xf>
    <xf numFmtId="0" fontId="3" fillId="0" borderId="0" xfId="235" applyBorder="1"/>
    <xf numFmtId="0" fontId="102" fillId="0" borderId="0" xfId="235" applyFont="1" applyBorder="1" applyAlignment="1"/>
    <xf numFmtId="0" fontId="101" fillId="0" borderId="94" xfId="235" applyFont="1" applyBorder="1" applyAlignment="1">
      <alignment wrapText="1"/>
    </xf>
    <xf numFmtId="0" fontId="102" fillId="0" borderId="130" xfId="208" applyFont="1" applyFill="1" applyBorder="1" applyAlignment="1">
      <alignment horizontal="center" vertical="center"/>
    </xf>
    <xf numFmtId="0" fontId="102" fillId="0" borderId="130" xfId="235" applyFont="1" applyFill="1" applyBorder="1" applyAlignment="1">
      <alignment horizontal="center"/>
    </xf>
    <xf numFmtId="1" fontId="102" fillId="0" borderId="130" xfId="235" applyNumberFormat="1" applyFont="1" applyFill="1" applyBorder="1" applyAlignment="1">
      <alignment horizontal="center" vertical="center"/>
    </xf>
    <xf numFmtId="0" fontId="102" fillId="0" borderId="130" xfId="235" applyFont="1" applyFill="1" applyBorder="1" applyAlignment="1">
      <alignment horizontal="center" vertical="center"/>
    </xf>
    <xf numFmtId="0" fontId="110" fillId="0" borderId="130" xfId="235" applyFont="1" applyFill="1" applyBorder="1" applyAlignment="1">
      <alignment vertical="center"/>
    </xf>
    <xf numFmtId="0" fontId="110" fillId="0" borderId="130" xfId="235" applyFont="1" applyFill="1" applyBorder="1" applyAlignment="1">
      <alignment horizontal="center" vertical="center"/>
    </xf>
    <xf numFmtId="0" fontId="110" fillId="0" borderId="128" xfId="235" applyFont="1" applyFill="1" applyBorder="1" applyAlignment="1">
      <alignment horizontal="center" vertical="center"/>
    </xf>
    <xf numFmtId="0" fontId="101" fillId="0" borderId="0" xfId="235" applyFont="1" applyBorder="1" applyAlignment="1"/>
    <xf numFmtId="0" fontId="101" fillId="0" borderId="46" xfId="235" applyFont="1" applyBorder="1" applyAlignment="1">
      <alignment horizontal="center" vertical="center"/>
    </xf>
    <xf numFmtId="0" fontId="101" fillId="0" borderId="48" xfId="235" applyFont="1" applyBorder="1" applyAlignment="1">
      <alignment horizontal="center" vertical="center"/>
    </xf>
    <xf numFmtId="0" fontId="110" fillId="0" borderId="86" xfId="235" applyFont="1" applyBorder="1"/>
    <xf numFmtId="0" fontId="110" fillId="0" borderId="30" xfId="235" applyFont="1" applyBorder="1"/>
    <xf numFmtId="0" fontId="110" fillId="0" borderId="156" xfId="235" applyFont="1" applyBorder="1" applyAlignment="1">
      <alignment horizontal="center"/>
    </xf>
    <xf numFmtId="0" fontId="101" fillId="0" borderId="87" xfId="235" applyFont="1" applyBorder="1" applyAlignment="1">
      <alignment horizontal="center"/>
    </xf>
    <xf numFmtId="0" fontId="110" fillId="0" borderId="87" xfId="235" applyFont="1" applyBorder="1"/>
    <xf numFmtId="0" fontId="112" fillId="41" borderId="86" xfId="235" applyFont="1" applyFill="1" applyBorder="1"/>
    <xf numFmtId="0" fontId="112" fillId="41" borderId="30" xfId="235" applyFont="1" applyFill="1" applyBorder="1"/>
    <xf numFmtId="0" fontId="102" fillId="0" borderId="0" xfId="235" applyFont="1" applyFill="1" applyBorder="1"/>
    <xf numFmtId="0" fontId="110" fillId="0" borderId="0" xfId="235" applyFont="1" applyFill="1" applyBorder="1"/>
    <xf numFmtId="0" fontId="112" fillId="0" borderId="0" xfId="235" applyFont="1" applyFill="1" applyBorder="1" applyAlignment="1">
      <alignment horizontal="center"/>
    </xf>
    <xf numFmtId="0" fontId="110" fillId="0" borderId="0" xfId="235" applyFont="1" applyFill="1" applyBorder="1" applyAlignment="1">
      <alignment horizontal="center"/>
    </xf>
    <xf numFmtId="0" fontId="102" fillId="0" borderId="59" xfId="235" applyFont="1" applyBorder="1"/>
    <xf numFmtId="0" fontId="102" fillId="0" borderId="45" xfId="235" applyFont="1" applyBorder="1"/>
    <xf numFmtId="0" fontId="101" fillId="0" borderId="15" xfId="128" applyFont="1" applyBorder="1" applyAlignment="1">
      <alignment horizontal="center" vertical="center"/>
    </xf>
    <xf numFmtId="0" fontId="101" fillId="0" borderId="16" xfId="128" applyFont="1" applyBorder="1" applyAlignment="1">
      <alignment horizontal="left" vertical="center" wrapText="1"/>
    </xf>
    <xf numFmtId="0" fontId="102" fillId="49" borderId="123" xfId="128" applyFont="1" applyFill="1" applyBorder="1" applyAlignment="1">
      <alignment horizontal="left" vertical="center" wrapText="1"/>
    </xf>
    <xf numFmtId="0" fontId="102" fillId="0" borderId="123" xfId="128" applyFont="1" applyFill="1" applyBorder="1" applyAlignment="1">
      <alignment horizontal="center" vertical="center" wrapText="1"/>
    </xf>
    <xf numFmtId="0" fontId="102" fillId="0" borderId="117" xfId="128" applyFont="1" applyFill="1" applyBorder="1" applyAlignment="1">
      <alignment horizontal="center" vertical="center" wrapText="1"/>
    </xf>
    <xf numFmtId="0" fontId="111" fillId="0" borderId="155" xfId="128" applyFont="1" applyFill="1" applyBorder="1" applyAlignment="1">
      <alignment horizontal="left" vertical="center" wrapText="1"/>
    </xf>
    <xf numFmtId="0" fontId="102" fillId="0" borderId="160" xfId="128" applyFont="1" applyFill="1" applyBorder="1" applyAlignment="1">
      <alignment horizontal="center" vertical="center" wrapText="1"/>
    </xf>
    <xf numFmtId="0" fontId="102" fillId="0" borderId="150" xfId="128" applyFont="1" applyBorder="1" applyAlignment="1">
      <alignment horizontal="left" vertical="center" wrapText="1"/>
    </xf>
    <xf numFmtId="0" fontId="101" fillId="0" borderId="44" xfId="235" applyFont="1" applyBorder="1" applyAlignment="1">
      <alignment vertical="center" wrapText="1"/>
    </xf>
    <xf numFmtId="0" fontId="101" fillId="0" borderId="34" xfId="235" applyFont="1" applyBorder="1" applyAlignment="1">
      <alignment horizontal="center" vertical="center" wrapText="1"/>
    </xf>
    <xf numFmtId="0" fontId="84" fillId="0" borderId="28" xfId="235" applyFont="1" applyFill="1" applyBorder="1" applyAlignment="1">
      <alignment horizontal="center"/>
    </xf>
    <xf numFmtId="0" fontId="102" fillId="49" borderId="156" xfId="128" applyFont="1" applyFill="1" applyBorder="1" applyAlignment="1">
      <alignment horizontal="left" vertical="center" wrapText="1"/>
    </xf>
    <xf numFmtId="0" fontId="102" fillId="0" borderId="138" xfId="235" applyFont="1" applyBorder="1" applyAlignment="1"/>
    <xf numFmtId="0" fontId="102" fillId="0" borderId="79" xfId="128" applyFont="1" applyFill="1" applyBorder="1" applyAlignment="1">
      <alignment horizontal="left" vertical="center" wrapText="1"/>
    </xf>
    <xf numFmtId="177" fontId="86" fillId="31" borderId="145" xfId="0" applyNumberFormat="1" applyFont="1" applyFill="1" applyBorder="1" applyAlignment="1">
      <alignment horizontal="center" vertical="center" wrapText="1"/>
    </xf>
    <xf numFmtId="177" fontId="86" fillId="28" borderId="148" xfId="0" applyNumberFormat="1" applyFont="1" applyFill="1" applyBorder="1" applyAlignment="1">
      <alignment horizontal="center" vertical="center" wrapText="1"/>
    </xf>
    <xf numFmtId="0" fontId="30" fillId="42" borderId="44" xfId="0" applyFont="1" applyFill="1" applyBorder="1" applyAlignment="1">
      <alignment horizontal="center" vertical="center" wrapText="1"/>
    </xf>
    <xf numFmtId="0" fontId="30" fillId="42" borderId="41" xfId="0" applyFont="1" applyFill="1" applyBorder="1" applyAlignment="1">
      <alignment horizontal="center" vertical="center" wrapText="1"/>
    </xf>
    <xf numFmtId="0" fontId="27" fillId="0" borderId="65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0" fillId="28" borderId="6" xfId="0" applyFont="1" applyFill="1" applyBorder="1" applyAlignment="1">
      <alignment horizontal="center" vertical="center"/>
    </xf>
    <xf numFmtId="1" fontId="30" fillId="28" borderId="40" xfId="0" applyNumberFormat="1" applyFont="1" applyFill="1" applyBorder="1" applyAlignment="1">
      <alignment horizontal="center" vertical="center"/>
    </xf>
    <xf numFmtId="0" fontId="18" fillId="29" borderId="123" xfId="0" applyNumberFormat="1" applyFont="1" applyFill="1" applyBorder="1" applyAlignment="1" applyProtection="1">
      <alignment horizontal="left" vertical="center" wrapText="1"/>
    </xf>
    <xf numFmtId="14" fontId="18" fillId="29" borderId="165" xfId="0" applyNumberFormat="1" applyFont="1" applyFill="1" applyBorder="1" applyAlignment="1" applyProtection="1">
      <alignment horizontal="left" vertical="center" wrapText="1"/>
    </xf>
    <xf numFmtId="0" fontId="18" fillId="29" borderId="16" xfId="0" applyFont="1" applyFill="1" applyBorder="1" applyAlignment="1" applyProtection="1">
      <alignment horizontal="left" vertical="center" wrapText="1"/>
    </xf>
    <xf numFmtId="14" fontId="18" fillId="0" borderId="123" xfId="0" applyNumberFormat="1" applyFont="1" applyBorder="1" applyAlignment="1" applyProtection="1">
      <alignment horizontal="left" vertical="center" wrapText="1"/>
      <protection locked="0"/>
    </xf>
    <xf numFmtId="0" fontId="18" fillId="29" borderId="24" xfId="0" applyFont="1" applyFill="1" applyBorder="1" applyAlignment="1" applyProtection="1">
      <alignment horizontal="left" vertical="center" wrapText="1"/>
    </xf>
    <xf numFmtId="0" fontId="18" fillId="0" borderId="135" xfId="128" applyBorder="1" applyAlignment="1" applyProtection="1">
      <alignment horizontal="left" vertical="center" wrapText="1"/>
      <protection locked="0"/>
    </xf>
    <xf numFmtId="0" fontId="18" fillId="0" borderId="121" xfId="128" applyBorder="1" applyAlignment="1" applyProtection="1">
      <alignment horizontal="left" vertical="center" wrapText="1"/>
      <protection locked="0"/>
    </xf>
    <xf numFmtId="0" fontId="18" fillId="0" borderId="36" xfId="128" applyBorder="1" applyAlignment="1" applyProtection="1">
      <alignment horizontal="left" vertical="center" wrapText="1"/>
      <protection locked="0"/>
    </xf>
    <xf numFmtId="0" fontId="18" fillId="0" borderId="166" xfId="128" applyBorder="1" applyAlignment="1" applyProtection="1">
      <alignment horizontal="left" vertical="center" wrapText="1"/>
      <protection locked="0"/>
    </xf>
    <xf numFmtId="0" fontId="18" fillId="0" borderId="36" xfId="128" applyFont="1" applyBorder="1" applyAlignment="1" applyProtection="1">
      <alignment horizontal="left" vertical="center" wrapText="1"/>
      <protection locked="0"/>
    </xf>
    <xf numFmtId="0" fontId="30" fillId="0" borderId="79" xfId="0" applyFont="1" applyFill="1" applyBorder="1" applyAlignment="1" applyProtection="1">
      <alignment horizontal="center" vertical="center" wrapText="1"/>
      <protection locked="0"/>
    </xf>
    <xf numFmtId="1" fontId="18" fillId="0" borderId="163" xfId="0" applyNumberFormat="1" applyFont="1" applyFill="1" applyBorder="1" applyAlignment="1" applyProtection="1">
      <alignment vertical="center" wrapText="1"/>
      <protection locked="0"/>
    </xf>
    <xf numFmtId="1" fontId="18" fillId="0" borderId="161" xfId="0" applyNumberFormat="1" applyFont="1" applyFill="1" applyBorder="1" applyAlignment="1" applyProtection="1">
      <alignment vertical="center" wrapText="1"/>
      <protection locked="0"/>
    </xf>
    <xf numFmtId="0" fontId="30" fillId="0" borderId="114" xfId="0" applyFont="1" applyFill="1" applyBorder="1" applyAlignment="1" applyProtection="1">
      <alignment horizontal="center" vertical="center" wrapText="1"/>
      <protection locked="0"/>
    </xf>
    <xf numFmtId="1" fontId="18" fillId="0" borderId="162" xfId="0" applyNumberFormat="1" applyFont="1" applyFill="1" applyBorder="1" applyAlignment="1" applyProtection="1">
      <alignment vertical="center" wrapText="1"/>
      <protection locked="0"/>
    </xf>
    <xf numFmtId="0" fontId="18" fillId="0" borderId="170" xfId="128" applyFill="1" applyBorder="1" applyAlignment="1" applyProtection="1">
      <alignment horizontal="left" vertical="center" wrapText="1"/>
    </xf>
    <xf numFmtId="0" fontId="18" fillId="0" borderId="171" xfId="128" applyFill="1" applyBorder="1" applyAlignment="1" applyProtection="1">
      <alignment horizontal="left" vertical="center" wrapText="1"/>
    </xf>
    <xf numFmtId="0" fontId="18" fillId="0" borderId="172" xfId="128" applyFill="1" applyBorder="1" applyAlignment="1" applyProtection="1">
      <alignment horizontal="left" vertical="center" wrapText="1"/>
    </xf>
    <xf numFmtId="0" fontId="18" fillId="0" borderId="146" xfId="128" applyFill="1" applyBorder="1" applyAlignment="1" applyProtection="1">
      <alignment horizontal="left" vertical="center" wrapText="1"/>
    </xf>
    <xf numFmtId="0" fontId="18" fillId="0" borderId="135" xfId="128" applyFill="1" applyBorder="1" applyAlignment="1" applyProtection="1">
      <alignment horizontal="left" vertical="center" wrapText="1" indent="2"/>
    </xf>
    <xf numFmtId="0" fontId="18" fillId="0" borderId="36" xfId="128" applyFill="1" applyBorder="1" applyAlignment="1" applyProtection="1">
      <alignment horizontal="left" vertical="center" wrapText="1" indent="2"/>
    </xf>
    <xf numFmtId="0" fontId="18" fillId="0" borderId="42" xfId="128" applyFill="1" applyBorder="1" applyAlignment="1" applyProtection="1">
      <alignment horizontal="left" vertical="center" wrapText="1" indent="2"/>
    </xf>
    <xf numFmtId="0" fontId="18" fillId="0" borderId="17" xfId="128" applyFill="1" applyBorder="1" applyAlignment="1" applyProtection="1">
      <alignment horizontal="left" vertical="center" wrapText="1" indent="2"/>
    </xf>
    <xf numFmtId="0" fontId="30" fillId="0" borderId="138" xfId="0" applyFont="1" applyFill="1" applyBorder="1" applyAlignment="1" applyProtection="1">
      <alignment horizontal="center" vertical="center" wrapText="1"/>
      <protection locked="0"/>
    </xf>
    <xf numFmtId="0" fontId="30" fillId="0" borderId="94" xfId="0" applyFont="1" applyFill="1" applyBorder="1" applyAlignment="1" applyProtection="1">
      <alignment horizontal="center" vertical="center" wrapText="1"/>
      <protection locked="0"/>
    </xf>
    <xf numFmtId="0" fontId="30" fillId="0" borderId="48" xfId="0" applyFont="1" applyFill="1" applyBorder="1" applyAlignment="1" applyProtection="1">
      <alignment horizontal="center" vertical="center" wrapText="1"/>
      <protection locked="0"/>
    </xf>
    <xf numFmtId="0" fontId="18" fillId="0" borderId="162" xfId="0" applyFont="1" applyFill="1" applyBorder="1" applyAlignment="1" applyProtection="1">
      <alignment vertical="center" wrapText="1"/>
      <protection locked="0"/>
    </xf>
    <xf numFmtId="0" fontId="18" fillId="0" borderId="163" xfId="0" applyFont="1" applyFill="1" applyBorder="1" applyAlignment="1" applyProtection="1">
      <alignment vertical="center" wrapText="1"/>
      <protection locked="0"/>
    </xf>
    <xf numFmtId="0" fontId="18" fillId="0" borderId="161" xfId="0" applyFont="1" applyFill="1" applyBorder="1" applyAlignment="1" applyProtection="1">
      <alignment vertical="center" wrapText="1"/>
      <protection locked="0"/>
    </xf>
    <xf numFmtId="0" fontId="18" fillId="0" borderId="87" xfId="128" applyFont="1" applyFill="1" applyBorder="1" applyAlignment="1" applyProtection="1">
      <alignment horizontal="left" vertical="center" wrapText="1" indent="1"/>
      <protection locked="0"/>
    </xf>
    <xf numFmtId="17" fontId="18" fillId="0" borderId="87" xfId="128" applyNumberFormat="1" applyFill="1" applyBorder="1" applyAlignment="1" applyProtection="1">
      <alignment horizontal="left" vertical="center" wrapText="1" indent="1"/>
      <protection locked="0"/>
    </xf>
    <xf numFmtId="0" fontId="18" fillId="0" borderId="123" xfId="128" applyFill="1" applyBorder="1" applyAlignment="1" applyProtection="1">
      <alignment horizontal="center" vertical="center" wrapText="1"/>
      <protection locked="0"/>
    </xf>
    <xf numFmtId="0" fontId="18" fillId="0" borderId="173" xfId="128" applyFont="1" applyFill="1" applyBorder="1" applyAlignment="1" applyProtection="1">
      <alignment horizontal="left" vertical="center" wrapText="1" indent="1"/>
    </xf>
    <xf numFmtId="0" fontId="18" fillId="0" borderId="174" xfId="128" applyFill="1" applyBorder="1" applyAlignment="1" applyProtection="1">
      <alignment horizontal="left" vertical="center" wrapText="1" indent="1"/>
    </xf>
    <xf numFmtId="0" fontId="18" fillId="0" borderId="174" xfId="128" applyFont="1" applyFill="1" applyBorder="1" applyAlignment="1" applyProtection="1">
      <alignment horizontal="left" vertical="center" wrapText="1" indent="1"/>
    </xf>
    <xf numFmtId="0" fontId="18" fillId="0" borderId="175" xfId="128" applyFill="1" applyBorder="1" applyAlignment="1" applyProtection="1">
      <alignment horizontal="left" vertical="center" wrapText="1" indent="6"/>
    </xf>
    <xf numFmtId="0" fontId="18" fillId="0" borderId="166" xfId="128" applyFill="1" applyBorder="1" applyAlignment="1" applyProtection="1">
      <alignment horizontal="left" vertical="center" wrapText="1" indent="1"/>
    </xf>
    <xf numFmtId="0" fontId="18" fillId="0" borderId="36" xfId="128" applyFill="1" applyBorder="1" applyAlignment="1" applyProtection="1">
      <alignment horizontal="left" vertical="center" wrapText="1" indent="1"/>
    </xf>
    <xf numFmtId="0" fontId="18" fillId="0" borderId="29" xfId="128" applyFill="1" applyBorder="1" applyAlignment="1" applyProtection="1">
      <alignment horizontal="left" vertical="center" wrapText="1" indent="1"/>
      <protection locked="0"/>
    </xf>
    <xf numFmtId="0" fontId="18" fillId="0" borderId="37" xfId="128" applyFont="1" applyFill="1" applyBorder="1" applyAlignment="1" applyProtection="1">
      <alignment horizontal="left" vertical="center" wrapText="1" indent="1"/>
      <protection locked="0"/>
    </xf>
    <xf numFmtId="0" fontId="18" fillId="0" borderId="86" xfId="128" applyFill="1" applyBorder="1" applyAlignment="1" applyProtection="1">
      <alignment horizontal="left" vertical="center" wrapText="1" indent="1"/>
      <protection locked="0"/>
    </xf>
    <xf numFmtId="17" fontId="18" fillId="0" borderId="86" xfId="128" applyNumberFormat="1" applyFill="1" applyBorder="1" applyAlignment="1" applyProtection="1">
      <alignment horizontal="left" vertical="center" wrapText="1" indent="1"/>
      <protection locked="0"/>
    </xf>
    <xf numFmtId="0" fontId="18" fillId="0" borderId="86" xfId="128" applyFill="1" applyBorder="1" applyAlignment="1" applyProtection="1">
      <alignment horizontal="center" vertical="center" wrapText="1"/>
      <protection locked="0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/>
      <protection locked="0"/>
    </xf>
    <xf numFmtId="0" fontId="23" fillId="0" borderId="0" xfId="59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  <protection locked="0"/>
    </xf>
    <xf numFmtId="177" fontId="27" fillId="0" borderId="0" xfId="0" applyNumberFormat="1" applyFont="1" applyFill="1" applyBorder="1" applyAlignment="1" applyProtection="1">
      <alignment horizontal="center" vertical="center"/>
    </xf>
    <xf numFmtId="177" fontId="32" fillId="0" borderId="0" xfId="101" applyNumberFormat="1" applyFont="1" applyFill="1" applyBorder="1" applyAlignment="1" applyProtection="1">
      <alignment horizontal="center" vertical="center"/>
    </xf>
    <xf numFmtId="177" fontId="0" fillId="0" borderId="0" xfId="0" applyNumberFormat="1" applyFill="1" applyBorder="1" applyProtection="1">
      <protection locked="0"/>
    </xf>
    <xf numFmtId="0" fontId="48" fillId="17" borderId="12" xfId="166" applyNumberFormat="1" applyAlignment="1" applyProtection="1">
      <alignment horizontal="center" vertical="center" wrapText="1"/>
    </xf>
    <xf numFmtId="2" fontId="48" fillId="17" borderId="12" xfId="166" applyNumberFormat="1" applyAlignment="1" applyProtection="1">
      <alignment horizontal="center" vertical="center" wrapText="1"/>
    </xf>
    <xf numFmtId="177" fontId="48" fillId="17" borderId="12" xfId="166" applyNumberFormat="1" applyAlignment="1" applyProtection="1">
      <alignment horizontal="center" vertical="center" wrapText="1"/>
    </xf>
    <xf numFmtId="0" fontId="48" fillId="17" borderId="12" xfId="166" applyNumberFormat="1" applyAlignment="1" applyProtection="1">
      <alignment horizontal="center" vertical="center"/>
    </xf>
    <xf numFmtId="2" fontId="48" fillId="17" borderId="12" xfId="166" applyNumberFormat="1" applyAlignment="1" applyProtection="1">
      <alignment horizontal="center" vertical="center"/>
    </xf>
    <xf numFmtId="177" fontId="48" fillId="17" borderId="12" xfId="166" applyNumberFormat="1" applyAlignment="1" applyProtection="1">
      <alignment horizontal="center" vertical="center" wrapText="1"/>
    </xf>
    <xf numFmtId="177" fontId="82" fillId="26" borderId="79" xfId="0" applyNumberFormat="1" applyFont="1" applyFill="1" applyBorder="1" applyAlignment="1" applyProtection="1">
      <alignment horizontal="center" vertical="center" wrapText="1"/>
    </xf>
    <xf numFmtId="177" fontId="48" fillId="17" borderId="177" xfId="166" applyNumberFormat="1" applyBorder="1" applyAlignment="1" applyProtection="1">
      <alignment horizontal="center" vertical="center" wrapText="1"/>
    </xf>
    <xf numFmtId="177" fontId="45" fillId="8" borderId="2" xfId="100" applyNumberFormat="1" applyAlignment="1" applyProtection="1">
      <alignment vertical="center"/>
      <protection locked="0"/>
    </xf>
    <xf numFmtId="177" fontId="23" fillId="26" borderId="183" xfId="0" applyNumberFormat="1" applyFont="1" applyFill="1" applyBorder="1" applyAlignment="1" applyProtection="1">
      <alignment horizontal="center" vertical="center"/>
      <protection locked="0"/>
    </xf>
    <xf numFmtId="177" fontId="45" fillId="8" borderId="184" xfId="100" applyNumberFormat="1" applyBorder="1" applyAlignment="1" applyProtection="1">
      <alignment vertical="center"/>
      <protection locked="0"/>
    </xf>
    <xf numFmtId="177" fontId="25" fillId="27" borderId="145" xfId="101" applyNumberFormat="1" applyFont="1" applyFill="1" applyBorder="1" applyAlignment="1" applyProtection="1">
      <alignment horizontal="center" vertical="center"/>
    </xf>
    <xf numFmtId="177" fontId="20" fillId="0" borderId="130" xfId="0" applyNumberFormat="1" applyFont="1" applyFill="1" applyBorder="1" applyAlignment="1" applyProtection="1">
      <alignment vertical="center"/>
      <protection locked="0"/>
    </xf>
    <xf numFmtId="171" fontId="23" fillId="0" borderId="130" xfId="0" applyNumberFormat="1" applyFont="1" applyFill="1" applyBorder="1" applyAlignment="1" applyProtection="1">
      <alignment vertical="center" wrapText="1"/>
      <protection locked="0"/>
    </xf>
    <xf numFmtId="176" fontId="23" fillId="0" borderId="130" xfId="0" applyNumberFormat="1" applyFont="1" applyFill="1" applyBorder="1" applyAlignment="1" applyProtection="1">
      <alignment vertical="center"/>
      <protection locked="0"/>
    </xf>
    <xf numFmtId="178" fontId="23" fillId="0" borderId="130" xfId="59" applyNumberFormat="1" applyFont="1" applyFill="1" applyBorder="1" applyAlignment="1" applyProtection="1">
      <alignment vertical="center"/>
      <protection locked="0"/>
    </xf>
    <xf numFmtId="181" fontId="25" fillId="0" borderId="130" xfId="101" applyNumberFormat="1" applyFont="1" applyFill="1" applyBorder="1" applyAlignment="1" applyProtection="1">
      <alignment vertical="center"/>
      <protection locked="0"/>
    </xf>
    <xf numFmtId="177" fontId="0" fillId="0" borderId="130" xfId="0" applyNumberFormat="1" applyFill="1" applyBorder="1" applyProtection="1">
      <protection locked="0"/>
    </xf>
    <xf numFmtId="177" fontId="20" fillId="24" borderId="130" xfId="0" applyNumberFormat="1" applyFont="1" applyFill="1" applyBorder="1" applyAlignment="1" applyProtection="1">
      <alignment horizontal="right" vertical="center" wrapText="1"/>
      <protection locked="0"/>
    </xf>
    <xf numFmtId="171" fontId="23" fillId="24" borderId="130" xfId="0" applyNumberFormat="1" applyFont="1" applyFill="1" applyBorder="1" applyAlignment="1" applyProtection="1">
      <alignment vertical="center" wrapText="1"/>
      <protection locked="0"/>
    </xf>
    <xf numFmtId="176" fontId="23" fillId="24" borderId="130" xfId="0" applyNumberFormat="1" applyFont="1" applyFill="1" applyBorder="1" applyAlignment="1" applyProtection="1">
      <alignment vertical="center"/>
      <protection locked="0"/>
    </xf>
    <xf numFmtId="178" fontId="23" fillId="24" borderId="130" xfId="59" applyNumberFormat="1" applyFont="1" applyFill="1" applyBorder="1" applyAlignment="1" applyProtection="1">
      <alignment vertical="center"/>
      <protection locked="0"/>
    </xf>
    <xf numFmtId="174" fontId="25" fillId="24" borderId="130" xfId="101" applyNumberFormat="1" applyFont="1" applyFill="1" applyBorder="1" applyAlignment="1" applyProtection="1">
      <alignment vertical="center"/>
      <protection locked="0"/>
    </xf>
    <xf numFmtId="177" fontId="0" fillId="0" borderId="130" xfId="0" applyNumberFormat="1" applyBorder="1" applyProtection="1">
      <protection locked="0"/>
    </xf>
    <xf numFmtId="177" fontId="109" fillId="43" borderId="59" xfId="0" applyNumberFormat="1" applyFont="1" applyFill="1" applyBorder="1" applyAlignment="1" applyProtection="1">
      <alignment vertical="center"/>
    </xf>
    <xf numFmtId="177" fontId="109" fillId="43" borderId="45" xfId="0" applyNumberFormat="1" applyFont="1" applyFill="1" applyBorder="1" applyAlignment="1" applyProtection="1">
      <alignment vertical="center"/>
    </xf>
    <xf numFmtId="177" fontId="109" fillId="43" borderId="49" xfId="0" applyNumberFormat="1" applyFont="1" applyFill="1" applyBorder="1" applyAlignment="1" applyProtection="1">
      <alignment vertical="center"/>
    </xf>
    <xf numFmtId="177" fontId="27" fillId="0" borderId="130" xfId="0" applyNumberFormat="1" applyFont="1" applyFill="1" applyBorder="1" applyAlignment="1" applyProtection="1">
      <alignment horizontal="center" vertical="center"/>
    </xf>
    <xf numFmtId="9" fontId="27" fillId="0" borderId="130" xfId="145" applyFont="1" applyFill="1" applyBorder="1" applyAlignment="1" applyProtection="1">
      <alignment horizontal="center" vertical="center"/>
    </xf>
    <xf numFmtId="177" fontId="32" fillId="0" borderId="130" xfId="101" applyNumberFormat="1" applyFont="1" applyFill="1" applyBorder="1" applyAlignment="1" applyProtection="1">
      <alignment horizontal="center" vertical="center"/>
    </xf>
    <xf numFmtId="177" fontId="27" fillId="0" borderId="130" xfId="0" applyNumberFormat="1" applyFont="1" applyFill="1" applyBorder="1" applyAlignment="1" applyProtection="1">
      <alignment horizontal="center" vertical="center"/>
      <protection locked="0"/>
    </xf>
    <xf numFmtId="177" fontId="25" fillId="0" borderId="0" xfId="0" applyNumberFormat="1" applyFont="1" applyAlignment="1" applyProtection="1">
      <alignment wrapText="1"/>
      <protection locked="0"/>
    </xf>
    <xf numFmtId="177" fontId="117" fillId="43" borderId="59" xfId="0" applyNumberFormat="1" applyFont="1" applyFill="1" applyBorder="1" applyAlignment="1" applyProtection="1">
      <alignment vertical="center" wrapText="1"/>
    </xf>
    <xf numFmtId="177" fontId="25" fillId="0" borderId="130" xfId="0" applyNumberFormat="1" applyFont="1" applyFill="1" applyBorder="1" applyAlignment="1" applyProtection="1">
      <alignment horizontal="center" vertical="center"/>
      <protection locked="0"/>
    </xf>
    <xf numFmtId="177" fontId="25" fillId="0" borderId="0" xfId="0" applyNumberFormat="1" applyFont="1" applyFill="1" applyAlignment="1" applyProtection="1">
      <alignment vertical="center"/>
      <protection locked="0"/>
    </xf>
    <xf numFmtId="177" fontId="118" fillId="26" borderId="22" xfId="0" applyNumberFormat="1" applyFont="1" applyFill="1" applyBorder="1" applyAlignment="1" applyProtection="1">
      <alignment horizontal="center" vertical="center" wrapText="1"/>
    </xf>
    <xf numFmtId="177" fontId="0" fillId="0" borderId="130" xfId="0" applyNumberForma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109" xfId="0" applyFont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4" borderId="45" xfId="0" applyFill="1" applyBorder="1" applyAlignment="1">
      <alignment horizontal="center"/>
    </xf>
    <xf numFmtId="177" fontId="119" fillId="26" borderId="29" xfId="0" applyNumberFormat="1" applyFont="1" applyFill="1" applyBorder="1" applyAlignment="1" applyProtection="1">
      <alignment vertical="center"/>
    </xf>
    <xf numFmtId="177" fontId="119" fillId="26" borderId="79" xfId="0" applyNumberFormat="1" applyFont="1" applyFill="1" applyBorder="1" applyAlignment="1" applyProtection="1">
      <alignment horizontal="center" vertical="center"/>
    </xf>
    <xf numFmtId="177" fontId="120" fillId="40" borderId="80" xfId="0" applyNumberFormat="1" applyFont="1" applyFill="1" applyBorder="1" applyAlignment="1" applyProtection="1">
      <alignment vertical="center" wrapText="1"/>
    </xf>
    <xf numFmtId="177" fontId="119" fillId="40" borderId="86" xfId="0" applyNumberFormat="1" applyFont="1" applyFill="1" applyBorder="1" applyAlignment="1" applyProtection="1">
      <alignment vertical="center"/>
    </xf>
    <xf numFmtId="177" fontId="119" fillId="40" borderId="82" xfId="0" applyNumberFormat="1" applyFont="1" applyFill="1" applyBorder="1" applyAlignment="1" applyProtection="1">
      <alignment horizontal="center" vertical="center"/>
    </xf>
    <xf numFmtId="177" fontId="120" fillId="40" borderId="85" xfId="0" applyNumberFormat="1" applyFont="1" applyFill="1" applyBorder="1" applyAlignment="1" applyProtection="1">
      <alignment vertical="center" wrapText="1"/>
    </xf>
    <xf numFmtId="0" fontId="119" fillId="40" borderId="128" xfId="0" applyNumberFormat="1" applyFont="1" applyFill="1" applyBorder="1" applyAlignment="1" applyProtection="1">
      <alignment vertical="center"/>
    </xf>
    <xf numFmtId="177" fontId="119" fillId="40" borderId="85" xfId="0" applyNumberFormat="1" applyFont="1" applyFill="1" applyBorder="1" applyAlignment="1" applyProtection="1">
      <alignment vertical="center"/>
    </xf>
    <xf numFmtId="177" fontId="120" fillId="40" borderId="85" xfId="0" applyNumberFormat="1" applyFont="1" applyFill="1" applyBorder="1" applyAlignment="1" applyProtection="1">
      <alignment vertical="center"/>
    </xf>
    <xf numFmtId="177" fontId="120" fillId="40" borderId="130" xfId="0" applyNumberFormat="1" applyFont="1" applyFill="1" applyBorder="1" applyAlignment="1" applyProtection="1">
      <alignment vertical="center" wrapText="1"/>
    </xf>
    <xf numFmtId="177" fontId="119" fillId="40" borderId="130" xfId="0" applyNumberFormat="1" applyFont="1" applyFill="1" applyBorder="1" applyAlignment="1" applyProtection="1">
      <alignment horizontal="center" vertical="center"/>
    </xf>
    <xf numFmtId="177" fontId="119" fillId="40" borderId="130" xfId="0" applyNumberFormat="1" applyFont="1" applyFill="1" applyBorder="1" applyAlignment="1" applyProtection="1">
      <alignment vertical="center"/>
    </xf>
    <xf numFmtId="177" fontId="119" fillId="26" borderId="79" xfId="0" applyNumberFormat="1" applyFont="1" applyFill="1" applyBorder="1" applyAlignment="1" applyProtection="1">
      <alignment horizontal="center" vertical="center" wrapText="1"/>
    </xf>
    <xf numFmtId="0" fontId="21" fillId="30" borderId="80" xfId="0" applyNumberFormat="1" applyFont="1" applyFill="1" applyBorder="1" applyAlignment="1" applyProtection="1">
      <alignment vertical="center" wrapText="1"/>
    </xf>
    <xf numFmtId="177" fontId="119" fillId="0" borderId="31" xfId="0" applyNumberFormat="1" applyFont="1" applyFill="1" applyBorder="1" applyAlignment="1" applyProtection="1">
      <alignment vertical="center"/>
    </xf>
    <xf numFmtId="177" fontId="119" fillId="0" borderId="106" xfId="0" applyNumberFormat="1" applyFont="1" applyFill="1" applyBorder="1" applyAlignment="1" applyProtection="1">
      <alignment horizontal="center" vertical="center"/>
    </xf>
    <xf numFmtId="0" fontId="119" fillId="0" borderId="0" xfId="0" applyNumberFormat="1" applyFont="1" applyFill="1" applyBorder="1" applyAlignment="1" applyProtection="1">
      <alignment vertical="center"/>
    </xf>
    <xf numFmtId="177" fontId="25" fillId="0" borderId="130" xfId="0" applyNumberFormat="1" applyFont="1" applyFill="1" applyBorder="1" applyAlignment="1" applyProtection="1">
      <alignment vertical="center"/>
      <protection locked="0"/>
    </xf>
    <xf numFmtId="0" fontId="30" fillId="0" borderId="64" xfId="0" applyFont="1" applyBorder="1"/>
    <xf numFmtId="0" fontId="33" fillId="0" borderId="135" xfId="0" applyFont="1" applyBorder="1"/>
    <xf numFmtId="0" fontId="33" fillId="0" borderId="45" xfId="0" applyFont="1" applyBorder="1" applyAlignment="1"/>
    <xf numFmtId="0" fontId="33" fillId="0" borderId="185" xfId="0" applyFont="1" applyBorder="1"/>
    <xf numFmtId="0" fontId="33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187" xfId="0" applyFont="1" applyBorder="1"/>
    <xf numFmtId="0" fontId="96" fillId="45" borderId="94" xfId="0" applyFont="1" applyFill="1" applyBorder="1" applyAlignment="1">
      <alignment vertical="center"/>
    </xf>
    <xf numFmtId="177" fontId="86" fillId="0" borderId="186" xfId="0" applyNumberFormat="1" applyFont="1" applyFill="1" applyBorder="1" applyAlignment="1">
      <alignment horizontal="center" vertical="center"/>
    </xf>
    <xf numFmtId="177" fontId="86" fillId="0" borderId="188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84" fillId="0" borderId="0" xfId="0" applyFont="1" applyBorder="1" applyAlignment="1">
      <alignment vertical="center" wrapText="1"/>
    </xf>
    <xf numFmtId="0" fontId="84" fillId="0" borderId="0" xfId="0" quotePrefix="1" applyFont="1" applyBorder="1" applyAlignment="1">
      <alignment horizontal="center" vertical="center" wrapText="1"/>
    </xf>
    <xf numFmtId="0" fontId="96" fillId="45" borderId="186" xfId="0" applyFont="1" applyFill="1" applyBorder="1" applyAlignment="1">
      <alignment vertical="center"/>
    </xf>
    <xf numFmtId="177" fontId="86" fillId="51" borderId="186" xfId="0" applyNumberFormat="1" applyFont="1" applyFill="1" applyBorder="1" applyAlignment="1">
      <alignment horizontal="center" vertical="center"/>
    </xf>
    <xf numFmtId="0" fontId="18" fillId="0" borderId="186" xfId="0" applyFont="1" applyBorder="1" applyAlignment="1">
      <alignment wrapText="1"/>
    </xf>
    <xf numFmtId="0" fontId="86" fillId="0" borderId="0" xfId="0" applyFont="1" applyBorder="1" applyAlignment="1">
      <alignment horizontal="center" vertical="center" wrapText="1"/>
    </xf>
    <xf numFmtId="0" fontId="86" fillId="0" borderId="0" xfId="0" applyFont="1" applyFill="1" applyBorder="1" applyAlignment="1">
      <alignment horizontal="center" vertical="center" wrapText="1"/>
    </xf>
    <xf numFmtId="177" fontId="86" fillId="0" borderId="0" xfId="0" applyNumberFormat="1" applyFont="1" applyBorder="1" applyAlignment="1">
      <alignment horizontal="center" vertical="center" wrapText="1"/>
    </xf>
    <xf numFmtId="0" fontId="18" fillId="0" borderId="189" xfId="0" applyFont="1" applyBorder="1"/>
    <xf numFmtId="0" fontId="86" fillId="0" borderId="0" xfId="0" applyFont="1" applyFill="1" applyBorder="1" applyAlignment="1">
      <alignment horizontal="center"/>
    </xf>
    <xf numFmtId="172" fontId="86" fillId="0" borderId="0" xfId="0" applyNumberFormat="1" applyFont="1" applyFill="1" applyBorder="1"/>
    <xf numFmtId="172" fontId="0" fillId="0" borderId="0" xfId="0" applyNumberForma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18" fillId="0" borderId="0" xfId="0" applyNumberFormat="1" applyFont="1" applyFill="1" applyBorder="1"/>
    <xf numFmtId="2" fontId="0" fillId="0" borderId="84" xfId="0" applyNumberFormat="1" applyBorder="1" applyAlignment="1">
      <alignment horizontal="center"/>
    </xf>
    <xf numFmtId="0" fontId="33" fillId="0" borderId="43" xfId="0" applyFont="1" applyBorder="1"/>
    <xf numFmtId="0" fontId="0" fillId="0" borderId="13" xfId="0" applyBorder="1" applyAlignment="1">
      <alignment horizontal="left"/>
    </xf>
    <xf numFmtId="0" fontId="96" fillId="45" borderId="44" xfId="0" applyFont="1" applyFill="1" applyBorder="1" applyAlignment="1">
      <alignment vertical="center"/>
    </xf>
    <xf numFmtId="0" fontId="30" fillId="0" borderId="35" xfId="0" applyFont="1" applyBorder="1" applyAlignment="1">
      <alignment horizontal="center" vertical="center" wrapText="1"/>
    </xf>
    <xf numFmtId="0" fontId="30" fillId="0" borderId="15" xfId="0" applyFont="1" applyFill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86" fillId="51" borderId="46" xfId="0" applyFont="1" applyFill="1" applyBorder="1"/>
    <xf numFmtId="172" fontId="86" fillId="0" borderId="94" xfId="0" applyNumberFormat="1" applyFont="1" applyBorder="1" applyAlignment="1">
      <alignment horizontal="center"/>
    </xf>
    <xf numFmtId="0" fontId="86" fillId="51" borderId="136" xfId="0" applyFont="1" applyFill="1" applyBorder="1" applyAlignment="1">
      <alignment horizontal="center"/>
    </xf>
    <xf numFmtId="2" fontId="86" fillId="0" borderId="135" xfId="0" applyNumberFormat="1" applyFont="1" applyBorder="1" applyAlignment="1">
      <alignment horizontal="center"/>
    </xf>
    <xf numFmtId="0" fontId="86" fillId="51" borderId="189" xfId="0" applyFont="1" applyFill="1" applyBorder="1"/>
    <xf numFmtId="1" fontId="86" fillId="0" borderId="186" xfId="0" applyNumberFormat="1" applyFont="1" applyBorder="1" applyAlignment="1">
      <alignment horizontal="center"/>
    </xf>
    <xf numFmtId="2" fontId="86" fillId="51" borderId="192" xfId="0" applyNumberFormat="1" applyFont="1" applyFill="1" applyBorder="1" applyAlignment="1">
      <alignment horizontal="center"/>
    </xf>
    <xf numFmtId="2" fontId="86" fillId="0" borderId="166" xfId="0" applyNumberFormat="1" applyFont="1" applyBorder="1" applyAlignment="1">
      <alignment horizontal="center"/>
    </xf>
    <xf numFmtId="0" fontId="30" fillId="0" borderId="79" xfId="0" applyFont="1" applyBorder="1" applyAlignment="1">
      <alignment horizontal="center" vertical="center" wrapText="1"/>
    </xf>
    <xf numFmtId="172" fontId="86" fillId="0" borderId="186" xfId="0" applyNumberFormat="1" applyFont="1" applyBorder="1" applyAlignment="1">
      <alignment horizontal="center"/>
    </xf>
    <xf numFmtId="0" fontId="86" fillId="31" borderId="191" xfId="0" applyFont="1" applyFill="1" applyBorder="1" applyAlignment="1">
      <alignment horizontal="center"/>
    </xf>
    <xf numFmtId="2" fontId="86" fillId="31" borderId="191" xfId="0" applyNumberFormat="1" applyFont="1" applyFill="1" applyBorder="1" applyAlignment="1">
      <alignment horizontal="center"/>
    </xf>
    <xf numFmtId="0" fontId="86" fillId="0" borderId="186" xfId="0" applyFont="1" applyBorder="1" applyAlignment="1">
      <alignment horizontal="center"/>
    </xf>
    <xf numFmtId="0" fontId="86" fillId="0" borderId="186" xfId="0" applyFont="1" applyBorder="1" applyAlignment="1"/>
    <xf numFmtId="0" fontId="18" fillId="51" borderId="189" xfId="0" applyFont="1" applyFill="1" applyBorder="1"/>
    <xf numFmtId="2" fontId="86" fillId="0" borderId="186" xfId="0" applyNumberFormat="1" applyFont="1" applyBorder="1" applyAlignment="1">
      <alignment horizontal="center"/>
    </xf>
    <xf numFmtId="2" fontId="86" fillId="51" borderId="188" xfId="0" applyNumberFormat="1" applyFont="1" applyFill="1" applyBorder="1" applyAlignment="1">
      <alignment horizontal="center"/>
    </xf>
    <xf numFmtId="172" fontId="30" fillId="0" borderId="166" xfId="0" applyNumberFormat="1" applyFont="1" applyBorder="1" applyAlignment="1">
      <alignment horizontal="center" vertical="center"/>
    </xf>
    <xf numFmtId="0" fontId="18" fillId="51" borderId="193" xfId="0" applyFont="1" applyFill="1" applyBorder="1"/>
    <xf numFmtId="0" fontId="86" fillId="0" borderId="194" xfId="0" applyFont="1" applyBorder="1" applyAlignment="1">
      <alignment horizontal="center"/>
    </xf>
    <xf numFmtId="2" fontId="86" fillId="0" borderId="194" xfId="0" applyNumberFormat="1" applyFont="1" applyBorder="1" applyAlignment="1">
      <alignment horizontal="center"/>
    </xf>
    <xf numFmtId="2" fontId="86" fillId="51" borderId="195" xfId="0" applyNumberFormat="1" applyFont="1" applyFill="1" applyBorder="1" applyAlignment="1">
      <alignment horizontal="center"/>
    </xf>
    <xf numFmtId="172" fontId="30" fillId="0" borderId="196" xfId="0" applyNumberFormat="1" applyFont="1" applyBorder="1" applyAlignment="1">
      <alignment horizontal="center" vertical="center"/>
    </xf>
    <xf numFmtId="0" fontId="86" fillId="0" borderId="163" xfId="0" applyFont="1" applyBorder="1" applyAlignment="1">
      <alignment horizontal="center"/>
    </xf>
    <xf numFmtId="0" fontId="86" fillId="0" borderId="163" xfId="0" applyFont="1" applyBorder="1"/>
    <xf numFmtId="0" fontId="86" fillId="0" borderId="164" xfId="0" applyFont="1" applyFill="1" applyBorder="1"/>
    <xf numFmtId="172" fontId="30" fillId="0" borderId="36" xfId="0" applyNumberFormat="1" applyFont="1" applyBorder="1" applyAlignment="1">
      <alignment horizontal="center"/>
    </xf>
    <xf numFmtId="0" fontId="87" fillId="0" borderId="81" xfId="0" applyFont="1" applyBorder="1"/>
    <xf numFmtId="0" fontId="88" fillId="0" borderId="189" xfId="0" applyFont="1" applyBorder="1"/>
    <xf numFmtId="0" fontId="88" fillId="0" borderId="192" xfId="0" applyFont="1" applyBorder="1"/>
    <xf numFmtId="2" fontId="33" fillId="0" borderId="190" xfId="0" applyNumberFormat="1" applyFont="1" applyBorder="1" applyAlignment="1">
      <alignment horizontal="center"/>
    </xf>
    <xf numFmtId="0" fontId="121" fillId="0" borderId="0" xfId="0" applyFont="1" applyBorder="1" applyAlignment="1">
      <alignment horizontal="center"/>
    </xf>
    <xf numFmtId="10" fontId="88" fillId="0" borderId="192" xfId="0" applyNumberFormat="1" applyFont="1" applyBorder="1"/>
    <xf numFmtId="0" fontId="122" fillId="0" borderId="0" xfId="0" applyFont="1" applyFill="1" applyBorder="1"/>
    <xf numFmtId="0" fontId="12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21" fillId="0" borderId="0" xfId="0" applyNumberFormat="1" applyFont="1" applyFill="1" applyBorder="1" applyAlignment="1">
      <alignment horizontal="center"/>
    </xf>
    <xf numFmtId="0" fontId="87" fillId="0" borderId="189" xfId="0" applyFont="1" applyBorder="1"/>
    <xf numFmtId="0" fontId="87" fillId="0" borderId="192" xfId="0" applyFont="1" applyBorder="1"/>
    <xf numFmtId="0" fontId="89" fillId="25" borderId="103" xfId="0" applyFont="1" applyFill="1" applyBorder="1"/>
    <xf numFmtId="2" fontId="33" fillId="25" borderId="161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left"/>
    </xf>
    <xf numFmtId="2" fontId="122" fillId="0" borderId="0" xfId="0" applyNumberFormat="1" applyFont="1" applyBorder="1" applyAlignment="1">
      <alignment horizontal="left"/>
    </xf>
    <xf numFmtId="0" fontId="93" fillId="0" borderId="0" xfId="0" applyFont="1" applyFill="1" applyBorder="1" applyAlignment="1">
      <alignment horizontal="center" vertical="center"/>
    </xf>
    <xf numFmtId="0" fontId="0" fillId="26" borderId="0" xfId="0" applyFill="1"/>
    <xf numFmtId="0" fontId="121" fillId="0" borderId="0" xfId="0" applyFont="1" applyBorder="1" applyAlignment="1"/>
    <xf numFmtId="0" fontId="33" fillId="0" borderId="0" xfId="0" applyFont="1" applyFill="1" applyBorder="1" applyAlignment="1">
      <alignment horizontal="center"/>
    </xf>
    <xf numFmtId="0" fontId="30" fillId="0" borderId="0" xfId="0" applyFont="1" applyFill="1" applyBorder="1"/>
    <xf numFmtId="2" fontId="0" fillId="0" borderId="0" xfId="0" applyNumberFormat="1" applyFill="1" applyBorder="1"/>
    <xf numFmtId="2" fontId="2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8" fillId="0" borderId="0" xfId="0" applyFont="1" applyFill="1" applyBorder="1"/>
    <xf numFmtId="0" fontId="0" fillId="0" borderId="0" xfId="0" applyFill="1" applyBorder="1" applyAlignment="1">
      <alignment horizontal="left"/>
    </xf>
    <xf numFmtId="172" fontId="0" fillId="0" borderId="0" xfId="0" applyNumberFormat="1" applyFill="1" applyBorder="1"/>
    <xf numFmtId="2" fontId="33" fillId="0" borderId="0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left"/>
    </xf>
    <xf numFmtId="2" fontId="122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wrapText="1"/>
    </xf>
    <xf numFmtId="0" fontId="95" fillId="0" borderId="0" xfId="0" applyFont="1" applyFill="1" applyBorder="1" applyAlignment="1">
      <alignment vertical="center"/>
    </xf>
    <xf numFmtId="0" fontId="85" fillId="0" borderId="0" xfId="0" applyFont="1" applyFill="1" applyBorder="1" applyAlignment="1">
      <alignment horizontal="center"/>
    </xf>
    <xf numFmtId="0" fontId="84" fillId="0" borderId="0" xfId="0" applyFont="1" applyFill="1" applyBorder="1" applyAlignment="1">
      <alignment vertical="center" wrapText="1"/>
    </xf>
    <xf numFmtId="0" fontId="84" fillId="0" borderId="0" xfId="0" applyFont="1" applyFill="1" applyBorder="1" applyAlignment="1">
      <alignment horizontal="center" vertical="center" wrapText="1"/>
    </xf>
    <xf numFmtId="0" fontId="84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wrapText="1"/>
    </xf>
    <xf numFmtId="177" fontId="86" fillId="0" borderId="0" xfId="0" applyNumberFormat="1" applyFont="1" applyFill="1" applyBorder="1" applyAlignment="1">
      <alignment horizontal="center" vertical="center" wrapText="1"/>
    </xf>
    <xf numFmtId="172" fontId="24" fillId="0" borderId="0" xfId="0" applyNumberFormat="1" applyFont="1" applyFill="1" applyBorder="1" applyAlignment="1">
      <alignment horizontal="center"/>
    </xf>
    <xf numFmtId="172" fontId="30" fillId="0" borderId="0" xfId="0" applyNumberFormat="1" applyFont="1" applyFill="1" applyBorder="1" applyAlignment="1">
      <alignment horizontal="center" vertical="center"/>
    </xf>
    <xf numFmtId="172" fontId="3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96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/>
    </xf>
    <xf numFmtId="2" fontId="30" fillId="0" borderId="0" xfId="0" applyNumberFormat="1" applyFont="1" applyFill="1" applyBorder="1" applyAlignment="1">
      <alignment horizontal="center" vertical="center" wrapText="1"/>
    </xf>
    <xf numFmtId="0" fontId="86" fillId="0" borderId="0" xfId="0" applyFont="1" applyFill="1" applyBorder="1"/>
    <xf numFmtId="172" fontId="86" fillId="0" borderId="0" xfId="0" applyNumberFormat="1" applyFont="1" applyFill="1" applyBorder="1" applyAlignment="1">
      <alignment horizontal="center"/>
    </xf>
    <xf numFmtId="2" fontId="86" fillId="0" borderId="0" xfId="0" applyNumberFormat="1" applyFont="1" applyFill="1" applyBorder="1" applyAlignment="1">
      <alignment horizontal="center"/>
    </xf>
    <xf numFmtId="1" fontId="86" fillId="0" borderId="0" xfId="0" applyNumberFormat="1" applyFont="1" applyFill="1" applyBorder="1" applyAlignment="1">
      <alignment horizontal="center"/>
    </xf>
    <xf numFmtId="172" fontId="3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87" fillId="0" borderId="0" xfId="0" applyFont="1" applyFill="1" applyBorder="1"/>
    <xf numFmtId="0" fontId="88" fillId="0" borderId="0" xfId="0" applyFont="1" applyFill="1" applyBorder="1"/>
    <xf numFmtId="0" fontId="121" fillId="0" borderId="0" xfId="0" applyFont="1" applyFill="1" applyBorder="1" applyAlignment="1"/>
    <xf numFmtId="0" fontId="89" fillId="0" borderId="0" xfId="0" applyFont="1" applyFill="1" applyBorder="1"/>
    <xf numFmtId="0" fontId="0" fillId="0" borderId="0" xfId="0" applyFill="1" applyBorder="1" applyAlignment="1"/>
    <xf numFmtId="0" fontId="30" fillId="0" borderId="41" xfId="0" applyFont="1" applyBorder="1" applyAlignment="1">
      <alignment wrapText="1"/>
    </xf>
    <xf numFmtId="177" fontId="86" fillId="51" borderId="188" xfId="0" applyNumberFormat="1" applyFont="1" applyFill="1" applyBorder="1" applyAlignment="1">
      <alignment horizontal="center" vertical="center"/>
    </xf>
    <xf numFmtId="0" fontId="86" fillId="0" borderId="94" xfId="0" applyFont="1" applyBorder="1" applyAlignment="1">
      <alignment horizontal="center" vertical="center" wrapText="1"/>
    </xf>
    <xf numFmtId="0" fontId="84" fillId="0" borderId="49" xfId="0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0" fontId="84" fillId="0" borderId="24" xfId="0" applyFont="1" applyBorder="1" applyAlignment="1">
      <alignment vertical="center" wrapText="1"/>
    </xf>
    <xf numFmtId="2" fontId="30" fillId="0" borderId="0" xfId="0" applyNumberFormat="1" applyFont="1" applyBorder="1" applyAlignment="1">
      <alignment horizontal="center" vertical="center" wrapText="1"/>
    </xf>
    <xf numFmtId="0" fontId="95" fillId="45" borderId="46" xfId="0" applyFont="1" applyFill="1" applyBorder="1" applyAlignment="1">
      <alignment vertical="center"/>
    </xf>
    <xf numFmtId="0" fontId="84" fillId="0" borderId="94" xfId="0" applyFont="1" applyBorder="1" applyAlignment="1">
      <alignment horizontal="center" vertical="center" wrapText="1"/>
    </xf>
    <xf numFmtId="0" fontId="84" fillId="0" borderId="94" xfId="0" applyFont="1" applyBorder="1" applyAlignment="1">
      <alignment vertical="center"/>
    </xf>
    <xf numFmtId="0" fontId="0" fillId="0" borderId="48" xfId="0" applyBorder="1"/>
    <xf numFmtId="0" fontId="84" fillId="0" borderId="135" xfId="0" applyFont="1" applyBorder="1" applyAlignment="1">
      <alignment horizontal="center" vertical="center" wrapText="1"/>
    </xf>
    <xf numFmtId="0" fontId="84" fillId="0" borderId="17" xfId="0" applyFont="1" applyBorder="1" applyAlignment="1">
      <alignment horizontal="center" vertical="center" wrapText="1"/>
    </xf>
    <xf numFmtId="0" fontId="84" fillId="0" borderId="166" xfId="0" applyFont="1" applyBorder="1" applyAlignment="1">
      <alignment horizontal="center" vertical="center" wrapText="1"/>
    </xf>
    <xf numFmtId="0" fontId="27" fillId="0" borderId="11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3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7" fillId="0" borderId="61" xfId="0" applyFont="1" applyBorder="1" applyAlignment="1">
      <alignment horizontal="center"/>
    </xf>
    <xf numFmtId="0" fontId="30" fillId="0" borderId="44" xfId="0" applyFont="1" applyBorder="1" applyAlignment="1">
      <alignment vertical="center" wrapText="1"/>
    </xf>
    <xf numFmtId="0" fontId="84" fillId="0" borderId="36" xfId="0" applyFont="1" applyBorder="1" applyAlignment="1">
      <alignment vertical="center" wrapText="1"/>
    </xf>
    <xf numFmtId="2" fontId="86" fillId="28" borderId="190" xfId="0" applyNumberFormat="1" applyFont="1" applyFill="1" applyBorder="1" applyAlignment="1">
      <alignment horizontal="center"/>
    </xf>
    <xf numFmtId="0" fontId="30" fillId="0" borderId="186" xfId="0" applyFont="1" applyBorder="1" applyAlignment="1"/>
    <xf numFmtId="0" fontId="30" fillId="31" borderId="186" xfId="0" applyFont="1" applyFill="1" applyBorder="1" applyAlignment="1"/>
    <xf numFmtId="172" fontId="86" fillId="28" borderId="190" xfId="0" applyNumberFormat="1" applyFont="1" applyFill="1" applyBorder="1" applyAlignment="1">
      <alignment horizontal="center"/>
    </xf>
    <xf numFmtId="0" fontId="30" fillId="0" borderId="191" xfId="0" applyFont="1" applyBorder="1" applyAlignment="1">
      <alignment horizontal="center"/>
    </xf>
    <xf numFmtId="0" fontId="30" fillId="31" borderId="186" xfId="0" applyFont="1" applyFill="1" applyBorder="1" applyAlignment="1">
      <alignment horizontal="center"/>
    </xf>
    <xf numFmtId="0" fontId="86" fillId="0" borderId="164" xfId="0" applyFont="1" applyBorder="1" applyAlignment="1"/>
    <xf numFmtId="0" fontId="86" fillId="0" borderId="162" xfId="0" applyFont="1" applyBorder="1" applyAlignment="1"/>
    <xf numFmtId="0" fontId="30" fillId="0" borderId="163" xfId="0" applyFont="1" applyBorder="1" applyAlignment="1">
      <alignment horizontal="center"/>
    </xf>
    <xf numFmtId="172" fontId="86" fillId="32" borderId="161" xfId="0" applyNumberFormat="1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18" fillId="0" borderId="30" xfId="0" applyFont="1" applyBorder="1"/>
    <xf numFmtId="0" fontId="84" fillId="26" borderId="0" xfId="0" applyFont="1" applyFill="1" applyBorder="1" applyAlignment="1">
      <alignment horizontal="center" vertical="center" wrapText="1"/>
    </xf>
    <xf numFmtId="0" fontId="84" fillId="26" borderId="0" xfId="0" applyFont="1" applyFill="1" applyBorder="1" applyAlignment="1">
      <alignment vertical="center"/>
    </xf>
    <xf numFmtId="0" fontId="0" fillId="26" borderId="28" xfId="0" applyFill="1" applyBorder="1"/>
    <xf numFmtId="0" fontId="84" fillId="26" borderId="0" xfId="0" applyFont="1" applyFill="1" applyBorder="1" applyAlignment="1">
      <alignment vertical="center" wrapText="1"/>
    </xf>
    <xf numFmtId="0" fontId="0" fillId="26" borderId="0" xfId="0" applyFill="1" applyBorder="1"/>
    <xf numFmtId="0" fontId="0" fillId="26" borderId="27" xfId="0" applyFill="1" applyBorder="1"/>
    <xf numFmtId="0" fontId="30" fillId="26" borderId="0" xfId="0" applyFont="1" applyFill="1" applyBorder="1" applyAlignment="1">
      <alignment horizontal="center" vertical="center"/>
    </xf>
    <xf numFmtId="172" fontId="30" fillId="26" borderId="0" xfId="0" applyNumberFormat="1" applyFont="1" applyFill="1" applyBorder="1" applyAlignment="1">
      <alignment horizontal="center" vertical="center"/>
    </xf>
    <xf numFmtId="2" fontId="30" fillId="26" borderId="0" xfId="0" applyNumberFormat="1" applyFont="1" applyFill="1" applyBorder="1" applyAlignment="1">
      <alignment horizontal="center" vertical="center"/>
    </xf>
    <xf numFmtId="172" fontId="30" fillId="26" borderId="28" xfId="0" applyNumberFormat="1" applyFont="1" applyFill="1" applyBorder="1" applyAlignment="1">
      <alignment horizontal="center" vertical="center" wrapText="1"/>
    </xf>
    <xf numFmtId="0" fontId="0" fillId="26" borderId="0" xfId="0" applyNumberFormat="1" applyFill="1" applyBorder="1"/>
    <xf numFmtId="0" fontId="18" fillId="26" borderId="0" xfId="0" applyNumberFormat="1" applyFont="1" applyFill="1" applyBorder="1"/>
    <xf numFmtId="0" fontId="0" fillId="26" borderId="28" xfId="0" applyNumberFormat="1" applyFill="1" applyBorder="1" applyAlignment="1">
      <alignment horizontal="center"/>
    </xf>
    <xf numFmtId="0" fontId="0" fillId="26" borderId="43" xfId="0" applyFill="1" applyBorder="1"/>
    <xf numFmtId="0" fontId="0" fillId="26" borderId="13" xfId="0" applyFill="1" applyBorder="1"/>
    <xf numFmtId="0" fontId="0" fillId="26" borderId="24" xfId="0" applyFill="1" applyBorder="1"/>
    <xf numFmtId="0" fontId="30" fillId="26" borderId="27" xfId="0" applyFont="1" applyFill="1" applyBorder="1" applyAlignment="1">
      <alignment horizontal="center" vertical="center" wrapText="1"/>
    </xf>
    <xf numFmtId="2" fontId="30" fillId="26" borderId="0" xfId="0" applyNumberFormat="1" applyFont="1" applyFill="1" applyBorder="1" applyAlignment="1">
      <alignment horizontal="center" vertical="center" wrapText="1"/>
    </xf>
    <xf numFmtId="2" fontId="30" fillId="26" borderId="28" xfId="0" applyNumberFormat="1" applyFont="1" applyFill="1" applyBorder="1" applyAlignment="1">
      <alignment horizontal="center" vertical="center" wrapText="1"/>
    </xf>
    <xf numFmtId="0" fontId="0" fillId="26" borderId="27" xfId="0" applyFill="1" applyBorder="1" applyAlignment="1">
      <alignment horizontal="center"/>
    </xf>
    <xf numFmtId="2" fontId="0" fillId="26" borderId="0" xfId="0" applyNumberFormat="1" applyFill="1" applyBorder="1" applyAlignment="1">
      <alignment horizontal="center"/>
    </xf>
    <xf numFmtId="2" fontId="0" fillId="26" borderId="28" xfId="0" applyNumberForma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2" fontId="33" fillId="26" borderId="0" xfId="0" applyNumberFormat="1" applyFont="1" applyFill="1" applyBorder="1" applyAlignment="1">
      <alignment horizontal="center"/>
    </xf>
    <xf numFmtId="0" fontId="33" fillId="26" borderId="0" xfId="0" applyFont="1" applyFill="1" applyBorder="1"/>
    <xf numFmtId="0" fontId="0" fillId="26" borderId="0" xfId="0" applyFill="1" applyBorder="1" applyAlignment="1"/>
    <xf numFmtId="0" fontId="95" fillId="45" borderId="15" xfId="0" applyFont="1" applyFill="1" applyBorder="1" applyAlignment="1">
      <alignment vertical="center"/>
    </xf>
    <xf numFmtId="2" fontId="0" fillId="26" borderId="13" xfId="0" applyNumberFormat="1" applyFill="1" applyBorder="1" applyAlignment="1">
      <alignment horizontal="center"/>
    </xf>
    <xf numFmtId="0" fontId="18" fillId="26" borderId="27" xfId="0" applyFont="1" applyFill="1" applyBorder="1"/>
    <xf numFmtId="0" fontId="0" fillId="26" borderId="49" xfId="0" applyFill="1" applyBorder="1"/>
    <xf numFmtId="0" fontId="18" fillId="26" borderId="6" xfId="0" applyFont="1" applyFill="1" applyBorder="1"/>
    <xf numFmtId="0" fontId="84" fillId="26" borderId="4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27" fillId="26" borderId="6" xfId="0" applyFont="1" applyFill="1" applyBorder="1" applyAlignment="1"/>
    <xf numFmtId="0" fontId="27" fillId="26" borderId="39" xfId="0" applyFont="1" applyFill="1" applyBorder="1" applyAlignment="1"/>
    <xf numFmtId="0" fontId="27" fillId="0" borderId="15" xfId="0" applyFont="1" applyBorder="1" applyAlignment="1"/>
    <xf numFmtId="0" fontId="125" fillId="47" borderId="135" xfId="0" applyFont="1" applyFill="1" applyBorder="1" applyAlignment="1">
      <alignment vertical="center"/>
    </xf>
    <xf numFmtId="0" fontId="125" fillId="47" borderId="17" xfId="0" applyFont="1" applyFill="1" applyBorder="1" applyAlignment="1">
      <alignment vertical="center"/>
    </xf>
    <xf numFmtId="0" fontId="125" fillId="47" borderId="17" xfId="0" applyFont="1" applyFill="1" applyBorder="1" applyAlignment="1">
      <alignment horizontal="left" shrinkToFit="1"/>
    </xf>
    <xf numFmtId="0" fontId="125" fillId="47" borderId="36" xfId="0" applyFont="1" applyFill="1" applyBorder="1" applyAlignment="1">
      <alignment vertical="center"/>
    </xf>
    <xf numFmtId="0" fontId="18" fillId="47" borderId="14" xfId="0" applyFont="1" applyFill="1" applyBorder="1"/>
    <xf numFmtId="0" fontId="18" fillId="47" borderId="185" xfId="0" applyFont="1" applyFill="1" applyBorder="1"/>
    <xf numFmtId="0" fontId="18" fillId="47" borderId="198" xfId="0" applyFont="1" applyFill="1" applyBorder="1"/>
    <xf numFmtId="0" fontId="85" fillId="47" borderId="189" xfId="0" applyFont="1" applyFill="1" applyBorder="1"/>
    <xf numFmtId="0" fontId="85" fillId="47" borderId="189" xfId="0" applyFont="1" applyFill="1" applyBorder="1" applyAlignment="1">
      <alignment horizontal="left"/>
    </xf>
    <xf numFmtId="0" fontId="28" fillId="2" borderId="0" xfId="218" applyFill="1" applyAlignment="1">
      <alignment horizontal="center"/>
    </xf>
    <xf numFmtId="0" fontId="28" fillId="2" borderId="0" xfId="218" applyFill="1"/>
    <xf numFmtId="0" fontId="28" fillId="2" borderId="0" xfId="218" applyFont="1" applyFill="1" applyAlignment="1">
      <alignment horizontal="center"/>
    </xf>
    <xf numFmtId="0" fontId="28" fillId="26" borderId="0" xfId="218" applyFill="1" applyBorder="1" applyAlignment="1">
      <alignment horizontal="center"/>
    </xf>
    <xf numFmtId="0" fontId="28" fillId="26" borderId="0" xfId="218" applyFill="1" applyBorder="1"/>
    <xf numFmtId="0" fontId="28" fillId="26" borderId="0" xfId="218" applyFont="1" applyFill="1" applyBorder="1" applyAlignment="1">
      <alignment horizontal="center"/>
    </xf>
    <xf numFmtId="0" fontId="30" fillId="26" borderId="0" xfId="218" applyFont="1" applyFill="1" applyBorder="1" applyAlignment="1">
      <alignment horizontal="center" wrapText="1"/>
    </xf>
    <xf numFmtId="0" fontId="30" fillId="26" borderId="0" xfId="218" applyFont="1" applyFill="1" applyBorder="1" applyAlignment="1">
      <alignment horizontal="center" textRotation="90" wrapText="1"/>
    </xf>
    <xf numFmtId="0" fontId="126" fillId="26" borderId="0" xfId="218" applyFont="1" applyFill="1" applyBorder="1" applyAlignment="1">
      <alignment horizontal="center" textRotation="90" wrapText="1"/>
    </xf>
    <xf numFmtId="0" fontId="33" fillId="26" borderId="0" xfId="218" applyFont="1" applyFill="1" applyBorder="1" applyAlignment="1">
      <alignment horizontal="center" textRotation="90" wrapText="1"/>
    </xf>
    <xf numFmtId="0" fontId="28" fillId="26" borderId="0" xfId="218" applyFill="1" applyBorder="1" applyAlignment="1">
      <alignment horizontal="center" wrapText="1"/>
    </xf>
    <xf numFmtId="0" fontId="33" fillId="26" borderId="0" xfId="218" applyFont="1" applyFill="1" applyBorder="1" applyAlignment="1">
      <alignment horizontal="center" wrapText="1"/>
    </xf>
    <xf numFmtId="0" fontId="33" fillId="26" borderId="0" xfId="218" applyFont="1" applyFill="1" applyBorder="1" applyAlignment="1">
      <alignment horizontal="center" vertical="center" wrapText="1"/>
    </xf>
    <xf numFmtId="0" fontId="33" fillId="26" borderId="0" xfId="218" applyFont="1" applyFill="1" applyBorder="1" applyAlignment="1">
      <alignment vertical="center"/>
    </xf>
    <xf numFmtId="0" fontId="2" fillId="26" borderId="0" xfId="218" quotePrefix="1" applyFont="1" applyFill="1" applyBorder="1" applyAlignment="1">
      <alignment horizontal="center" vertical="center" wrapText="1"/>
    </xf>
    <xf numFmtId="0" fontId="28" fillId="26" borderId="0" xfId="218" applyFill="1" applyBorder="1" applyAlignment="1">
      <alignment horizontal="center" vertical="center"/>
    </xf>
    <xf numFmtId="0" fontId="127" fillId="26" borderId="0" xfId="218" applyFont="1" applyFill="1" applyBorder="1" applyAlignment="1">
      <alignment horizontal="center" vertical="center" wrapText="1"/>
    </xf>
    <xf numFmtId="0" fontId="28" fillId="26" borderId="0" xfId="218" applyFont="1" applyFill="1" applyBorder="1" applyAlignment="1">
      <alignment horizontal="center" vertical="center"/>
    </xf>
    <xf numFmtId="2" fontId="28" fillId="26" borderId="0" xfId="218" applyNumberFormat="1" applyFont="1" applyFill="1" applyBorder="1" applyAlignment="1">
      <alignment horizontal="center" vertical="center"/>
    </xf>
    <xf numFmtId="172" fontId="74" fillId="26" borderId="0" xfId="218" applyNumberFormat="1" applyFont="1" applyFill="1" applyBorder="1" applyAlignment="1">
      <alignment horizontal="center" vertical="center"/>
    </xf>
    <xf numFmtId="1" fontId="28" fillId="26" borderId="0" xfId="218" applyNumberFormat="1" applyFont="1" applyFill="1" applyBorder="1" applyAlignment="1">
      <alignment horizontal="center" vertical="center"/>
    </xf>
    <xf numFmtId="9" fontId="28" fillId="26" borderId="0" xfId="149" applyFont="1" applyFill="1" applyBorder="1" applyAlignment="1">
      <alignment horizontal="center" vertical="center"/>
    </xf>
    <xf numFmtId="0" fontId="33" fillId="26" borderId="0" xfId="218" applyFont="1" applyFill="1" applyBorder="1" applyAlignment="1">
      <alignment horizontal="center" vertical="center"/>
    </xf>
    <xf numFmtId="2" fontId="33" fillId="26" borderId="0" xfId="218" applyNumberFormat="1" applyFont="1" applyFill="1" applyBorder="1" applyAlignment="1">
      <alignment horizontal="center" vertical="center"/>
    </xf>
    <xf numFmtId="0" fontId="28" fillId="26" borderId="0" xfId="218" applyFont="1" applyFill="1" applyBorder="1"/>
    <xf numFmtId="0" fontId="33" fillId="26" borderId="0" xfId="218" applyFont="1" applyFill="1" applyBorder="1" applyAlignment="1">
      <alignment horizontal="center"/>
    </xf>
    <xf numFmtId="9" fontId="28" fillId="26" borderId="0" xfId="149" applyFont="1" applyFill="1" applyBorder="1"/>
    <xf numFmtId="1" fontId="28" fillId="26" borderId="0" xfId="218" applyNumberFormat="1" applyFont="1" applyFill="1" applyBorder="1" applyAlignment="1">
      <alignment horizontal="center"/>
    </xf>
    <xf numFmtId="1" fontId="28" fillId="26" borderId="0" xfId="218" applyNumberFormat="1" applyFont="1" applyFill="1" applyBorder="1"/>
    <xf numFmtId="0" fontId="28" fillId="2" borderId="39" xfId="218" applyFill="1" applyBorder="1"/>
    <xf numFmtId="0" fontId="28" fillId="2" borderId="15" xfId="218" applyFill="1" applyBorder="1" applyAlignment="1">
      <alignment horizontal="center"/>
    </xf>
    <xf numFmtId="0" fontId="28" fillId="26" borderId="15" xfId="218" applyFill="1" applyBorder="1" applyAlignment="1">
      <alignment horizontal="center"/>
    </xf>
    <xf numFmtId="0" fontId="28" fillId="2" borderId="15" xfId="218" applyFill="1" applyBorder="1"/>
    <xf numFmtId="0" fontId="28" fillId="26" borderId="15" xfId="218" applyFill="1" applyBorder="1"/>
    <xf numFmtId="0" fontId="2" fillId="26" borderId="15" xfId="218" applyFont="1" applyFill="1" applyBorder="1" applyAlignment="1">
      <alignment horizontal="center" vertical="center" wrapText="1"/>
    </xf>
    <xf numFmtId="0" fontId="28" fillId="2" borderId="0" xfId="218" applyFill="1" applyAlignment="1">
      <alignment vertical="center" wrapText="1"/>
    </xf>
    <xf numFmtId="0" fontId="28" fillId="2" borderId="0" xfId="218" applyFill="1" applyBorder="1"/>
    <xf numFmtId="0" fontId="28" fillId="2" borderId="0" xfId="218" applyFill="1" applyBorder="1" applyAlignment="1">
      <alignment horizontal="center"/>
    </xf>
    <xf numFmtId="0" fontId="28" fillId="2" borderId="0" xfId="218" applyFont="1" applyFill="1" applyBorder="1" applyAlignment="1">
      <alignment horizontal="center"/>
    </xf>
    <xf numFmtId="0" fontId="28" fillId="2" borderId="42" xfId="218" applyFill="1" applyBorder="1"/>
    <xf numFmtId="0" fontId="28" fillId="2" borderId="0" xfId="218" applyFont="1" applyFill="1" applyAlignment="1">
      <alignment vertical="center" wrapText="1"/>
    </xf>
    <xf numFmtId="0" fontId="33" fillId="26" borderId="0" xfId="218" applyFont="1" applyFill="1" applyBorder="1" applyAlignment="1">
      <alignment vertical="center" wrapText="1"/>
    </xf>
    <xf numFmtId="0" fontId="28" fillId="2" borderId="0" xfId="218" applyFont="1" applyFill="1" applyAlignment="1">
      <alignment vertical="center"/>
    </xf>
    <xf numFmtId="0" fontId="28" fillId="2" borderId="0" xfId="218" applyFont="1" applyFill="1" applyBorder="1" applyAlignment="1">
      <alignment vertical="center"/>
    </xf>
    <xf numFmtId="0" fontId="28" fillId="51" borderId="15" xfId="218" applyFont="1" applyFill="1" applyBorder="1" applyAlignment="1">
      <alignment vertical="center"/>
    </xf>
    <xf numFmtId="0" fontId="28" fillId="33" borderId="15" xfId="218" applyFont="1" applyFill="1" applyBorder="1" applyAlignment="1">
      <alignment vertical="center"/>
    </xf>
    <xf numFmtId="0" fontId="28" fillId="55" borderId="15" xfId="218" applyFont="1" applyFill="1" applyBorder="1" applyAlignment="1">
      <alignment vertical="center"/>
    </xf>
    <xf numFmtId="0" fontId="28" fillId="42" borderId="15" xfId="218" applyFont="1" applyFill="1" applyBorder="1" applyAlignment="1">
      <alignment vertical="center"/>
    </xf>
    <xf numFmtId="0" fontId="33" fillId="51" borderId="15" xfId="218" applyFont="1" applyFill="1" applyBorder="1" applyAlignment="1">
      <alignment vertical="center"/>
    </xf>
    <xf numFmtId="0" fontId="28" fillId="0" borderId="0" xfId="218" applyFont="1" applyFill="1" applyAlignment="1">
      <alignment vertical="center"/>
    </xf>
    <xf numFmtId="0" fontId="28" fillId="30" borderId="15" xfId="218" applyFont="1" applyFill="1" applyBorder="1" applyAlignment="1">
      <alignment vertical="center"/>
    </xf>
    <xf numFmtId="0" fontId="28" fillId="33" borderId="15" xfId="218" applyFont="1" applyFill="1" applyBorder="1" applyAlignment="1">
      <alignment vertical="center" wrapText="1"/>
    </xf>
    <xf numFmtId="0" fontId="28" fillId="57" borderId="15" xfId="218" applyFont="1" applyFill="1" applyBorder="1" applyAlignment="1">
      <alignment vertical="center"/>
    </xf>
    <xf numFmtId="0" fontId="28" fillId="57" borderId="15" xfId="218" applyFont="1" applyFill="1" applyBorder="1" applyAlignment="1">
      <alignment vertical="center" wrapText="1"/>
    </xf>
    <xf numFmtId="0" fontId="125" fillId="2" borderId="15" xfId="218" applyFont="1" applyFill="1" applyBorder="1" applyAlignment="1">
      <alignment wrapText="1"/>
    </xf>
    <xf numFmtId="0" fontId="1" fillId="26" borderId="15" xfId="218" applyFont="1" applyFill="1" applyBorder="1" applyAlignment="1">
      <alignment horizontal="center" vertical="center" wrapText="1"/>
    </xf>
    <xf numFmtId="2" fontId="28" fillId="2" borderId="15" xfId="218" applyNumberFormat="1" applyFill="1" applyBorder="1"/>
    <xf numFmtId="2" fontId="28" fillId="2" borderId="15" xfId="218" applyNumberFormat="1" applyFill="1" applyBorder="1" applyAlignment="1">
      <alignment horizontal="center"/>
    </xf>
    <xf numFmtId="177" fontId="33" fillId="2" borderId="39" xfId="218" applyNumberFormat="1" applyFont="1" applyFill="1" applyBorder="1"/>
    <xf numFmtId="1" fontId="28" fillId="2" borderId="39" xfId="218" applyNumberFormat="1" applyFill="1" applyBorder="1"/>
    <xf numFmtId="0" fontId="33" fillId="2" borderId="15" xfId="218" applyFont="1" applyFill="1" applyBorder="1"/>
    <xf numFmtId="0" fontId="28" fillId="57" borderId="42" xfId="218" applyFont="1" applyFill="1" applyBorder="1" applyAlignment="1">
      <alignment vertical="center"/>
    </xf>
    <xf numFmtId="0" fontId="128" fillId="2" borderId="0" xfId="218" applyFont="1" applyFill="1" applyBorder="1" applyAlignment="1">
      <alignment horizontal="center" vertical="center"/>
    </xf>
    <xf numFmtId="0" fontId="21" fillId="2" borderId="0" xfId="218" applyFont="1" applyFill="1" applyBorder="1" applyAlignment="1">
      <alignment horizontal="center" vertical="center"/>
    </xf>
    <xf numFmtId="0" fontId="21" fillId="2" borderId="15" xfId="218" applyFont="1" applyFill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1" fillId="0" borderId="27" xfId="0" applyFont="1" applyBorder="1" applyAlignment="1">
      <alignment horizontal="center" vertical="center" wrapText="1"/>
    </xf>
    <xf numFmtId="0" fontId="84" fillId="0" borderId="27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28" xfId="0" applyFont="1" applyBorder="1" applyAlignment="1">
      <alignment horizontal="center" vertical="center" wrapText="1"/>
    </xf>
    <xf numFmtId="0" fontId="84" fillId="0" borderId="43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2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99" fillId="26" borderId="59" xfId="0" applyFont="1" applyFill="1" applyBorder="1" applyAlignment="1">
      <alignment horizontal="center"/>
    </xf>
    <xf numFmtId="0" fontId="99" fillId="26" borderId="45" xfId="0" applyFont="1" applyFill="1" applyBorder="1" applyAlignment="1">
      <alignment horizontal="center"/>
    </xf>
    <xf numFmtId="0" fontId="99" fillId="26" borderId="49" xfId="0" applyFont="1" applyFill="1" applyBorder="1" applyAlignment="1">
      <alignment horizontal="center"/>
    </xf>
    <xf numFmtId="0" fontId="99" fillId="26" borderId="27" xfId="0" applyFont="1" applyFill="1" applyBorder="1" applyAlignment="1">
      <alignment horizontal="center"/>
    </xf>
    <xf numFmtId="0" fontId="99" fillId="26" borderId="0" xfId="0" applyFont="1" applyFill="1" applyBorder="1" applyAlignment="1">
      <alignment horizontal="center"/>
    </xf>
    <xf numFmtId="0" fontId="99" fillId="26" borderId="28" xfId="0" applyFont="1" applyFill="1" applyBorder="1" applyAlignment="1">
      <alignment horizontal="center"/>
    </xf>
    <xf numFmtId="0" fontId="22" fillId="0" borderId="59" xfId="0" applyFont="1" applyBorder="1" applyAlignment="1">
      <alignment horizontal="center" wrapText="1"/>
    </xf>
    <xf numFmtId="0" fontId="30" fillId="0" borderId="45" xfId="0" applyFont="1" applyBorder="1" applyAlignment="1">
      <alignment horizontal="center" wrapText="1"/>
    </xf>
    <xf numFmtId="0" fontId="30" fillId="0" borderId="49" xfId="0" applyFont="1" applyBorder="1" applyAlignment="1">
      <alignment horizontal="center" wrapText="1"/>
    </xf>
    <xf numFmtId="0" fontId="30" fillId="0" borderId="27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28" xfId="0" applyFont="1" applyBorder="1" applyAlignment="1">
      <alignment horizontal="center" wrapText="1"/>
    </xf>
    <xf numFmtId="0" fontId="30" fillId="0" borderId="43" xfId="0" applyFont="1" applyBorder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0" fontId="30" fillId="0" borderId="24" xfId="0" applyFont="1" applyBorder="1" applyAlignment="1">
      <alignment horizontal="center" wrapText="1"/>
    </xf>
    <xf numFmtId="0" fontId="22" fillId="0" borderId="45" xfId="0" applyFont="1" applyBorder="1" applyAlignment="1">
      <alignment horizontal="center" wrapText="1"/>
    </xf>
    <xf numFmtId="0" fontId="22" fillId="0" borderId="49" xfId="0" applyFont="1" applyBorder="1" applyAlignment="1">
      <alignment horizontal="center" wrapText="1"/>
    </xf>
    <xf numFmtId="0" fontId="22" fillId="0" borderId="27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22" fillId="0" borderId="43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2" fillId="0" borderId="24" xfId="0" applyFont="1" applyBorder="1" applyAlignment="1">
      <alignment horizontal="center" wrapText="1"/>
    </xf>
    <xf numFmtId="0" fontId="0" fillId="47" borderId="116" xfId="0" applyFill="1" applyBorder="1"/>
    <xf numFmtId="0" fontId="0" fillId="47" borderId="84" xfId="0" applyFill="1" applyBorder="1"/>
    <xf numFmtId="0" fontId="0" fillId="47" borderId="88" xfId="0" applyFill="1" applyBorder="1"/>
    <xf numFmtId="0" fontId="0" fillId="47" borderId="109" xfId="0" applyFill="1" applyBorder="1"/>
    <xf numFmtId="0" fontId="0" fillId="47" borderId="0" xfId="0" applyFill="1" applyBorder="1"/>
    <xf numFmtId="0" fontId="0" fillId="47" borderId="61" xfId="0" applyFill="1" applyBorder="1"/>
    <xf numFmtId="0" fontId="0" fillId="47" borderId="93" xfId="0" applyFill="1" applyBorder="1"/>
    <xf numFmtId="0" fontId="0" fillId="47" borderId="106" xfId="0" applyFill="1" applyBorder="1"/>
    <xf numFmtId="0" fontId="0" fillId="47" borderId="108" xfId="0" applyFill="1" applyBorder="1"/>
    <xf numFmtId="0" fontId="0" fillId="47" borderId="116" xfId="0" applyFill="1" applyBorder="1" applyAlignment="1">
      <alignment wrapText="1"/>
    </xf>
    <xf numFmtId="0" fontId="0" fillId="47" borderId="84" xfId="0" applyFill="1" applyBorder="1" applyAlignment="1">
      <alignment wrapText="1"/>
    </xf>
    <xf numFmtId="0" fontId="0" fillId="47" borderId="88" xfId="0" applyFill="1" applyBorder="1" applyAlignment="1">
      <alignment wrapText="1"/>
    </xf>
    <xf numFmtId="0" fontId="0" fillId="47" borderId="109" xfId="0" applyFill="1" applyBorder="1" applyAlignment="1">
      <alignment wrapText="1"/>
    </xf>
    <xf numFmtId="0" fontId="0" fillId="47" borderId="0" xfId="0" applyFill="1" applyBorder="1" applyAlignment="1">
      <alignment wrapText="1"/>
    </xf>
    <xf numFmtId="0" fontId="0" fillId="47" borderId="61" xfId="0" applyFill="1" applyBorder="1" applyAlignment="1">
      <alignment wrapText="1"/>
    </xf>
    <xf numFmtId="0" fontId="0" fillId="47" borderId="93" xfId="0" applyFill="1" applyBorder="1" applyAlignment="1">
      <alignment wrapText="1"/>
    </xf>
    <xf numFmtId="0" fontId="0" fillId="47" borderId="106" xfId="0" applyFill="1" applyBorder="1" applyAlignment="1">
      <alignment wrapText="1"/>
    </xf>
    <xf numFmtId="0" fontId="0" fillId="47" borderId="108" xfId="0" applyFill="1" applyBorder="1" applyAlignment="1">
      <alignment wrapText="1"/>
    </xf>
    <xf numFmtId="0" fontId="91" fillId="26" borderId="41" xfId="128" applyFont="1" applyFill="1" applyBorder="1" applyAlignment="1" applyProtection="1">
      <alignment horizontal="center" vertical="center" wrapText="1"/>
    </xf>
    <xf numFmtId="0" fontId="91" fillId="26" borderId="6" xfId="128" applyFont="1" applyFill="1" applyBorder="1" applyAlignment="1" applyProtection="1">
      <alignment horizontal="center" vertical="center" wrapText="1"/>
    </xf>
    <xf numFmtId="0" fontId="91" fillId="26" borderId="39" xfId="128" applyFont="1" applyFill="1" applyBorder="1" applyAlignment="1" applyProtection="1">
      <alignment horizontal="center" vertical="center" wrapText="1"/>
    </xf>
    <xf numFmtId="0" fontId="0" fillId="26" borderId="0" xfId="0" applyFill="1" applyBorder="1" applyAlignment="1" applyProtection="1">
      <alignment horizontal="center" vertical="center"/>
      <protection locked="0"/>
    </xf>
    <xf numFmtId="0" fontId="30" fillId="0" borderId="59" xfId="128" applyFont="1" applyBorder="1" applyAlignment="1" applyProtection="1">
      <alignment horizontal="center" vertical="center" wrapText="1"/>
      <protection locked="0"/>
    </xf>
    <xf numFmtId="0" fontId="30" fillId="0" borderId="45" xfId="128" applyFont="1" applyBorder="1" applyAlignment="1" applyProtection="1">
      <alignment horizontal="center" vertical="center" wrapText="1"/>
      <protection locked="0"/>
    </xf>
    <xf numFmtId="0" fontId="30" fillId="0" borderId="49" xfId="128" applyFont="1" applyBorder="1" applyAlignment="1" applyProtection="1">
      <alignment horizontal="center" vertical="center" wrapText="1"/>
      <protection locked="0"/>
    </xf>
    <xf numFmtId="0" fontId="30" fillId="0" borderId="27" xfId="128" applyFont="1" applyBorder="1" applyAlignment="1" applyProtection="1">
      <alignment horizontal="center" vertical="center" wrapText="1"/>
      <protection locked="0"/>
    </xf>
    <xf numFmtId="0" fontId="30" fillId="0" borderId="0" xfId="128" applyFont="1" applyBorder="1" applyAlignment="1" applyProtection="1">
      <alignment horizontal="center" vertical="center" wrapText="1"/>
      <protection locked="0"/>
    </xf>
    <xf numFmtId="0" fontId="30" fillId="0" borderId="28" xfId="128" applyFont="1" applyBorder="1" applyAlignment="1" applyProtection="1">
      <alignment horizontal="center" vertical="center" wrapText="1"/>
      <protection locked="0"/>
    </xf>
    <xf numFmtId="0" fontId="30" fillId="0" borderId="43" xfId="128" applyFont="1" applyBorder="1" applyAlignment="1" applyProtection="1">
      <alignment horizontal="center" vertical="center" wrapText="1"/>
      <protection locked="0"/>
    </xf>
    <xf numFmtId="0" fontId="30" fillId="0" borderId="13" xfId="128" applyFont="1" applyBorder="1" applyAlignment="1" applyProtection="1">
      <alignment horizontal="center" vertical="center" wrapText="1"/>
      <protection locked="0"/>
    </xf>
    <xf numFmtId="0" fontId="30" fillId="0" borderId="24" xfId="128" applyFont="1" applyBorder="1" applyAlignment="1" applyProtection="1">
      <alignment horizontal="center" vertical="center" wrapText="1"/>
      <protection locked="0"/>
    </xf>
    <xf numFmtId="0" fontId="90" fillId="46" borderId="43" xfId="128" applyFont="1" applyFill="1" applyBorder="1" applyAlignment="1" applyProtection="1">
      <alignment horizontal="left" vertical="center" wrapText="1" indent="1"/>
      <protection locked="0"/>
    </xf>
    <xf numFmtId="0" fontId="73" fillId="46" borderId="13" xfId="128" applyFont="1" applyFill="1" applyBorder="1" applyAlignment="1" applyProtection="1">
      <alignment horizontal="left" vertical="center" wrapText="1" indent="1"/>
      <protection locked="0"/>
    </xf>
    <xf numFmtId="0" fontId="73" fillId="46" borderId="24" xfId="128" applyFont="1" applyFill="1" applyBorder="1" applyAlignment="1" applyProtection="1">
      <alignment horizontal="left" vertical="center" wrapText="1" indent="1"/>
      <protection locked="0"/>
    </xf>
    <xf numFmtId="0" fontId="18" fillId="0" borderId="167" xfId="0" applyFont="1" applyBorder="1" applyAlignment="1" applyProtection="1">
      <alignment horizontal="left" vertical="center"/>
      <protection locked="0"/>
    </xf>
    <xf numFmtId="0" fontId="63" fillId="0" borderId="167" xfId="0" applyFont="1" applyBorder="1" applyAlignment="1" applyProtection="1">
      <alignment horizontal="left" vertical="center"/>
      <protection locked="0"/>
    </xf>
    <xf numFmtId="0" fontId="63" fillId="0" borderId="168" xfId="0" applyFont="1" applyBorder="1" applyAlignment="1" applyProtection="1">
      <alignment horizontal="left" vertical="center"/>
      <protection locked="0"/>
    </xf>
    <xf numFmtId="1" fontId="0" fillId="0" borderId="173" xfId="0" applyNumberFormat="1" applyFill="1" applyBorder="1" applyAlignment="1" applyProtection="1">
      <alignment horizontal="left" vertical="center" wrapText="1"/>
      <protection locked="0"/>
    </xf>
    <xf numFmtId="1" fontId="0" fillId="0" borderId="168" xfId="0" applyNumberFormat="1" applyFill="1" applyBorder="1" applyAlignment="1" applyProtection="1">
      <alignment horizontal="left" vertical="center" wrapText="1"/>
      <protection locked="0"/>
    </xf>
    <xf numFmtId="0" fontId="18" fillId="0" borderId="74" xfId="0" applyFont="1" applyBorder="1" applyAlignment="1" applyProtection="1">
      <alignment horizontal="left" vertical="center"/>
      <protection locked="0"/>
    </xf>
    <xf numFmtId="0" fontId="63" fillId="0" borderId="74" xfId="0" applyFont="1" applyBorder="1" applyAlignment="1" applyProtection="1">
      <alignment horizontal="left" vertical="center"/>
      <protection locked="0"/>
    </xf>
    <xf numFmtId="0" fontId="63" fillId="0" borderId="75" xfId="0" applyFont="1" applyBorder="1" applyAlignment="1" applyProtection="1">
      <alignment horizontal="left" vertical="center"/>
      <protection locked="0"/>
    </xf>
    <xf numFmtId="1" fontId="0" fillId="0" borderId="174" xfId="0" applyNumberFormat="1" applyFill="1" applyBorder="1" applyAlignment="1" applyProtection="1">
      <alignment horizontal="left" vertical="center" wrapText="1"/>
      <protection locked="0"/>
    </xf>
    <xf numFmtId="0" fontId="0" fillId="0" borderId="75" xfId="0" applyFill="1" applyBorder="1" applyAlignment="1" applyProtection="1">
      <alignment horizontal="left" vertical="center" wrapText="1"/>
      <protection locked="0"/>
    </xf>
    <xf numFmtId="0" fontId="18" fillId="0" borderId="74" xfId="0" applyFont="1" applyFill="1" applyBorder="1" applyAlignment="1" applyProtection="1">
      <alignment horizontal="left" vertical="center" wrapText="1"/>
      <protection locked="0"/>
    </xf>
    <xf numFmtId="0" fontId="0" fillId="0" borderId="74" xfId="0" applyFill="1" applyBorder="1" applyAlignment="1" applyProtection="1">
      <alignment horizontal="left" vertical="center" wrapText="1"/>
      <protection locked="0"/>
    </xf>
    <xf numFmtId="0" fontId="18" fillId="0" borderId="75" xfId="0" applyFont="1" applyFill="1" applyBorder="1" applyAlignment="1" applyProtection="1">
      <alignment horizontal="left" vertical="center" wrapText="1"/>
      <protection locked="0"/>
    </xf>
    <xf numFmtId="0" fontId="18" fillId="0" borderId="38" xfId="128" applyFill="1" applyBorder="1" applyAlignment="1" applyProtection="1">
      <alignment horizontal="left" vertical="center" wrapText="1" indent="1"/>
    </xf>
    <xf numFmtId="0" fontId="18" fillId="0" borderId="17" xfId="128" applyFill="1" applyBorder="1" applyAlignment="1" applyProtection="1">
      <alignment horizontal="left" vertical="center" wrapText="1" indent="1"/>
    </xf>
    <xf numFmtId="0" fontId="18" fillId="0" borderId="84" xfId="0" applyFont="1" applyFill="1" applyBorder="1" applyAlignment="1" applyProtection="1">
      <alignment horizontal="left" vertical="center" wrapText="1"/>
      <protection locked="0"/>
    </xf>
    <xf numFmtId="0" fontId="18" fillId="0" borderId="117" xfId="0" applyFont="1" applyFill="1" applyBorder="1" applyAlignment="1" applyProtection="1">
      <alignment horizontal="left" vertical="center" wrapText="1"/>
      <protection locked="0"/>
    </xf>
    <xf numFmtId="0" fontId="65" fillId="26" borderId="43" xfId="128" applyFont="1" applyFill="1" applyBorder="1" applyAlignment="1" applyProtection="1">
      <alignment horizontal="left" vertical="center" wrapText="1" indent="2"/>
      <protection locked="0"/>
    </xf>
    <xf numFmtId="0" fontId="65" fillId="26" borderId="13" xfId="128" applyFont="1" applyFill="1" applyBorder="1" applyAlignment="1" applyProtection="1">
      <alignment horizontal="left" vertical="center" wrapText="1" indent="2"/>
      <protection locked="0"/>
    </xf>
    <xf numFmtId="0" fontId="65" fillId="26" borderId="24" xfId="128" applyFont="1" applyFill="1" applyBorder="1" applyAlignment="1" applyProtection="1">
      <alignment horizontal="left" vertical="center" wrapText="1" indent="2"/>
      <protection locked="0"/>
    </xf>
    <xf numFmtId="0" fontId="34" fillId="0" borderId="114" xfId="0" applyFont="1" applyBorder="1" applyAlignment="1" applyProtection="1">
      <alignment horizontal="center" vertical="center" wrapText="1"/>
      <protection locked="0"/>
    </xf>
    <xf numFmtId="0" fontId="34" fillId="0" borderId="79" xfId="0" applyFont="1" applyBorder="1" applyAlignment="1" applyProtection="1">
      <alignment horizontal="center" vertical="center" wrapText="1"/>
      <protection locked="0"/>
    </xf>
    <xf numFmtId="0" fontId="34" fillId="0" borderId="80" xfId="0" applyFont="1" applyBorder="1" applyAlignment="1" applyProtection="1">
      <alignment horizontal="center" vertical="center" wrapText="1"/>
      <protection locked="0"/>
    </xf>
    <xf numFmtId="0" fontId="34" fillId="0" borderId="129" xfId="0" applyFont="1" applyBorder="1" applyAlignment="1" applyProtection="1">
      <alignment horizontal="center" vertical="center" wrapText="1"/>
      <protection locked="0"/>
    </xf>
    <xf numFmtId="0" fontId="34" fillId="0" borderId="130" xfId="0" applyFont="1" applyBorder="1" applyAlignment="1" applyProtection="1">
      <alignment horizontal="center" vertical="center" wrapText="1"/>
      <protection locked="0"/>
    </xf>
    <xf numFmtId="0" fontId="34" fillId="0" borderId="128" xfId="0" applyFont="1" applyBorder="1" applyAlignment="1" applyProtection="1">
      <alignment horizontal="center" vertical="center" wrapText="1"/>
      <protection locked="0"/>
    </xf>
    <xf numFmtId="0" fontId="34" fillId="0" borderId="162" xfId="0" applyFont="1" applyBorder="1" applyAlignment="1" applyProtection="1">
      <alignment horizontal="center" vertical="center" wrapText="1"/>
      <protection locked="0"/>
    </xf>
    <xf numFmtId="0" fontId="34" fillId="0" borderId="163" xfId="0" applyFont="1" applyBorder="1" applyAlignment="1" applyProtection="1">
      <alignment horizontal="center" vertical="center" wrapText="1"/>
      <protection locked="0"/>
    </xf>
    <xf numFmtId="0" fontId="34" fillId="0" borderId="164" xfId="0" applyFont="1" applyBorder="1" applyAlignment="1" applyProtection="1">
      <alignment horizontal="center" vertical="center" wrapText="1"/>
      <protection locked="0"/>
    </xf>
    <xf numFmtId="0" fontId="64" fillId="0" borderId="27" xfId="128" applyFont="1" applyFill="1" applyBorder="1" applyAlignment="1" applyProtection="1">
      <alignment horizontal="left" vertical="center" wrapText="1"/>
      <protection locked="0"/>
    </xf>
    <xf numFmtId="0" fontId="64" fillId="0" borderId="0" xfId="128" applyFont="1" applyFill="1" applyBorder="1" applyAlignment="1" applyProtection="1">
      <alignment horizontal="left" vertical="center" wrapText="1"/>
      <protection locked="0"/>
    </xf>
    <xf numFmtId="0" fontId="64" fillId="0" borderId="28" xfId="128" applyFont="1" applyFill="1" applyBorder="1" applyAlignment="1" applyProtection="1">
      <alignment horizontal="left" vertical="center" wrapText="1"/>
      <protection locked="0"/>
    </xf>
    <xf numFmtId="17" fontId="18" fillId="0" borderId="174" xfId="0" applyNumberFormat="1" applyFont="1" applyFill="1" applyBorder="1" applyAlignment="1" applyProtection="1">
      <alignment horizontal="left" vertical="center" wrapText="1"/>
      <protection locked="0"/>
    </xf>
    <xf numFmtId="17" fontId="18" fillId="0" borderId="75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74" xfId="0" quotePrefix="1" applyFont="1" applyFill="1" applyBorder="1" applyAlignment="1" applyProtection="1">
      <alignment horizontal="left" vertical="center" wrapText="1"/>
      <protection locked="0"/>
    </xf>
    <xf numFmtId="0" fontId="18" fillId="0" borderId="75" xfId="0" quotePrefix="1" applyFont="1" applyFill="1" applyBorder="1" applyAlignment="1" applyProtection="1">
      <alignment horizontal="left" vertical="center" wrapText="1"/>
      <protection locked="0"/>
    </xf>
    <xf numFmtId="17" fontId="18" fillId="0" borderId="175" xfId="0" quotePrefix="1" applyNumberFormat="1" applyFont="1" applyFill="1" applyBorder="1" applyAlignment="1" applyProtection="1">
      <alignment horizontal="left" vertical="center" wrapText="1"/>
      <protection locked="0"/>
    </xf>
    <xf numFmtId="17" fontId="18" fillId="0" borderId="169" xfId="0" applyNumberFormat="1" applyFont="1" applyFill="1" applyBorder="1" applyAlignment="1" applyProtection="1">
      <alignment horizontal="left" vertical="center" wrapText="1"/>
      <protection locked="0"/>
    </xf>
    <xf numFmtId="0" fontId="22" fillId="26" borderId="41" xfId="128" applyFont="1" applyFill="1" applyBorder="1" applyAlignment="1" applyProtection="1">
      <alignment horizontal="center" vertical="center" wrapText="1"/>
    </xf>
    <xf numFmtId="0" fontId="22" fillId="26" borderId="6" xfId="128" applyFont="1" applyFill="1" applyBorder="1" applyAlignment="1" applyProtection="1">
      <alignment horizontal="center" vertical="center" wrapText="1"/>
    </xf>
    <xf numFmtId="0" fontId="22" fillId="26" borderId="39" xfId="128" applyFont="1" applyFill="1" applyBorder="1" applyAlignment="1" applyProtection="1">
      <alignment horizontal="center" vertical="center" wrapText="1"/>
    </xf>
    <xf numFmtId="0" fontId="30" fillId="26" borderId="59" xfId="128" applyFont="1" applyFill="1" applyBorder="1" applyAlignment="1" applyProtection="1">
      <alignment horizontal="center" vertical="center" wrapText="1"/>
    </xf>
    <xf numFmtId="0" fontId="30" fillId="26" borderId="45" xfId="128" applyFont="1" applyFill="1" applyBorder="1" applyAlignment="1" applyProtection="1">
      <alignment horizontal="center" vertical="center" wrapText="1"/>
    </xf>
    <xf numFmtId="0" fontId="30" fillId="26" borderId="49" xfId="128" applyFont="1" applyFill="1" applyBorder="1" applyAlignment="1" applyProtection="1">
      <alignment horizontal="center" vertical="center" wrapText="1"/>
    </xf>
    <xf numFmtId="0" fontId="30" fillId="26" borderId="27" xfId="128" applyFont="1" applyFill="1" applyBorder="1" applyAlignment="1" applyProtection="1">
      <alignment horizontal="center" vertical="center" wrapText="1"/>
    </xf>
    <xf numFmtId="0" fontId="30" fillId="26" borderId="0" xfId="128" applyFont="1" applyFill="1" applyBorder="1" applyAlignment="1" applyProtection="1">
      <alignment horizontal="center" vertical="center" wrapText="1"/>
    </xf>
    <xf numFmtId="0" fontId="30" fillId="26" borderId="28" xfId="128" applyFont="1" applyFill="1" applyBorder="1" applyAlignment="1" applyProtection="1">
      <alignment horizontal="center" vertical="center" wrapText="1"/>
    </xf>
    <xf numFmtId="0" fontId="30" fillId="26" borderId="43" xfId="128" applyFont="1" applyFill="1" applyBorder="1" applyAlignment="1" applyProtection="1">
      <alignment horizontal="center" vertical="center" wrapText="1"/>
    </xf>
    <xf numFmtId="0" fontId="30" fillId="26" borderId="13" xfId="128" applyFont="1" applyFill="1" applyBorder="1" applyAlignment="1" applyProtection="1">
      <alignment horizontal="center" vertical="center" wrapText="1"/>
    </xf>
    <xf numFmtId="0" fontId="30" fillId="26" borderId="24" xfId="128" applyFont="1" applyFill="1" applyBorder="1" applyAlignment="1" applyProtection="1">
      <alignment horizontal="center" vertical="center" wrapText="1"/>
    </xf>
    <xf numFmtId="0" fontId="79" fillId="26" borderId="45" xfId="128" applyFont="1" applyFill="1" applyBorder="1" applyAlignment="1" applyProtection="1">
      <alignment horizontal="center" vertical="center"/>
    </xf>
    <xf numFmtId="0" fontId="79" fillId="26" borderId="49" xfId="128" applyFont="1" applyFill="1" applyBorder="1" applyAlignment="1" applyProtection="1">
      <alignment horizontal="center" vertical="center"/>
    </xf>
    <xf numFmtId="0" fontId="79" fillId="26" borderId="0" xfId="128" applyFont="1" applyFill="1" applyBorder="1" applyAlignment="1" applyProtection="1">
      <alignment horizontal="center" vertical="center"/>
    </xf>
    <xf numFmtId="0" fontId="79" fillId="26" borderId="28" xfId="128" applyFont="1" applyFill="1" applyBorder="1" applyAlignment="1" applyProtection="1">
      <alignment horizontal="center" vertical="center"/>
    </xf>
    <xf numFmtId="0" fontId="79" fillId="26" borderId="13" xfId="128" applyFont="1" applyFill="1" applyBorder="1" applyAlignment="1" applyProtection="1">
      <alignment horizontal="center" vertical="center"/>
    </xf>
    <xf numFmtId="0" fontId="79" fillId="26" borderId="24" xfId="128" applyFont="1" applyFill="1" applyBorder="1" applyAlignment="1" applyProtection="1">
      <alignment horizontal="center" vertical="center"/>
    </xf>
    <xf numFmtId="0" fontId="18" fillId="0" borderId="176" xfId="128" applyFill="1" applyBorder="1" applyAlignment="1" applyProtection="1">
      <alignment horizontal="center" vertical="center" wrapText="1"/>
      <protection locked="0"/>
    </xf>
    <xf numFmtId="0" fontId="18" fillId="0" borderId="165" xfId="128" applyFill="1" applyBorder="1" applyAlignment="1" applyProtection="1">
      <alignment horizontal="center" vertical="center" wrapText="1"/>
      <protection locked="0"/>
    </xf>
    <xf numFmtId="17" fontId="63" fillId="0" borderId="122" xfId="128" applyNumberFormat="1" applyFont="1" applyFill="1" applyBorder="1" applyAlignment="1" applyProtection="1">
      <alignment horizontal="center" vertical="center" wrapText="1"/>
      <protection locked="0"/>
    </xf>
    <xf numFmtId="17" fontId="63" fillId="0" borderId="123" xfId="128" applyNumberFormat="1" applyFont="1" applyFill="1" applyBorder="1" applyAlignment="1" applyProtection="1">
      <alignment horizontal="center" vertical="center" wrapText="1"/>
      <protection locked="0"/>
    </xf>
    <xf numFmtId="0" fontId="73" fillId="26" borderId="59" xfId="128" applyFont="1" applyFill="1" applyBorder="1" applyAlignment="1" applyProtection="1">
      <alignment horizontal="center" vertical="center" wrapText="1"/>
      <protection locked="0"/>
    </xf>
    <xf numFmtId="0" fontId="73" fillId="26" borderId="45" xfId="128" applyFont="1" applyFill="1" applyBorder="1" applyAlignment="1" applyProtection="1">
      <alignment horizontal="center" vertical="center" wrapText="1"/>
      <protection locked="0"/>
    </xf>
    <xf numFmtId="0" fontId="73" fillId="26" borderId="49" xfId="128" applyFont="1" applyFill="1" applyBorder="1" applyAlignment="1" applyProtection="1">
      <alignment horizontal="center" vertical="center" wrapText="1"/>
      <protection locked="0"/>
    </xf>
    <xf numFmtId="0" fontId="18" fillId="26" borderId="0" xfId="128" applyFill="1" applyBorder="1" applyAlignment="1" applyProtection="1">
      <alignment horizontal="center" vertical="center" wrapText="1"/>
      <protection locked="0"/>
    </xf>
    <xf numFmtId="0" fontId="18" fillId="0" borderId="122" xfId="128" applyFill="1" applyBorder="1" applyAlignment="1" applyProtection="1">
      <alignment horizontal="center" vertical="center" wrapText="1"/>
      <protection locked="0"/>
    </xf>
    <xf numFmtId="0" fontId="18" fillId="0" borderId="123" xfId="128" applyFill="1" applyBorder="1" applyAlignment="1" applyProtection="1">
      <alignment horizontal="center" vertical="center" wrapText="1"/>
      <protection locked="0"/>
    </xf>
    <xf numFmtId="0" fontId="101" fillId="0" borderId="29" xfId="235" applyFont="1" applyBorder="1" applyAlignment="1">
      <alignment horizontal="left" vertical="center"/>
    </xf>
    <xf numFmtId="0" fontId="101" fillId="0" borderId="79" xfId="235" applyFont="1" applyBorder="1" applyAlignment="1">
      <alignment horizontal="left" vertical="center"/>
    </xf>
    <xf numFmtId="0" fontId="101" fillId="0" borderId="37" xfId="235" applyFont="1" applyBorder="1" applyAlignment="1">
      <alignment horizontal="left" vertical="center"/>
    </xf>
    <xf numFmtId="0" fontId="101" fillId="0" borderId="29" xfId="235" applyFont="1" applyBorder="1" applyAlignment="1">
      <alignment horizontal="left" vertical="top"/>
    </xf>
    <xf numFmtId="0" fontId="101" fillId="0" borderId="79" xfId="235" applyFont="1" applyBorder="1" applyAlignment="1">
      <alignment horizontal="left" vertical="top"/>
    </xf>
    <xf numFmtId="0" fontId="101" fillId="0" borderId="37" xfId="235" applyFont="1" applyBorder="1" applyAlignment="1">
      <alignment horizontal="left" vertical="top"/>
    </xf>
    <xf numFmtId="0" fontId="101" fillId="0" borderId="30" xfId="235" applyFont="1" applyBorder="1" applyAlignment="1">
      <alignment horizontal="left" vertical="top"/>
    </xf>
    <xf numFmtId="0" fontId="101" fillId="0" borderId="155" xfId="235" applyFont="1" applyBorder="1" applyAlignment="1">
      <alignment horizontal="left" vertical="top"/>
    </xf>
    <xf numFmtId="0" fontId="101" fillId="0" borderId="156" xfId="235" applyFont="1" applyBorder="1" applyAlignment="1">
      <alignment horizontal="left" vertical="top"/>
    </xf>
    <xf numFmtId="0" fontId="101" fillId="0" borderId="41" xfId="235" applyFont="1" applyBorder="1" applyAlignment="1">
      <alignment horizontal="center" vertical="center"/>
    </xf>
    <xf numFmtId="0" fontId="101" fillId="0" borderId="6" xfId="235" applyFont="1" applyBorder="1" applyAlignment="1">
      <alignment horizontal="center" vertical="center"/>
    </xf>
    <xf numFmtId="0" fontId="101" fillId="0" borderId="39" xfId="235" applyFont="1" applyBorder="1" applyAlignment="1">
      <alignment horizontal="center" vertical="center"/>
    </xf>
    <xf numFmtId="0" fontId="101" fillId="0" borderId="86" xfId="235" applyFont="1" applyBorder="1" applyAlignment="1">
      <alignment horizontal="left" vertical="center"/>
    </xf>
    <xf numFmtId="0" fontId="101" fillId="0" borderId="130" xfId="235" applyFont="1" applyBorder="1" applyAlignment="1">
      <alignment horizontal="left" vertical="center"/>
    </xf>
    <xf numFmtId="0" fontId="101" fillId="0" borderId="87" xfId="235" applyFont="1" applyBorder="1" applyAlignment="1">
      <alignment horizontal="left" vertical="center"/>
    </xf>
    <xf numFmtId="0" fontId="101" fillId="0" borderId="59" xfId="235" applyFont="1" applyBorder="1" applyAlignment="1">
      <alignment horizontal="center" vertical="center"/>
    </xf>
    <xf numFmtId="0" fontId="101" fillId="0" borderId="45" xfId="235" applyFont="1" applyBorder="1" applyAlignment="1">
      <alignment horizontal="center" vertical="center"/>
    </xf>
    <xf numFmtId="0" fontId="101" fillId="0" borderId="49" xfId="235" applyFont="1" applyBorder="1" applyAlignment="1">
      <alignment horizontal="center" vertical="center"/>
    </xf>
    <xf numFmtId="0" fontId="101" fillId="0" borderId="27" xfId="235" applyFont="1" applyBorder="1" applyAlignment="1">
      <alignment horizontal="center" vertical="center"/>
    </xf>
    <xf numFmtId="0" fontId="101" fillId="0" borderId="0" xfId="235" applyFont="1" applyBorder="1" applyAlignment="1">
      <alignment horizontal="center" vertical="center"/>
    </xf>
    <xf numFmtId="0" fontId="101" fillId="0" borderId="28" xfId="235" applyFont="1" applyBorder="1" applyAlignment="1">
      <alignment horizontal="center" vertical="center"/>
    </xf>
    <xf numFmtId="0" fontId="101" fillId="0" borderId="43" xfId="235" applyFont="1" applyBorder="1" applyAlignment="1">
      <alignment horizontal="center" vertical="center"/>
    </xf>
    <xf numFmtId="0" fontId="101" fillId="0" borderId="13" xfId="235" applyFont="1" applyBorder="1" applyAlignment="1">
      <alignment horizontal="center" vertical="center"/>
    </xf>
    <xf numFmtId="0" fontId="101" fillId="0" borderId="24" xfId="235" applyFont="1" applyBorder="1" applyAlignment="1">
      <alignment horizontal="center" vertical="center"/>
    </xf>
    <xf numFmtId="0" fontId="101" fillId="0" borderId="86" xfId="235" applyFont="1" applyBorder="1" applyAlignment="1">
      <alignment horizontal="left" vertical="top"/>
    </xf>
    <xf numFmtId="0" fontId="101" fillId="0" borderId="130" xfId="235" applyFont="1" applyBorder="1" applyAlignment="1">
      <alignment horizontal="left" vertical="top"/>
    </xf>
    <xf numFmtId="0" fontId="101" fillId="0" borderId="87" xfId="235" applyFont="1" applyBorder="1" applyAlignment="1">
      <alignment horizontal="left" vertical="top"/>
    </xf>
    <xf numFmtId="0" fontId="101" fillId="0" borderId="30" xfId="235" applyFont="1" applyBorder="1" applyAlignment="1">
      <alignment horizontal="left" vertical="center"/>
    </xf>
    <xf numFmtId="0" fontId="101" fillId="0" borderId="155" xfId="235" applyFont="1" applyBorder="1" applyAlignment="1">
      <alignment horizontal="left" vertical="center"/>
    </xf>
    <xf numFmtId="0" fontId="101" fillId="0" borderId="156" xfId="235" applyFont="1" applyBorder="1" applyAlignment="1">
      <alignment horizontal="left" vertical="center"/>
    </xf>
    <xf numFmtId="0" fontId="101" fillId="0" borderId="86" xfId="235" applyFont="1" applyBorder="1" applyAlignment="1">
      <alignment horizontal="center" vertical="center" textRotation="90"/>
    </xf>
    <xf numFmtId="0" fontId="101" fillId="0" borderId="147" xfId="235" applyFont="1" applyBorder="1" applyAlignment="1">
      <alignment horizontal="center" vertical="center" textRotation="90"/>
    </xf>
    <xf numFmtId="0" fontId="101" fillId="0" borderId="30" xfId="235" applyFont="1" applyBorder="1" applyAlignment="1">
      <alignment horizontal="center" vertical="center" textRotation="90"/>
    </xf>
    <xf numFmtId="1" fontId="102" fillId="0" borderId="130" xfId="128" applyNumberFormat="1" applyFont="1" applyFill="1" applyBorder="1" applyAlignment="1">
      <alignment horizontal="center" vertical="center" wrapText="1"/>
    </xf>
    <xf numFmtId="0" fontId="102" fillId="0" borderId="155" xfId="128" applyFont="1" applyFill="1" applyBorder="1" applyAlignment="1">
      <alignment horizontal="center" vertical="center" wrapText="1"/>
    </xf>
    <xf numFmtId="0" fontId="101" fillId="0" borderId="147" xfId="235" applyFont="1" applyBorder="1" applyAlignment="1">
      <alignment horizontal="center" vertical="center" textRotation="90" wrapText="1"/>
    </xf>
    <xf numFmtId="0" fontId="101" fillId="0" borderId="62" xfId="235" applyFont="1" applyBorder="1" applyAlignment="1">
      <alignment horizontal="center" vertical="center" textRotation="90" wrapText="1"/>
    </xf>
    <xf numFmtId="0" fontId="101" fillId="0" borderId="89" xfId="235" applyFont="1" applyBorder="1" applyAlignment="1">
      <alignment horizontal="center" vertical="center" textRotation="90" wrapText="1"/>
    </xf>
    <xf numFmtId="0" fontId="101" fillId="0" borderId="64" xfId="235" applyFont="1" applyBorder="1" applyAlignment="1">
      <alignment horizontal="center" vertical="center" textRotation="90" wrapText="1"/>
    </xf>
    <xf numFmtId="0" fontId="110" fillId="0" borderId="128" xfId="235" applyFont="1" applyFill="1" applyBorder="1" applyAlignment="1">
      <alignment horizontal="center"/>
    </xf>
    <xf numFmtId="0" fontId="110" fillId="0" borderId="131" xfId="235" applyFont="1" applyFill="1" applyBorder="1" applyAlignment="1">
      <alignment horizontal="center"/>
    </xf>
    <xf numFmtId="0" fontId="110" fillId="0" borderId="129" xfId="235" applyFont="1" applyFill="1" applyBorder="1" applyAlignment="1">
      <alignment horizontal="center"/>
    </xf>
    <xf numFmtId="0" fontId="110" fillId="0" borderId="157" xfId="235" applyFont="1" applyFill="1" applyBorder="1" applyAlignment="1">
      <alignment horizontal="center"/>
    </xf>
    <xf numFmtId="0" fontId="110" fillId="0" borderId="103" xfId="235" applyFont="1" applyFill="1" applyBorder="1" applyAlignment="1">
      <alignment horizontal="center"/>
    </xf>
    <xf numFmtId="0" fontId="110" fillId="0" borderId="158" xfId="235" applyFont="1" applyFill="1" applyBorder="1" applyAlignment="1">
      <alignment horizontal="center"/>
    </xf>
    <xf numFmtId="0" fontId="18" fillId="0" borderId="145" xfId="210" applyFont="1" applyBorder="1" applyAlignment="1" applyProtection="1">
      <alignment vertical="center" wrapText="1"/>
      <protection locked="0"/>
    </xf>
    <xf numFmtId="0" fontId="18" fillId="0" borderId="154" xfId="210" applyFont="1" applyBorder="1" applyAlignment="1" applyProtection="1">
      <alignment vertical="center" wrapText="1"/>
      <protection locked="0"/>
    </xf>
    <xf numFmtId="0" fontId="18" fillId="0" borderId="63" xfId="210" applyFont="1" applyBorder="1" applyAlignment="1" applyProtection="1">
      <alignment vertical="center" wrapText="1"/>
      <protection locked="0"/>
    </xf>
    <xf numFmtId="0" fontId="101" fillId="0" borderId="29" xfId="235" applyFont="1" applyBorder="1" applyAlignment="1">
      <alignment horizontal="center" vertical="center" textRotation="90" wrapText="1"/>
    </xf>
    <xf numFmtId="0" fontId="101" fillId="0" borderId="86" xfId="235" applyFont="1" applyBorder="1" applyAlignment="1">
      <alignment horizontal="center" vertical="center" textRotation="90" wrapText="1"/>
    </xf>
    <xf numFmtId="0" fontId="101" fillId="0" borderId="30" xfId="235" applyFont="1" applyBorder="1" applyAlignment="1">
      <alignment horizontal="center" vertical="center" textRotation="90" wrapText="1"/>
    </xf>
    <xf numFmtId="0" fontId="112" fillId="0" borderId="41" xfId="210" applyFont="1" applyBorder="1" applyAlignment="1" applyProtection="1">
      <alignment horizontal="center" vertical="center" wrapText="1"/>
      <protection locked="0"/>
    </xf>
    <xf numFmtId="0" fontId="112" fillId="0" borderId="51" xfId="210" applyFont="1" applyBorder="1" applyAlignment="1" applyProtection="1">
      <alignment horizontal="center" vertical="center" wrapText="1"/>
      <protection locked="0"/>
    </xf>
    <xf numFmtId="0" fontId="83" fillId="0" borderId="49" xfId="128" applyFont="1" applyBorder="1" applyAlignment="1">
      <alignment horizontal="center" vertical="center" textRotation="90"/>
    </xf>
    <xf numFmtId="0" fontId="83" fillId="0" borderId="28" xfId="128" applyFont="1" applyBorder="1" applyAlignment="1">
      <alignment horizontal="center" vertical="center" textRotation="90"/>
    </xf>
    <xf numFmtId="0" fontId="83" fillId="0" borderId="24" xfId="128" applyFont="1" applyBorder="1" applyAlignment="1">
      <alignment horizontal="center" vertical="center" textRotation="90"/>
    </xf>
    <xf numFmtId="0" fontId="106" fillId="0" borderId="59" xfId="210" applyFont="1" applyBorder="1" applyAlignment="1" applyProtection="1">
      <alignment horizontal="left" vertical="center" wrapText="1"/>
      <protection locked="0"/>
    </xf>
    <xf numFmtId="0" fontId="106" fillId="0" borderId="67" xfId="210" applyFont="1" applyBorder="1" applyAlignment="1" applyProtection="1">
      <alignment horizontal="left" vertical="center" wrapText="1"/>
      <protection locked="0"/>
    </xf>
    <xf numFmtId="0" fontId="106" fillId="0" borderId="31" xfId="210" applyFont="1" applyBorder="1" applyAlignment="1" applyProtection="1">
      <alignment horizontal="left" vertical="center" wrapText="1"/>
      <protection locked="0"/>
    </xf>
    <xf numFmtId="0" fontId="106" fillId="0" borderId="138" xfId="210" applyFont="1" applyBorder="1" applyAlignment="1" applyProtection="1">
      <alignment horizontal="left" vertical="center" wrapText="1"/>
      <protection locked="0"/>
    </xf>
    <xf numFmtId="0" fontId="18" fillId="0" borderId="145" xfId="210" applyFont="1" applyFill="1" applyBorder="1" applyAlignment="1" applyProtection="1">
      <alignment vertical="center" wrapText="1"/>
      <protection locked="0"/>
    </xf>
    <xf numFmtId="0" fontId="18" fillId="0" borderId="94" xfId="210" applyFont="1" applyFill="1" applyBorder="1" applyAlignment="1" applyProtection="1">
      <alignment vertical="center" wrapText="1"/>
      <protection locked="0"/>
    </xf>
    <xf numFmtId="0" fontId="106" fillId="0" borderId="124" xfId="210" applyFont="1" applyBorder="1" applyAlignment="1" applyProtection="1">
      <alignment horizontal="left" vertical="center" wrapText="1"/>
      <protection locked="0"/>
    </xf>
    <xf numFmtId="0" fontId="106" fillId="0" borderId="143" xfId="210" applyFont="1" applyBorder="1" applyAlignment="1" applyProtection="1">
      <alignment horizontal="left" vertical="center" wrapText="1"/>
      <protection locked="0"/>
    </xf>
    <xf numFmtId="0" fontId="18" fillId="0" borderId="94" xfId="210" applyFont="1" applyBorder="1" applyAlignment="1" applyProtection="1">
      <alignment vertical="center" wrapText="1"/>
      <protection locked="0"/>
    </xf>
    <xf numFmtId="0" fontId="106" fillId="0" borderId="27" xfId="210" applyFont="1" applyBorder="1" applyAlignment="1" applyProtection="1">
      <alignment horizontal="left" vertical="center" wrapText="1"/>
      <protection locked="0"/>
    </xf>
    <xf numFmtId="0" fontId="106" fillId="0" borderId="61" xfId="210" applyFont="1" applyBorder="1" applyAlignment="1" applyProtection="1">
      <alignment horizontal="left" vertical="center" wrapText="1"/>
      <protection locked="0"/>
    </xf>
    <xf numFmtId="0" fontId="106" fillId="0" borderId="43" xfId="210" applyFont="1" applyBorder="1" applyAlignment="1" applyProtection="1">
      <alignment horizontal="left" vertical="center" wrapText="1"/>
      <protection locked="0"/>
    </xf>
    <xf numFmtId="0" fontId="106" fillId="0" borderId="72" xfId="210" applyFont="1" applyBorder="1" applyAlignment="1" applyProtection="1">
      <alignment horizontal="left" vertical="center" wrapText="1"/>
      <protection locked="0"/>
    </xf>
    <xf numFmtId="0" fontId="101" fillId="0" borderId="0" xfId="235" applyFont="1" applyBorder="1" applyAlignment="1">
      <alignment horizontal="center"/>
    </xf>
    <xf numFmtId="0" fontId="101" fillId="0" borderId="41" xfId="235" applyFont="1" applyBorder="1" applyAlignment="1">
      <alignment horizontal="center"/>
    </xf>
    <xf numFmtId="0" fontId="101" fillId="0" borderId="6" xfId="235" applyFont="1" applyBorder="1" applyAlignment="1">
      <alignment horizontal="center"/>
    </xf>
    <xf numFmtId="0" fontId="101" fillId="0" borderId="39" xfId="235" applyFont="1" applyBorder="1" applyAlignment="1">
      <alignment horizontal="center"/>
    </xf>
    <xf numFmtId="0" fontId="101" fillId="0" borderId="29" xfId="235" applyFont="1" applyBorder="1" applyAlignment="1">
      <alignment horizontal="center" vertical="center"/>
    </xf>
    <xf numFmtId="0" fontId="101" fillId="0" borderId="37" xfId="235" applyFont="1" applyBorder="1" applyAlignment="1">
      <alignment horizontal="center" vertical="center"/>
    </xf>
    <xf numFmtId="0" fontId="93" fillId="45" borderId="0" xfId="0" applyFont="1" applyFill="1" applyBorder="1" applyAlignment="1">
      <alignment horizontal="center" vertical="center"/>
    </xf>
    <xf numFmtId="0" fontId="93" fillId="45" borderId="28" xfId="0" applyFont="1" applyFill="1" applyBorder="1" applyAlignment="1">
      <alignment horizontal="center" vertical="center"/>
    </xf>
    <xf numFmtId="0" fontId="0" fillId="54" borderId="49" xfId="0" applyFill="1" applyBorder="1" applyAlignment="1">
      <alignment horizontal="center"/>
    </xf>
    <xf numFmtId="0" fontId="0" fillId="54" borderId="28" xfId="0" applyFill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27" fillId="0" borderId="51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30" fillId="0" borderId="41" xfId="0" applyFont="1" applyBorder="1" applyAlignment="1">
      <alignment horizontal="center" wrapText="1"/>
    </xf>
    <xf numFmtId="0" fontId="30" fillId="0" borderId="6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7" fillId="0" borderId="65" xfId="0" applyFont="1" applyBorder="1" applyAlignment="1">
      <alignment horizontal="center"/>
    </xf>
    <xf numFmtId="0" fontId="27" fillId="0" borderId="72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107" fillId="31" borderId="128" xfId="0" applyFont="1" applyFill="1" applyBorder="1" applyAlignment="1">
      <alignment horizontal="center" vertical="center"/>
    </xf>
    <xf numFmtId="0" fontId="107" fillId="31" borderId="129" xfId="0" applyFont="1" applyFill="1" applyBorder="1" applyAlignment="1">
      <alignment horizontal="center" vertical="center"/>
    </xf>
    <xf numFmtId="0" fontId="24" fillId="28" borderId="128" xfId="0" applyFont="1" applyFill="1" applyBorder="1" applyAlignment="1">
      <alignment horizontal="center" vertical="center"/>
    </xf>
    <xf numFmtId="0" fontId="24" fillId="28" borderId="129" xfId="0" applyFont="1" applyFill="1" applyBorder="1" applyAlignment="1">
      <alignment horizontal="center" vertical="center"/>
    </xf>
    <xf numFmtId="2" fontId="24" fillId="28" borderId="128" xfId="0" applyNumberFormat="1" applyFont="1" applyFill="1" applyBorder="1" applyAlignment="1">
      <alignment horizontal="center"/>
    </xf>
    <xf numFmtId="2" fontId="24" fillId="28" borderId="129" xfId="0" applyNumberFormat="1" applyFont="1" applyFill="1" applyBorder="1" applyAlignment="1">
      <alignment horizontal="center"/>
    </xf>
    <xf numFmtId="172" fontId="86" fillId="28" borderId="125" xfId="0" applyNumberFormat="1" applyFont="1" applyFill="1" applyBorder="1" applyAlignment="1">
      <alignment horizontal="center" vertical="center"/>
    </xf>
    <xf numFmtId="172" fontId="86" fillId="28" borderId="73" xfId="0" applyNumberFormat="1" applyFont="1" applyFill="1" applyBorder="1" applyAlignment="1">
      <alignment horizontal="center" vertical="center"/>
    </xf>
    <xf numFmtId="0" fontId="30" fillId="0" borderId="90" xfId="0" applyFont="1" applyBorder="1" applyAlignment="1">
      <alignment horizontal="center"/>
    </xf>
    <xf numFmtId="0" fontId="30" fillId="0" borderId="103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131" xfId="0" applyFont="1" applyBorder="1" applyAlignment="1">
      <alignment horizontal="center"/>
    </xf>
    <xf numFmtId="0" fontId="30" fillId="0" borderId="129" xfId="0" applyFont="1" applyBorder="1" applyAlignment="1">
      <alignment horizontal="center"/>
    </xf>
    <xf numFmtId="2" fontId="0" fillId="0" borderId="116" xfId="0" applyNumberFormat="1" applyBorder="1" applyAlignment="1">
      <alignment horizontal="center"/>
    </xf>
    <xf numFmtId="2" fontId="0" fillId="0" borderId="129" xfId="0" applyNumberFormat="1" applyBorder="1" applyAlignment="1">
      <alignment horizontal="center"/>
    </xf>
    <xf numFmtId="2" fontId="30" fillId="0" borderId="41" xfId="0" applyNumberFormat="1" applyFont="1" applyBorder="1" applyAlignment="1"/>
    <xf numFmtId="2" fontId="30" fillId="0" borderId="39" xfId="0" applyNumberFormat="1" applyFont="1" applyBorder="1" applyAlignment="1"/>
    <xf numFmtId="0" fontId="0" fillId="28" borderId="41" xfId="0" applyFill="1" applyBorder="1" applyAlignment="1"/>
    <xf numFmtId="0" fontId="0" fillId="28" borderId="6" xfId="0" applyFill="1" applyBorder="1" applyAlignment="1"/>
    <xf numFmtId="0" fontId="0" fillId="28" borderId="39" xfId="0" applyFill="1" applyBorder="1" applyAlignment="1"/>
    <xf numFmtId="0" fontId="86" fillId="0" borderId="128" xfId="0" applyFont="1" applyBorder="1" applyAlignment="1">
      <alignment horizontal="center"/>
    </xf>
    <xf numFmtId="0" fontId="86" fillId="0" borderId="129" xfId="0" applyFont="1" applyBorder="1" applyAlignment="1">
      <alignment horizontal="center"/>
    </xf>
    <xf numFmtId="207" fontId="24" fillId="28" borderId="128" xfId="0" applyNumberFormat="1" applyFont="1" applyFill="1" applyBorder="1" applyAlignment="1">
      <alignment horizontal="center"/>
    </xf>
    <xf numFmtId="207" fontId="24" fillId="28" borderId="129" xfId="0" applyNumberFormat="1" applyFont="1" applyFill="1" applyBorder="1" applyAlignment="1">
      <alignment horizontal="center"/>
    </xf>
    <xf numFmtId="0" fontId="96" fillId="45" borderId="29" xfId="0" applyFont="1" applyFill="1" applyBorder="1" applyAlignment="1">
      <alignment horizontal="center"/>
    </xf>
    <xf numFmtId="0" fontId="96" fillId="45" borderId="25" xfId="0" applyFont="1" applyFill="1" applyBorder="1" applyAlignment="1">
      <alignment horizontal="center"/>
    </xf>
    <xf numFmtId="0" fontId="96" fillId="45" borderId="37" xfId="0" applyFont="1" applyFill="1" applyBorder="1" applyAlignment="1">
      <alignment horizontal="center"/>
    </xf>
    <xf numFmtId="0" fontId="30" fillId="0" borderId="80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172" fontId="24" fillId="0" borderId="128" xfId="0" applyNumberFormat="1" applyFont="1" applyBorder="1" applyAlignment="1">
      <alignment horizontal="center" vertical="center"/>
    </xf>
    <xf numFmtId="172" fontId="24" fillId="0" borderId="129" xfId="0" applyNumberFormat="1" applyFont="1" applyBorder="1" applyAlignment="1">
      <alignment horizontal="center" vertical="center"/>
    </xf>
    <xf numFmtId="172" fontId="24" fillId="44" borderId="128" xfId="0" applyNumberFormat="1" applyFont="1" applyFill="1" applyBorder="1" applyAlignment="1">
      <alignment horizontal="center"/>
    </xf>
    <xf numFmtId="172" fontId="24" fillId="44" borderId="129" xfId="0" applyNumberFormat="1" applyFont="1" applyFill="1" applyBorder="1" applyAlignment="1">
      <alignment horizontal="center"/>
    </xf>
    <xf numFmtId="172" fontId="24" fillId="0" borderId="128" xfId="0" applyNumberFormat="1" applyFont="1" applyBorder="1" applyAlignment="1">
      <alignment horizontal="center"/>
    </xf>
    <xf numFmtId="172" fontId="24" fillId="0" borderId="129" xfId="0" applyNumberFormat="1" applyFont="1" applyBorder="1" applyAlignment="1">
      <alignment horizontal="center"/>
    </xf>
    <xf numFmtId="0" fontId="95" fillId="45" borderId="59" xfId="0" applyFont="1" applyFill="1" applyBorder="1" applyAlignment="1">
      <alignment horizontal="center"/>
    </xf>
    <xf numFmtId="0" fontId="95" fillId="45" borderId="45" xfId="0" applyFont="1" applyFill="1" applyBorder="1" applyAlignment="1">
      <alignment horizontal="center"/>
    </xf>
    <xf numFmtId="0" fontId="95" fillId="45" borderId="49" xfId="0" applyFont="1" applyFill="1" applyBorder="1" applyAlignment="1">
      <alignment horizontal="center"/>
    </xf>
    <xf numFmtId="2" fontId="24" fillId="31" borderId="128" xfId="0" applyNumberFormat="1" applyFont="1" applyFill="1" applyBorder="1" applyAlignment="1" applyProtection="1">
      <alignment horizontal="center" vertical="center"/>
      <protection hidden="1"/>
    </xf>
    <xf numFmtId="2" fontId="24" fillId="31" borderId="129" xfId="0" applyNumberFormat="1" applyFont="1" applyFill="1" applyBorder="1" applyAlignment="1" applyProtection="1">
      <alignment horizontal="center" vertical="center"/>
      <protection hidden="1"/>
    </xf>
    <xf numFmtId="2" fontId="24" fillId="28" borderId="128" xfId="0" applyNumberFormat="1" applyFont="1" applyFill="1" applyBorder="1" applyAlignment="1">
      <alignment horizontal="center" vertical="center"/>
    </xf>
    <xf numFmtId="0" fontId="86" fillId="0" borderId="97" xfId="0" applyFont="1" applyBorder="1" applyAlignment="1">
      <alignment horizontal="center"/>
    </xf>
    <xf numFmtId="0" fontId="86" fillId="0" borderId="98" xfId="0" applyFont="1" applyBorder="1" applyAlignment="1">
      <alignment horizontal="center"/>
    </xf>
    <xf numFmtId="0" fontId="30" fillId="0" borderId="26" xfId="0" applyFont="1" applyBorder="1" applyAlignment="1">
      <alignment horizontal="center" vertical="center"/>
    </xf>
    <xf numFmtId="0" fontId="30" fillId="0" borderId="114" xfId="0" applyFont="1" applyBorder="1" applyAlignment="1">
      <alignment horizontal="center" vertical="center"/>
    </xf>
    <xf numFmtId="0" fontId="30" fillId="0" borderId="122" xfId="0" applyFont="1" applyBorder="1" applyAlignment="1">
      <alignment horizontal="center"/>
    </xf>
    <xf numFmtId="0" fontId="18" fillId="54" borderId="38" xfId="0" applyFont="1" applyFill="1" applyBorder="1" applyAlignment="1">
      <alignment horizontal="center"/>
    </xf>
    <xf numFmtId="0" fontId="18" fillId="54" borderId="121" xfId="0" applyFont="1" applyFill="1" applyBorder="1" applyAlignment="1">
      <alignment horizontal="center"/>
    </xf>
    <xf numFmtId="0" fontId="18" fillId="54" borderId="42" xfId="0" applyFont="1" applyFill="1" applyBorder="1" applyAlignment="1">
      <alignment horizontal="center"/>
    </xf>
    <xf numFmtId="0" fontId="0" fillId="54" borderId="38" xfId="0" applyFill="1" applyBorder="1" applyAlignment="1">
      <alignment horizontal="center"/>
    </xf>
    <xf numFmtId="0" fontId="0" fillId="54" borderId="121" xfId="0" applyFill="1" applyBorder="1" applyAlignment="1">
      <alignment horizontal="center"/>
    </xf>
    <xf numFmtId="0" fontId="0" fillId="54" borderId="42" xfId="0" applyFill="1" applyBorder="1" applyAlignment="1">
      <alignment horizontal="center"/>
    </xf>
    <xf numFmtId="0" fontId="24" fillId="0" borderId="97" xfId="0" applyFont="1" applyBorder="1" applyAlignment="1">
      <alignment horizontal="center" vertical="center"/>
    </xf>
    <xf numFmtId="0" fontId="24" fillId="0" borderId="98" xfId="0" applyFont="1" applyBorder="1" applyAlignment="1">
      <alignment horizontal="center" vertical="center"/>
    </xf>
    <xf numFmtId="172" fontId="24" fillId="0" borderId="97" xfId="0" applyNumberFormat="1" applyFont="1" applyBorder="1" applyAlignment="1">
      <alignment horizontal="center"/>
    </xf>
    <xf numFmtId="172" fontId="24" fillId="0" borderId="98" xfId="0" applyNumberFormat="1" applyFont="1" applyBorder="1" applyAlignment="1">
      <alignment horizontal="center"/>
    </xf>
    <xf numFmtId="172" fontId="24" fillId="44" borderId="97" xfId="0" applyNumberFormat="1" applyFont="1" applyFill="1" applyBorder="1" applyAlignment="1">
      <alignment horizontal="center"/>
    </xf>
    <xf numFmtId="172" fontId="24" fillId="44" borderId="98" xfId="0" applyNumberFormat="1" applyFont="1" applyFill="1" applyBorder="1" applyAlignment="1">
      <alignment horizontal="center"/>
    </xf>
    <xf numFmtId="2" fontId="0" fillId="0" borderId="98" xfId="0" applyNumberFormat="1" applyBorder="1" applyAlignment="1">
      <alignment horizontal="center"/>
    </xf>
    <xf numFmtId="0" fontId="0" fillId="0" borderId="41" xfId="0" applyBorder="1" applyAlignment="1"/>
    <xf numFmtId="0" fontId="0" fillId="0" borderId="6" xfId="0" applyBorder="1" applyAlignment="1"/>
    <xf numFmtId="0" fontId="0" fillId="0" borderId="39" xfId="0" applyBorder="1" applyAlignment="1"/>
    <xf numFmtId="2" fontId="24" fillId="31" borderId="97" xfId="0" applyNumberFormat="1" applyFont="1" applyFill="1" applyBorder="1" applyAlignment="1" applyProtection="1">
      <alignment horizontal="center"/>
      <protection hidden="1"/>
    </xf>
    <xf numFmtId="2" fontId="24" fillId="31" borderId="98" xfId="0" applyNumberFormat="1" applyFont="1" applyFill="1" applyBorder="1" applyAlignment="1" applyProtection="1">
      <alignment horizontal="center"/>
      <protection hidden="1"/>
    </xf>
    <xf numFmtId="2" fontId="24" fillId="31" borderId="97" xfId="0" applyNumberFormat="1" applyFont="1" applyFill="1" applyBorder="1" applyAlignment="1">
      <alignment horizontal="center"/>
    </xf>
    <xf numFmtId="2" fontId="24" fillId="31" borderId="98" xfId="0" applyNumberFormat="1" applyFont="1" applyFill="1" applyBorder="1" applyAlignment="1">
      <alignment horizontal="center"/>
    </xf>
    <xf numFmtId="2" fontId="24" fillId="0" borderId="97" xfId="0" applyNumberFormat="1" applyFont="1" applyBorder="1" applyAlignment="1">
      <alignment horizontal="center"/>
    </xf>
    <xf numFmtId="2" fontId="24" fillId="0" borderId="98" xfId="0" applyNumberFormat="1" applyFont="1" applyBorder="1" applyAlignment="1">
      <alignment horizontal="center"/>
    </xf>
    <xf numFmtId="0" fontId="24" fillId="0" borderId="97" xfId="0" applyFont="1" applyBorder="1" applyAlignment="1">
      <alignment horizontal="center"/>
    </xf>
    <xf numFmtId="0" fontId="24" fillId="0" borderId="98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27" fillId="0" borderId="109" xfId="0" applyFont="1" applyBorder="1" applyAlignment="1">
      <alignment horizontal="center"/>
    </xf>
    <xf numFmtId="2" fontId="24" fillId="28" borderId="97" xfId="0" applyNumberFormat="1" applyFont="1" applyFill="1" applyBorder="1" applyAlignment="1">
      <alignment horizontal="center"/>
    </xf>
    <xf numFmtId="2" fontId="24" fillId="28" borderId="98" xfId="0" applyNumberFormat="1" applyFont="1" applyFill="1" applyBorder="1" applyAlignment="1">
      <alignment horizontal="center"/>
    </xf>
    <xf numFmtId="172" fontId="24" fillId="32" borderId="97" xfId="0" applyNumberFormat="1" applyFont="1" applyFill="1" applyBorder="1" applyAlignment="1">
      <alignment horizontal="center"/>
    </xf>
    <xf numFmtId="172" fontId="24" fillId="32" borderId="98" xfId="0" applyNumberFormat="1" applyFont="1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66" xfId="0" applyNumberForma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86" fillId="0" borderId="188" xfId="0" applyFont="1" applyBorder="1" applyAlignment="1">
      <alignment horizontal="center"/>
    </xf>
    <xf numFmtId="0" fontId="86" fillId="0" borderId="191" xfId="0" applyFont="1" applyBorder="1" applyAlignment="1">
      <alignment horizontal="center"/>
    </xf>
    <xf numFmtId="0" fontId="30" fillId="0" borderId="80" xfId="0" applyFont="1" applyBorder="1" applyAlignment="1">
      <alignment horizontal="center" vertic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2" fontId="0" fillId="0" borderId="97" xfId="0" applyNumberFormat="1" applyBorder="1" applyAlignment="1">
      <alignment horizontal="center"/>
    </xf>
    <xf numFmtId="0" fontId="0" fillId="54" borderId="0" xfId="0" applyFill="1" applyAlignment="1">
      <alignment horizontal="center"/>
    </xf>
    <xf numFmtId="0" fontId="0" fillId="54" borderId="0" xfId="0" applyFill="1" applyBorder="1" applyAlignment="1">
      <alignment horizontal="center"/>
    </xf>
    <xf numFmtId="172" fontId="0" fillId="0" borderId="97" xfId="0" applyNumberFormat="1" applyBorder="1" applyAlignment="1">
      <alignment horizontal="center"/>
    </xf>
    <xf numFmtId="172" fontId="0" fillId="0" borderId="98" xfId="0" applyNumberFormat="1" applyBorder="1" applyAlignment="1">
      <alignment horizontal="center"/>
    </xf>
    <xf numFmtId="0" fontId="0" fillId="31" borderId="97" xfId="0" applyFill="1" applyBorder="1" applyAlignment="1">
      <alignment horizontal="center"/>
    </xf>
    <xf numFmtId="0" fontId="0" fillId="31" borderId="98" xfId="0" applyFill="1" applyBorder="1" applyAlignment="1">
      <alignment horizontal="center"/>
    </xf>
    <xf numFmtId="0" fontId="92" fillId="0" borderId="59" xfId="0" applyFont="1" applyBorder="1" applyAlignment="1">
      <alignment horizontal="center"/>
    </xf>
    <xf numFmtId="0" fontId="92" fillId="0" borderId="45" xfId="0" applyFont="1" applyBorder="1" applyAlignment="1">
      <alignment horizontal="center"/>
    </xf>
    <xf numFmtId="0" fontId="92" fillId="0" borderId="49" xfId="0" applyFont="1" applyBorder="1" applyAlignment="1">
      <alignment horizontal="center"/>
    </xf>
    <xf numFmtId="0" fontId="0" fillId="0" borderId="188" xfId="0" applyBorder="1" applyAlignment="1">
      <alignment horizontal="center"/>
    </xf>
    <xf numFmtId="0" fontId="0" fillId="0" borderId="197" xfId="0" applyBorder="1" applyAlignment="1">
      <alignment horizontal="center"/>
    </xf>
    <xf numFmtId="0" fontId="24" fillId="32" borderId="97" xfId="0" applyFont="1" applyFill="1" applyBorder="1" applyAlignment="1">
      <alignment horizontal="center" vertical="center"/>
    </xf>
    <xf numFmtId="0" fontId="24" fillId="32" borderId="98" xfId="0" applyFont="1" applyFill="1" applyBorder="1" applyAlignment="1">
      <alignment horizontal="center" vertical="center"/>
    </xf>
    <xf numFmtId="2" fontId="0" fillId="32" borderId="188" xfId="0" applyNumberFormat="1" applyFill="1" applyBorder="1" applyAlignment="1">
      <alignment horizontal="center"/>
    </xf>
    <xf numFmtId="2" fontId="0" fillId="32" borderId="197" xfId="0" applyNumberForma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95" fillId="26" borderId="0" xfId="0" applyFont="1" applyFill="1" applyBorder="1" applyAlignment="1">
      <alignment horizontal="center"/>
    </xf>
    <xf numFmtId="0" fontId="95" fillId="26" borderId="28" xfId="0" applyFont="1" applyFill="1" applyBorder="1" applyAlignment="1">
      <alignment horizontal="center"/>
    </xf>
    <xf numFmtId="2" fontId="30" fillId="26" borderId="0" xfId="0" applyNumberFormat="1" applyFont="1" applyFill="1" applyBorder="1" applyAlignment="1"/>
    <xf numFmtId="0" fontId="0" fillId="26" borderId="0" xfId="0" applyFill="1" applyBorder="1" applyAlignment="1"/>
    <xf numFmtId="0" fontId="0" fillId="26" borderId="28" xfId="0" applyFill="1" applyBorder="1" applyAlignment="1"/>
    <xf numFmtId="0" fontId="27" fillId="0" borderId="3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2" fontId="0" fillId="0" borderId="164" xfId="0" applyNumberFormat="1" applyBorder="1" applyAlignment="1">
      <alignment horizontal="center"/>
    </xf>
    <xf numFmtId="2" fontId="0" fillId="0" borderId="165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172" fontId="0" fillId="32" borderId="80" xfId="0" applyNumberFormat="1" applyFill="1" applyBorder="1" applyAlignment="1">
      <alignment horizontal="center"/>
    </xf>
    <xf numFmtId="172" fontId="0" fillId="32" borderId="16" xfId="0" applyNumberFormat="1" applyFill="1" applyBorder="1" applyAlignment="1">
      <alignment horizontal="center"/>
    </xf>
    <xf numFmtId="0" fontId="0" fillId="31" borderId="188" xfId="0" applyFill="1" applyBorder="1" applyAlignment="1">
      <alignment horizontal="center" vertical="center"/>
    </xf>
    <xf numFmtId="0" fontId="0" fillId="31" borderId="197" xfId="0" applyFill="1" applyBorder="1" applyAlignment="1">
      <alignment horizontal="center" vertical="center"/>
    </xf>
    <xf numFmtId="172" fontId="0" fillId="32" borderId="188" xfId="0" applyNumberFormat="1" applyFill="1" applyBorder="1" applyAlignment="1">
      <alignment horizontal="center"/>
    </xf>
    <xf numFmtId="172" fontId="0" fillId="32" borderId="197" xfId="0" applyNumberFormat="1" applyFill="1" applyBorder="1" applyAlignment="1">
      <alignment horizontal="center"/>
    </xf>
    <xf numFmtId="0" fontId="0" fillId="31" borderId="188" xfId="0" applyFill="1" applyBorder="1" applyAlignment="1">
      <alignment horizontal="center"/>
    </xf>
    <xf numFmtId="0" fontId="0" fillId="31" borderId="197" xfId="0" applyFill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3" fillId="0" borderId="81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33" fillId="0" borderId="186" xfId="0" applyFont="1" applyBorder="1" applyAlignment="1">
      <alignment horizontal="center"/>
    </xf>
    <xf numFmtId="177" fontId="86" fillId="0" borderId="188" xfId="0" applyNumberFormat="1" applyFont="1" applyFill="1" applyBorder="1" applyAlignment="1">
      <alignment horizontal="center" vertical="center"/>
    </xf>
    <xf numFmtId="177" fontId="86" fillId="0" borderId="192" xfId="0" applyNumberFormat="1" applyFont="1" applyFill="1" applyBorder="1" applyAlignment="1">
      <alignment horizontal="center" vertical="center"/>
    </xf>
    <xf numFmtId="0" fontId="24" fillId="0" borderId="186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72" fontId="24" fillId="0" borderId="186" xfId="0" applyNumberFormat="1" applyFont="1" applyBorder="1" applyAlignment="1">
      <alignment horizontal="center"/>
    </xf>
    <xf numFmtId="172" fontId="24" fillId="0" borderId="0" xfId="0" applyNumberFormat="1" applyFont="1" applyFill="1" applyBorder="1" applyAlignment="1">
      <alignment horizontal="center"/>
    </xf>
    <xf numFmtId="172" fontId="24" fillId="51" borderId="186" xfId="0" applyNumberFormat="1" applyFont="1" applyFill="1" applyBorder="1" applyAlignment="1">
      <alignment horizontal="center"/>
    </xf>
    <xf numFmtId="172" fontId="24" fillId="51" borderId="188" xfId="0" applyNumberFormat="1" applyFont="1" applyFill="1" applyBorder="1" applyAlignment="1">
      <alignment horizontal="center"/>
    </xf>
    <xf numFmtId="172" fontId="24" fillId="51" borderId="191" xfId="0" applyNumberFormat="1" applyFont="1" applyFill="1" applyBorder="1" applyAlignment="1">
      <alignment horizontal="center"/>
    </xf>
    <xf numFmtId="0" fontId="95" fillId="0" borderId="0" xfId="0" applyFont="1" applyFill="1" applyBorder="1" applyAlignment="1">
      <alignment horizontal="center"/>
    </xf>
    <xf numFmtId="2" fontId="24" fillId="51" borderId="186" xfId="0" applyNumberFormat="1" applyFont="1" applyFill="1" applyBorder="1" applyAlignment="1" applyProtection="1">
      <alignment horizontal="center" vertical="center"/>
      <protection hidden="1"/>
    </xf>
    <xf numFmtId="2" fontId="24" fillId="0" borderId="0" xfId="0" applyNumberFormat="1" applyFont="1" applyFill="1" applyBorder="1" applyAlignment="1" applyProtection="1">
      <alignment horizontal="center"/>
      <protection hidden="1"/>
    </xf>
    <xf numFmtId="2" fontId="24" fillId="51" borderId="186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/>
    </xf>
    <xf numFmtId="2" fontId="24" fillId="0" borderId="186" xfId="0" applyNumberFormat="1" applyFont="1" applyBorder="1" applyAlignment="1">
      <alignment horizontal="center"/>
    </xf>
    <xf numFmtId="0" fontId="24" fillId="0" borderId="186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84" fillId="0" borderId="27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0" fillId="0" borderId="0" xfId="0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84" fillId="0" borderId="0" xfId="0" applyFont="1" applyFill="1" applyBorder="1" applyAlignment="1">
      <alignment horizontal="center"/>
    </xf>
    <xf numFmtId="0" fontId="96" fillId="0" borderId="0" xfId="0" applyFont="1" applyFill="1" applyBorder="1" applyAlignment="1">
      <alignment horizontal="center"/>
    </xf>
    <xf numFmtId="0" fontId="30" fillId="0" borderId="34" xfId="0" applyFont="1" applyBorder="1" applyAlignment="1">
      <alignment horizontal="center" vertical="center"/>
    </xf>
    <xf numFmtId="0" fontId="86" fillId="0" borderId="94" xfId="0" applyFont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horizontal="center"/>
    </xf>
    <xf numFmtId="0" fontId="27" fillId="0" borderId="59" xfId="0" applyFont="1" applyFill="1" applyBorder="1" applyAlignment="1">
      <alignment horizontal="center" wrapText="1"/>
    </xf>
    <xf numFmtId="0" fontId="27" fillId="0" borderId="45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77" fontId="98" fillId="26" borderId="59" xfId="0" applyNumberFormat="1" applyFont="1" applyFill="1" applyBorder="1" applyAlignment="1" applyProtection="1">
      <alignment horizontal="center" vertical="center"/>
      <protection locked="0"/>
    </xf>
    <xf numFmtId="177" fontId="98" fillId="26" borderId="45" xfId="0" applyNumberFormat="1" applyFont="1" applyFill="1" applyBorder="1" applyAlignment="1" applyProtection="1">
      <alignment horizontal="center" vertical="center"/>
      <protection locked="0"/>
    </xf>
    <xf numFmtId="177" fontId="98" fillId="26" borderId="49" xfId="0" applyNumberFormat="1" applyFont="1" applyFill="1" applyBorder="1" applyAlignment="1" applyProtection="1">
      <alignment horizontal="center" vertical="center"/>
      <protection locked="0"/>
    </xf>
    <xf numFmtId="177" fontId="98" fillId="26" borderId="27" xfId="0" applyNumberFormat="1" applyFont="1" applyFill="1" applyBorder="1" applyAlignment="1" applyProtection="1">
      <alignment horizontal="center" vertical="center"/>
      <protection locked="0"/>
    </xf>
    <xf numFmtId="177" fontId="98" fillId="26" borderId="0" xfId="0" applyNumberFormat="1" applyFont="1" applyFill="1" applyBorder="1" applyAlignment="1" applyProtection="1">
      <alignment horizontal="center" vertical="center"/>
      <protection locked="0"/>
    </xf>
    <xf numFmtId="177" fontId="98" fillId="26" borderId="28" xfId="0" applyNumberFormat="1" applyFont="1" applyFill="1" applyBorder="1" applyAlignment="1" applyProtection="1">
      <alignment horizontal="center" vertical="center"/>
      <protection locked="0"/>
    </xf>
    <xf numFmtId="177" fontId="98" fillId="26" borderId="43" xfId="0" applyNumberFormat="1" applyFont="1" applyFill="1" applyBorder="1" applyAlignment="1" applyProtection="1">
      <alignment horizontal="center" vertical="center"/>
      <protection locked="0"/>
    </xf>
    <xf numFmtId="177" fontId="98" fillId="26" borderId="13" xfId="0" applyNumberFormat="1" applyFont="1" applyFill="1" applyBorder="1" applyAlignment="1" applyProtection="1">
      <alignment horizontal="center" vertical="center"/>
      <protection locked="0"/>
    </xf>
    <xf numFmtId="177" fontId="98" fillId="26" borderId="24" xfId="0" applyNumberFormat="1" applyFont="1" applyFill="1" applyBorder="1" applyAlignment="1" applyProtection="1">
      <alignment horizontal="center" vertical="center"/>
      <protection locked="0"/>
    </xf>
    <xf numFmtId="177" fontId="119" fillId="40" borderId="130" xfId="0" applyNumberFormat="1" applyFont="1" applyFill="1" applyBorder="1" applyAlignment="1" applyProtection="1">
      <alignment horizontal="center" vertical="center"/>
    </xf>
    <xf numFmtId="177" fontId="82" fillId="26" borderId="79" xfId="0" applyNumberFormat="1" applyFont="1" applyFill="1" applyBorder="1" applyAlignment="1" applyProtection="1">
      <alignment horizontal="center" vertical="center"/>
    </xf>
    <xf numFmtId="177" fontId="82" fillId="26" borderId="79" xfId="0" applyNumberFormat="1" applyFont="1" applyFill="1" applyBorder="1" applyAlignment="1" applyProtection="1">
      <alignment horizontal="center" vertical="center" wrapText="1"/>
    </xf>
    <xf numFmtId="177" fontId="82" fillId="26" borderId="22" xfId="0" applyNumberFormat="1" applyFont="1" applyFill="1" applyBorder="1" applyAlignment="1" applyProtection="1">
      <alignment horizontal="center" vertical="center" wrapText="1"/>
    </xf>
    <xf numFmtId="177" fontId="82" fillId="26" borderId="38" xfId="0" applyNumberFormat="1" applyFont="1" applyFill="1" applyBorder="1" applyAlignment="1" applyProtection="1">
      <alignment horizontal="center" vertical="center" wrapText="1"/>
    </xf>
    <xf numFmtId="177" fontId="82" fillId="26" borderId="42" xfId="0" applyNumberFormat="1" applyFont="1" applyFill="1" applyBorder="1" applyAlignment="1" applyProtection="1">
      <alignment horizontal="center" vertical="center" wrapText="1"/>
    </xf>
    <xf numFmtId="177" fontId="82" fillId="26" borderId="50" xfId="0" applyNumberFormat="1" applyFont="1" applyFill="1" applyBorder="1" applyAlignment="1" applyProtection="1">
      <alignment horizontal="center" vertical="center" wrapText="1"/>
    </xf>
    <xf numFmtId="177" fontId="82" fillId="26" borderId="179" xfId="0" applyNumberFormat="1" applyFont="1" applyFill="1" applyBorder="1" applyAlignment="1" applyProtection="1">
      <alignment horizontal="center" vertical="center" wrapText="1"/>
    </xf>
    <xf numFmtId="2" fontId="48" fillId="17" borderId="177" xfId="166" applyNumberFormat="1" applyBorder="1" applyAlignment="1" applyProtection="1">
      <alignment horizontal="center" vertical="center"/>
    </xf>
    <xf numFmtId="2" fontId="48" fillId="17" borderId="178" xfId="166" applyNumberFormat="1" applyBorder="1" applyAlignment="1" applyProtection="1">
      <alignment horizontal="center" vertical="center"/>
    </xf>
    <xf numFmtId="2" fontId="48" fillId="17" borderId="181" xfId="166" applyNumberFormat="1" applyBorder="1" applyAlignment="1" applyProtection="1">
      <alignment horizontal="center" vertical="center"/>
    </xf>
    <xf numFmtId="2" fontId="48" fillId="17" borderId="182" xfId="166" applyNumberFormat="1" applyBorder="1" applyAlignment="1" applyProtection="1">
      <alignment horizontal="center" vertical="center"/>
    </xf>
    <xf numFmtId="177" fontId="109" fillId="43" borderId="41" xfId="0" applyNumberFormat="1" applyFont="1" applyFill="1" applyBorder="1" applyAlignment="1" applyProtection="1">
      <alignment horizontal="center" vertical="center"/>
    </xf>
    <xf numFmtId="177" fontId="109" fillId="43" borderId="6" xfId="0" applyNumberFormat="1" applyFont="1" applyFill="1" applyBorder="1" applyAlignment="1" applyProtection="1">
      <alignment horizontal="center" vertical="center"/>
    </xf>
    <xf numFmtId="177" fontId="109" fillId="43" borderId="39" xfId="0" applyNumberFormat="1" applyFont="1" applyFill="1" applyBorder="1" applyAlignment="1" applyProtection="1">
      <alignment horizontal="center" vertical="center"/>
    </xf>
    <xf numFmtId="177" fontId="82" fillId="26" borderId="141" xfId="0" applyNumberFormat="1" applyFont="1" applyFill="1" applyBorder="1" applyAlignment="1" applyProtection="1">
      <alignment horizontal="center" vertical="center"/>
    </xf>
    <xf numFmtId="177" fontId="82" fillId="26" borderId="70" xfId="0" applyNumberFormat="1" applyFont="1" applyFill="1" applyBorder="1" applyAlignment="1" applyProtection="1">
      <alignment horizontal="center" vertical="center"/>
    </xf>
    <xf numFmtId="177" fontId="82" fillId="26" borderId="69" xfId="0" applyNumberFormat="1" applyFont="1" applyFill="1" applyBorder="1" applyAlignment="1" applyProtection="1">
      <alignment horizontal="center" vertical="center"/>
    </xf>
    <xf numFmtId="177" fontId="97" fillId="26" borderId="130" xfId="0" applyNumberFormat="1" applyFont="1" applyFill="1" applyBorder="1" applyAlignment="1" applyProtection="1">
      <alignment horizontal="center" vertical="center"/>
    </xf>
    <xf numFmtId="177" fontId="82" fillId="0" borderId="130" xfId="0" applyNumberFormat="1" applyFont="1" applyBorder="1" applyAlignment="1" applyProtection="1">
      <alignment horizontal="center" vertical="center" wrapText="1"/>
      <protection locked="0"/>
    </xf>
    <xf numFmtId="177" fontId="109" fillId="43" borderId="27" xfId="0" applyNumberFormat="1" applyFont="1" applyFill="1" applyBorder="1" applyAlignment="1" applyProtection="1">
      <alignment horizontal="center" vertical="center"/>
    </xf>
    <xf numFmtId="177" fontId="109" fillId="43" borderId="0" xfId="0" applyNumberFormat="1" applyFont="1" applyFill="1" applyBorder="1" applyAlignment="1" applyProtection="1">
      <alignment horizontal="center" vertical="center"/>
    </xf>
    <xf numFmtId="177" fontId="19" fillId="26" borderId="130" xfId="0" applyNumberFormat="1" applyFont="1" applyFill="1" applyBorder="1" applyAlignment="1" applyProtection="1">
      <alignment horizontal="center" vertical="center" wrapText="1"/>
    </xf>
    <xf numFmtId="177" fontId="82" fillId="26" borderId="130" xfId="0" applyNumberFormat="1" applyFont="1" applyFill="1" applyBorder="1" applyAlignment="1" applyProtection="1">
      <alignment horizontal="center" vertical="center" wrapText="1"/>
    </xf>
    <xf numFmtId="177" fontId="82" fillId="26" borderId="130" xfId="0" applyNumberFormat="1" applyFont="1" applyFill="1" applyBorder="1" applyAlignment="1" applyProtection="1">
      <alignment horizontal="center" vertical="center"/>
    </xf>
    <xf numFmtId="177" fontId="82" fillId="26" borderId="150" xfId="0" applyNumberFormat="1" applyFont="1" applyFill="1" applyBorder="1" applyAlignment="1" applyProtection="1">
      <alignment horizontal="center" vertical="center" wrapText="1"/>
    </xf>
    <xf numFmtId="177" fontId="82" fillId="26" borderId="180" xfId="0" applyNumberFormat="1" applyFont="1" applyFill="1" applyBorder="1" applyAlignment="1" applyProtection="1">
      <alignment horizontal="center" vertical="center" wrapText="1"/>
    </xf>
    <xf numFmtId="177" fontId="82" fillId="26" borderId="59" xfId="0" applyNumberFormat="1" applyFont="1" applyFill="1" applyBorder="1" applyAlignment="1" applyProtection="1">
      <alignment horizontal="center" vertical="center" wrapText="1"/>
    </xf>
    <xf numFmtId="177" fontId="82" fillId="26" borderId="43" xfId="0" applyNumberFormat="1" applyFont="1" applyFill="1" applyBorder="1" applyAlignment="1" applyProtection="1">
      <alignment horizontal="center" vertical="center" wrapText="1"/>
    </xf>
    <xf numFmtId="0" fontId="28" fillId="2" borderId="38" xfId="218" applyFill="1" applyBorder="1" applyAlignment="1">
      <alignment horizontal="center" vertical="center" textRotation="90" wrapText="1"/>
    </xf>
    <xf numFmtId="0" fontId="28" fillId="2" borderId="121" xfId="218" applyFill="1" applyBorder="1" applyAlignment="1">
      <alignment horizontal="center" vertical="center" textRotation="90" wrapText="1"/>
    </xf>
    <xf numFmtId="0" fontId="28" fillId="2" borderId="42" xfId="218" applyFill="1" applyBorder="1" applyAlignment="1">
      <alignment horizontal="center" vertical="center" textRotation="90" wrapText="1"/>
    </xf>
    <xf numFmtId="0" fontId="28" fillId="2" borderId="38" xfId="218" applyFont="1" applyFill="1" applyBorder="1" applyAlignment="1">
      <alignment horizontal="center" vertical="center" textRotation="90" wrapText="1"/>
    </xf>
    <xf numFmtId="0" fontId="28" fillId="2" borderId="121" xfId="218" applyFont="1" applyFill="1" applyBorder="1" applyAlignment="1">
      <alignment horizontal="center" vertical="center" textRotation="90" wrapText="1"/>
    </xf>
    <xf numFmtId="0" fontId="28" fillId="2" borderId="42" xfId="218" applyFont="1" applyFill="1" applyBorder="1" applyAlignment="1">
      <alignment horizontal="center" vertical="center" textRotation="90" wrapText="1"/>
    </xf>
    <xf numFmtId="0" fontId="28" fillId="2" borderId="38" xfId="218" applyFill="1" applyBorder="1" applyAlignment="1">
      <alignment horizontal="center" textRotation="90" wrapText="1"/>
    </xf>
    <xf numFmtId="0" fontId="28" fillId="2" borderId="121" xfId="218" applyFill="1" applyBorder="1" applyAlignment="1">
      <alignment horizontal="center" textRotation="90" wrapText="1"/>
    </xf>
    <xf numFmtId="0" fontId="28" fillId="2" borderId="42" xfId="218" applyFill="1" applyBorder="1" applyAlignment="1">
      <alignment horizontal="center" textRotation="90" wrapText="1"/>
    </xf>
    <xf numFmtId="0" fontId="28" fillId="26" borderId="0" xfId="218" applyFill="1" applyBorder="1" applyAlignment="1">
      <alignment horizontal="center"/>
    </xf>
    <xf numFmtId="0" fontId="28" fillId="56" borderId="38" xfId="218" applyFont="1" applyFill="1" applyBorder="1" applyAlignment="1">
      <alignment vertical="center" wrapText="1"/>
    </xf>
    <xf numFmtId="0" fontId="28" fillId="56" borderId="121" xfId="218" applyFont="1" applyFill="1" applyBorder="1" applyAlignment="1">
      <alignment vertical="center" wrapText="1"/>
    </xf>
    <xf numFmtId="0" fontId="28" fillId="56" borderId="42" xfId="218" applyFont="1" applyFill="1" applyBorder="1" applyAlignment="1">
      <alignment vertical="center" wrapText="1"/>
    </xf>
    <xf numFmtId="0" fontId="28" fillId="2" borderId="38" xfId="218" applyFill="1" applyBorder="1" applyAlignment="1">
      <alignment horizontal="center" vertical="center" wrapText="1"/>
    </xf>
    <xf numFmtId="0" fontId="28" fillId="2" borderId="121" xfId="218" applyFill="1" applyBorder="1" applyAlignment="1">
      <alignment horizontal="center" vertical="center" wrapText="1"/>
    </xf>
    <xf numFmtId="0" fontId="28" fillId="2" borderId="42" xfId="218" applyFill="1" applyBorder="1" applyAlignment="1">
      <alignment horizontal="center" vertical="center" wrapText="1"/>
    </xf>
    <xf numFmtId="0" fontId="128" fillId="2" borderId="59" xfId="218" applyFont="1" applyFill="1" applyBorder="1" applyAlignment="1">
      <alignment horizontal="center" vertical="center"/>
    </xf>
    <xf numFmtId="0" fontId="128" fillId="2" borderId="45" xfId="218" applyFont="1" applyFill="1" applyBorder="1" applyAlignment="1">
      <alignment horizontal="center" vertical="center"/>
    </xf>
    <xf numFmtId="0" fontId="128" fillId="2" borderId="49" xfId="218" applyFont="1" applyFill="1" applyBorder="1" applyAlignment="1">
      <alignment horizontal="center" vertical="center"/>
    </xf>
    <xf numFmtId="0" fontId="128" fillId="2" borderId="27" xfId="218" applyFont="1" applyFill="1" applyBorder="1" applyAlignment="1">
      <alignment horizontal="center" vertical="center"/>
    </xf>
    <xf numFmtId="0" fontId="128" fillId="2" borderId="0" xfId="218" applyFont="1" applyFill="1" applyBorder="1" applyAlignment="1">
      <alignment horizontal="center" vertical="center"/>
    </xf>
    <xf numFmtId="0" fontId="128" fillId="2" borderId="28" xfId="218" applyFont="1" applyFill="1" applyBorder="1" applyAlignment="1">
      <alignment horizontal="center" vertical="center"/>
    </xf>
    <xf numFmtId="0" fontId="128" fillId="2" borderId="43" xfId="218" applyFont="1" applyFill="1" applyBorder="1" applyAlignment="1">
      <alignment horizontal="center" vertical="center"/>
    </xf>
    <xf numFmtId="0" fontId="128" fillId="2" borderId="13" xfId="218" applyFont="1" applyFill="1" applyBorder="1" applyAlignment="1">
      <alignment horizontal="center" vertical="center"/>
    </xf>
    <xf numFmtId="0" fontId="128" fillId="2" borderId="24" xfId="218" applyFont="1" applyFill="1" applyBorder="1" applyAlignment="1">
      <alignment horizontal="center" vertical="center"/>
    </xf>
    <xf numFmtId="0" fontId="28" fillId="26" borderId="38" xfId="218" applyFill="1" applyBorder="1" applyAlignment="1">
      <alignment horizontal="center" vertical="center" textRotation="90"/>
    </xf>
    <xf numFmtId="0" fontId="28" fillId="26" borderId="121" xfId="218" applyFill="1" applyBorder="1" applyAlignment="1">
      <alignment horizontal="center" vertical="center" textRotation="90"/>
    </xf>
    <xf numFmtId="0" fontId="28" fillId="26" borderId="42" xfId="218" applyFill="1" applyBorder="1" applyAlignment="1">
      <alignment horizontal="center" vertical="center" textRotation="90"/>
    </xf>
    <xf numFmtId="0" fontId="28" fillId="2" borderId="38" xfId="218" applyFill="1" applyBorder="1" applyAlignment="1">
      <alignment horizontal="center" vertical="center" textRotation="90"/>
    </xf>
    <xf numFmtId="0" fontId="28" fillId="2" borderId="121" xfId="218" applyFill="1" applyBorder="1" applyAlignment="1">
      <alignment horizontal="center" vertical="center" textRotation="90"/>
    </xf>
    <xf numFmtId="0" fontId="28" fillId="2" borderId="42" xfId="218" applyFill="1" applyBorder="1" applyAlignment="1">
      <alignment horizontal="center" vertical="center" textRotation="90"/>
    </xf>
    <xf numFmtId="177" fontId="34" fillId="39" borderId="97" xfId="207" applyNumberFormat="1" applyFont="1" applyFill="1" applyBorder="1" applyAlignment="1" applyProtection="1">
      <alignment horizontal="center" vertical="center" wrapText="1"/>
      <protection locked="0"/>
    </xf>
    <xf numFmtId="177" fontId="34" fillId="39" borderId="98" xfId="207" applyNumberFormat="1" applyFont="1" applyFill="1" applyBorder="1" applyAlignment="1" applyProtection="1">
      <alignment horizontal="center" vertical="center" wrapText="1"/>
      <protection locked="0"/>
    </xf>
    <xf numFmtId="177" fontId="34" fillId="39" borderId="97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98" xfId="0" applyNumberFormat="1" applyFont="1" applyFill="1" applyBorder="1" applyAlignment="1" applyProtection="1">
      <alignment horizontal="center" vertical="center" wrapText="1"/>
      <protection locked="0"/>
    </xf>
    <xf numFmtId="177" fontId="34" fillId="39" borderId="100" xfId="0" applyNumberFormat="1" applyFont="1" applyFill="1" applyBorder="1" applyAlignment="1" applyProtection="1">
      <alignment horizontal="center" wrapText="1"/>
      <protection locked="0"/>
    </xf>
    <xf numFmtId="0" fontId="93" fillId="45" borderId="59" xfId="0" applyFont="1" applyFill="1" applyBorder="1" applyAlignment="1">
      <alignment horizontal="center" vertical="center"/>
    </xf>
    <xf numFmtId="0" fontId="93" fillId="45" borderId="45" xfId="0" applyFont="1" applyFill="1" applyBorder="1" applyAlignment="1">
      <alignment horizontal="center" vertical="center"/>
    </xf>
    <xf numFmtId="0" fontId="93" fillId="45" borderId="49" xfId="0" applyFont="1" applyFill="1" applyBorder="1" applyAlignment="1">
      <alignment horizontal="center" vertical="center"/>
    </xf>
    <xf numFmtId="0" fontId="93" fillId="45" borderId="27" xfId="0" applyFont="1" applyFill="1" applyBorder="1" applyAlignment="1">
      <alignment horizontal="center" vertical="center"/>
    </xf>
    <xf numFmtId="177" fontId="91" fillId="39" borderId="31" xfId="0" applyNumberFormat="1" applyFont="1" applyFill="1" applyBorder="1" applyAlignment="1" applyProtection="1">
      <alignment horizontal="center" vertical="center" wrapText="1"/>
      <protection locked="0"/>
    </xf>
    <xf numFmtId="177" fontId="91" fillId="39" borderId="106" xfId="0" applyNumberFormat="1" applyFont="1" applyFill="1" applyBorder="1" applyAlignment="1" applyProtection="1">
      <alignment horizontal="center" vertical="center" wrapText="1"/>
      <protection locked="0"/>
    </xf>
    <xf numFmtId="177" fontId="91" fillId="39" borderId="107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Border="1" applyAlignment="1" applyProtection="1">
      <alignment horizontal="center"/>
      <protection locked="0"/>
    </xf>
    <xf numFmtId="0" fontId="28" fillId="30" borderId="11" xfId="0" applyFont="1" applyFill="1" applyBorder="1" applyAlignment="1" applyProtection="1">
      <alignment horizontal="center"/>
    </xf>
    <xf numFmtId="0" fontId="35" fillId="30" borderId="11" xfId="0" applyFont="1" applyFill="1" applyBorder="1" applyAlignment="1" applyProtection="1">
      <alignment horizontal="center"/>
    </xf>
    <xf numFmtId="179" fontId="75" fillId="0" borderId="38" xfId="125" applyNumberFormat="1" applyFont="1" applyFill="1" applyBorder="1" applyAlignment="1" applyProtection="1">
      <alignment horizontal="center" vertical="center" wrapText="1"/>
    </xf>
    <xf numFmtId="179" fontId="75" fillId="0" borderId="42" xfId="125" applyNumberFormat="1" applyFont="1" applyFill="1" applyBorder="1" applyAlignment="1" applyProtection="1">
      <alignment horizontal="center" vertical="center" wrapText="1"/>
    </xf>
  </cellXfs>
  <cellStyles count="236">
    <cellStyle name="          _x000d__x000a_shell=progman.exe_x000d__x000a_m" xfId="1"/>
    <cellStyle name="          _x000d__x000a_shell=progman.exe_x000d__x000a_m 2" xfId="2"/>
    <cellStyle name="          _x000d__x000a_shell=progman.exe_x000d__x000a_m 3" xfId="3"/>
    <cellStyle name="_x000a_mouse.drv=lm" xfId="4"/>
    <cellStyle name="_CTC Data May 2008 to auditor" xfId="5"/>
    <cellStyle name="_Prod.wise_sep_04" xfId="6"/>
    <cellStyle name="_SBT-Employee Budget 09-10" xfId="7"/>
    <cellStyle name="_SBT-Material Cost" xfId="8"/>
    <cellStyle name="_SBT-Sales Budget 2009-10 Board" xfId="9"/>
    <cellStyle name="_TACOIPD-CELL BILL - 2008-09" xfId="10"/>
    <cellStyle name="_Tier 1's" xfId="11"/>
    <cellStyle name="´Èv¾ŸŠ?j¼t“_x0018__x0004_¦?UÁ¨¤N@s?_x000c_A05307" xfId="12"/>
    <cellStyle name="´Èv¾ŸŠ?j¼t“_x0018__x0004_¦?UÁ¨¤N@s?_x000c_A05307      " xfId="13"/>
    <cellStyle name="=C:\WINNT\SYSTEM32\COMMAND.COM" xfId="14"/>
    <cellStyle name="=C:\WINNT\SYSTEM32\COMMAND.COM 2" xfId="15"/>
    <cellStyle name="20 % - Accent1" xfId="16"/>
    <cellStyle name="20 % - Accent1 2" xfId="17"/>
    <cellStyle name="20 % - Accent2" xfId="18"/>
    <cellStyle name="20 % - Accent2 2" xfId="19"/>
    <cellStyle name="20 % - Accent3" xfId="20"/>
    <cellStyle name="20 % - Accent3 2" xfId="21"/>
    <cellStyle name="20 % - Accent4" xfId="22"/>
    <cellStyle name="20 % - Accent4 2" xfId="23"/>
    <cellStyle name="20 % - Accent5" xfId="24"/>
    <cellStyle name="20 % - Accent5 2" xfId="25"/>
    <cellStyle name="20 % - Accent6" xfId="26"/>
    <cellStyle name="20 % - Accent6 2" xfId="27"/>
    <cellStyle name="40 % - Accent1" xfId="28"/>
    <cellStyle name="40 % - Accent1 2" xfId="29"/>
    <cellStyle name="40 % - Accent2" xfId="30"/>
    <cellStyle name="40 % - Accent2 2" xfId="31"/>
    <cellStyle name="40 % - Accent3" xfId="32"/>
    <cellStyle name="40 % - Accent3 2" xfId="33"/>
    <cellStyle name="40 % - Accent4" xfId="34"/>
    <cellStyle name="40 % - Accent4 2" xfId="35"/>
    <cellStyle name="40 % - Accent5" xfId="36"/>
    <cellStyle name="40 % - Accent5 2" xfId="37"/>
    <cellStyle name="40 % - Accent6" xfId="38"/>
    <cellStyle name="40 % - Accent6 2" xfId="39"/>
    <cellStyle name="60 % - Accent1" xfId="40"/>
    <cellStyle name="60 % - Accent2" xfId="41"/>
    <cellStyle name="60 % - Accent3" xfId="42"/>
    <cellStyle name="60 % - Accent4" xfId="43"/>
    <cellStyle name="60 % - Accent5" xfId="44"/>
    <cellStyle name="60 % - Accent6" xfId="45"/>
    <cellStyle name="AutoFormat-Optionen" xfId="46"/>
    <cellStyle name="AutoFormat-Optionen 2" xfId="47"/>
    <cellStyle name="Avertissement" xfId="48"/>
    <cellStyle name="Calc Currency (0)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alcul" xfId="57"/>
    <cellStyle name="Cellule liée" xfId="58"/>
    <cellStyle name="Comma" xfId="59" builtinId="3"/>
    <cellStyle name="Comma  - Style1" xfId="60"/>
    <cellStyle name="Comma  - Style2" xfId="61"/>
    <cellStyle name="Comma  - Style3" xfId="62"/>
    <cellStyle name="Comma  - Style4" xfId="63"/>
    <cellStyle name="Comma  - Style5" xfId="64"/>
    <cellStyle name="Comma  - Style6" xfId="65"/>
    <cellStyle name="Comma  - Style7" xfId="66"/>
    <cellStyle name="Comma  - Style8" xfId="67"/>
    <cellStyle name="Comma [0] 2" xfId="68"/>
    <cellStyle name="Comma [0] 2 2" xfId="69"/>
    <cellStyle name="Comma [0] 3" xfId="70"/>
    <cellStyle name="Comma [0] 4" xfId="71"/>
    <cellStyle name="Comma [0] 5" xfId="72"/>
    <cellStyle name="Comma [00]" xfId="73"/>
    <cellStyle name="Comma 10" xfId="74"/>
    <cellStyle name="Comma 11" xfId="75"/>
    <cellStyle name="Comma 12" xfId="76"/>
    <cellStyle name="Comma 17" xfId="77"/>
    <cellStyle name="Comma 17 2" xfId="213"/>
    <cellStyle name="Comma 2" xfId="78"/>
    <cellStyle name="Comma 2 2" xfId="79"/>
    <cellStyle name="Comma 2 3" xfId="80"/>
    <cellStyle name="Comma 2 3 2" xfId="81"/>
    <cellStyle name="Comma 2 3 2 2" xfId="82"/>
    <cellStyle name="Comma 3" xfId="83"/>
    <cellStyle name="Comma 4" xfId="84"/>
    <cellStyle name="Comma 5" xfId="85"/>
    <cellStyle name="Comma 6" xfId="86"/>
    <cellStyle name="Comma 6 2" xfId="87"/>
    <cellStyle name="Comma 7" xfId="88"/>
    <cellStyle name="Comma 7 2" xfId="89"/>
    <cellStyle name="Comma 8" xfId="90"/>
    <cellStyle name="Comma 8 2" xfId="215"/>
    <cellStyle name="Comma 9" xfId="91"/>
    <cellStyle name="Commentaire" xfId="92"/>
    <cellStyle name="Currency [00]" xfId="93"/>
    <cellStyle name="Date Short" xfId="94"/>
    <cellStyle name="Enter Currency (0)" xfId="95"/>
    <cellStyle name="Enter Currency (2)" xfId="96"/>
    <cellStyle name="Enter Units (0)" xfId="97"/>
    <cellStyle name="Enter Units (1)" xfId="98"/>
    <cellStyle name="Enter Units (2)" xfId="99"/>
    <cellStyle name="Entrée" xfId="100"/>
    <cellStyle name="Euro" xfId="101"/>
    <cellStyle name="Euro 2" xfId="102"/>
    <cellStyle name="Euro 3" xfId="103"/>
    <cellStyle name="Euro 4" xfId="104"/>
    <cellStyle name="Euro 5" xfId="105"/>
    <cellStyle name="Euro 6" xfId="106"/>
    <cellStyle name="Euro 7" xfId="107"/>
    <cellStyle name="Grey" xfId="108"/>
    <cellStyle name="Header1" xfId="109"/>
    <cellStyle name="Header2" xfId="110"/>
    <cellStyle name="Header2 2" xfId="216"/>
    <cellStyle name="Header2 3" xfId="214"/>
    <cellStyle name="Hyperlink" xfId="204" builtinId="8"/>
    <cellStyle name="Input [yellow]" xfId="111"/>
    <cellStyle name="Input [yellow] 2" xfId="217"/>
    <cellStyle name="Input [yellow] 3" xfId="212"/>
    <cellStyle name="Insatisfaisant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pldt" xfId="118"/>
    <cellStyle name="Milliers_pldt" xfId="119"/>
    <cellStyle name="Monétaire [0]_pldt" xfId="120"/>
    <cellStyle name="Monétaire_pldt" xfId="121"/>
    <cellStyle name="Neutre" xfId="122"/>
    <cellStyle name="Normal" xfId="0" builtinId="0"/>
    <cellStyle name="Normal - Style1" xfId="123"/>
    <cellStyle name="Normal 10" xfId="124"/>
    <cellStyle name="Normal 10 2" xfId="125"/>
    <cellStyle name="Normal 11" xfId="126"/>
    <cellStyle name="Normal 12" xfId="127"/>
    <cellStyle name="Normal 12 2" xfId="218"/>
    <cellStyle name="Normal 13" xfId="194"/>
    <cellStyle name="Normal 13 2" xfId="222"/>
    <cellStyle name="Normal 14" xfId="195"/>
    <cellStyle name="Normal 14 2" xfId="223"/>
    <cellStyle name="Normal 15" xfId="198"/>
    <cellStyle name="Normal 15 2" xfId="224"/>
    <cellStyle name="Normal 16" xfId="199"/>
    <cellStyle name="Normal 16 2" xfId="225"/>
    <cellStyle name="Normal 17" xfId="200"/>
    <cellStyle name="Normal 17 2" xfId="226"/>
    <cellStyle name="Normal 18" xfId="201"/>
    <cellStyle name="Normal 18 2" xfId="227"/>
    <cellStyle name="Normal 19" xfId="202"/>
    <cellStyle name="Normal 19 2" xfId="228"/>
    <cellStyle name="Normal 2" xfId="128"/>
    <cellStyle name="Normal 2 2" xfId="129"/>
    <cellStyle name="Normal 2 2 2" xfId="210"/>
    <cellStyle name="Normal 2 3" xfId="130"/>
    <cellStyle name="Normal 2 4" xfId="209"/>
    <cellStyle name="Normal 2 4 2" xfId="233"/>
    <cellStyle name="Normal 2 5" xfId="211"/>
    <cellStyle name="Normal 2 5 2" xfId="234"/>
    <cellStyle name="Normal 20" xfId="203"/>
    <cellStyle name="Normal 20 2" xfId="229"/>
    <cellStyle name="Normal 21" xfId="205"/>
    <cellStyle name="Normal 21 2" xfId="230"/>
    <cellStyle name="Normal 22" xfId="206"/>
    <cellStyle name="Normal 22 2" xfId="231"/>
    <cellStyle name="Normal 23" xfId="207"/>
    <cellStyle name="Normal 23 2" xfId="232"/>
    <cellStyle name="Normal 24" xfId="208"/>
    <cellStyle name="Normal 25" xfId="235"/>
    <cellStyle name="Normal 3" xfId="131"/>
    <cellStyle name="Normal 3 2" xfId="132"/>
    <cellStyle name="Normal 3 3" xfId="196"/>
    <cellStyle name="Normal 3 4" xfId="219"/>
    <cellStyle name="Normal 3_Support Centre Info" xfId="133"/>
    <cellStyle name="Normal 4" xfId="134"/>
    <cellStyle name="Normal 5" xfId="135"/>
    <cellStyle name="Normal 5 2" xfId="136"/>
    <cellStyle name="Normal 5 2 2" xfId="220"/>
    <cellStyle name="Normal 6" xfId="137"/>
    <cellStyle name="Normal 6 2" xfId="221"/>
    <cellStyle name="Normal 7" xfId="138"/>
    <cellStyle name="Normal 8" xfId="139"/>
    <cellStyle name="Normal 9" xfId="140"/>
    <cellStyle name="Normale_KM CF40" xfId="141"/>
    <cellStyle name="Normalny_08 2005" xfId="142"/>
    <cellStyle name="Œ…‹æØ‚è [0.00]_PRODUCT DETAIL Q1" xfId="143"/>
    <cellStyle name="Œ…‹æØ‚è_PRODUCT DETAIL Q1" xfId="144"/>
    <cellStyle name="Percent" xfId="145" builtinId="5"/>
    <cellStyle name="Percent [0]" xfId="146"/>
    <cellStyle name="Percent [00]" xfId="147"/>
    <cellStyle name="Percent [2]" xfId="148"/>
    <cellStyle name="Percent 2" xfId="149"/>
    <cellStyle name="Percent 2 2" xfId="197"/>
    <cellStyle name="Percent 3" xfId="150"/>
    <cellStyle name="Percent 4" xfId="151"/>
    <cellStyle name="Pourcentage 2" xfId="152"/>
    <cellStyle name="Pourcentage 3" xfId="153"/>
    <cellStyle name="PrePop Currency (0)" xfId="154"/>
    <cellStyle name="PrePop Currency (2)" xfId="155"/>
    <cellStyle name="PrePop Units (0)" xfId="156"/>
    <cellStyle name="PrePop Units (1)" xfId="157"/>
    <cellStyle name="PrePop Units (2)" xfId="158"/>
    <cellStyle name="PSChar" xfId="159"/>
    <cellStyle name="PSDate" xfId="160"/>
    <cellStyle name="PSDec" xfId="161"/>
    <cellStyle name="PSHeading" xfId="162"/>
    <cellStyle name="PSInt" xfId="163"/>
    <cellStyle name="PSSpacer" xfId="164"/>
    <cellStyle name="Satisfaisant" xfId="165"/>
    <cellStyle name="Sortie" xfId="166"/>
    <cellStyle name="Standard_Anlage Action plan" xfId="167"/>
    <cellStyle name="STYL1 - Style1" xfId="168"/>
    <cellStyle name="STYL2 - Style2" xfId="169"/>
    <cellStyle name="STYL3 - Style3" xfId="170"/>
    <cellStyle name="STYL4 - Style4" xfId="171"/>
    <cellStyle name="STYL5 - Style5" xfId="172"/>
    <cellStyle name="Style 1" xfId="173"/>
    <cellStyle name="Style 1 2" xfId="174"/>
    <cellStyle name="Style 1 3" xfId="175"/>
    <cellStyle name="Text Indent A" xfId="176"/>
    <cellStyle name="Text Indent B" xfId="177"/>
    <cellStyle name="Text Indent C" xfId="178"/>
    <cellStyle name="Texte explicatif" xfId="179"/>
    <cellStyle name="Titre" xfId="180"/>
    <cellStyle name="Titre 1" xfId="181"/>
    <cellStyle name="Titre 2" xfId="182"/>
    <cellStyle name="Titre 3" xfId="183"/>
    <cellStyle name="Titre 4" xfId="184"/>
    <cellStyle name="Unit" xfId="185"/>
    <cellStyle name="Update" xfId="186"/>
    <cellStyle name="Valuta (0)_Cartel1" xfId="187"/>
    <cellStyle name="Valuta_VERA" xfId="188"/>
    <cellStyle name="Vérification" xfId="189"/>
    <cellStyle name="常规_Disc" xfId="190"/>
    <cellStyle name="標準_(PF-C)54560　5320A-7(N)" xfId="191"/>
    <cellStyle name="通貨 [0.00]_YTMIBS99" xfId="192"/>
    <cellStyle name="通貨_YTMIBS99" xfId="193"/>
  </cellStyles>
  <dxfs count="0"/>
  <tableStyles count="0" defaultTableStyle="TableStyleMedium9" defaultPivotStyle="PivotStyleLight16"/>
  <colors>
    <mruColors>
      <color rgb="FF0A1AB6"/>
      <color rgb="FFF0F8A4"/>
      <color rgb="FFFFCCFF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85725</xdr:rowOff>
    </xdr:from>
    <xdr:to>
      <xdr:col>7</xdr:col>
      <xdr:colOff>200025</xdr:colOff>
      <xdr:row>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905000" y="657225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RFQ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from Customers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9</xdr:row>
      <xdr:rowOff>104775</xdr:rowOff>
    </xdr:from>
    <xdr:to>
      <xdr:col>7</xdr:col>
      <xdr:colOff>200025</xdr:colOff>
      <xdr:row>13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905000" y="1400175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RFCE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Filling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14</xdr:row>
      <xdr:rowOff>104775</xdr:rowOff>
    </xdr:from>
    <xdr:to>
      <xdr:col>7</xdr:col>
      <xdr:colOff>200025</xdr:colOff>
      <xdr:row>18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905000" y="2114550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&amp; D Techsheet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266700</xdr:colOff>
      <xdr:row>19</xdr:row>
      <xdr:rowOff>95250</xdr:rowOff>
    </xdr:from>
    <xdr:to>
      <xdr:col>4</xdr:col>
      <xdr:colOff>161925</xdr:colOff>
      <xdr:row>23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66700" y="2809875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BOP Costing</a:t>
          </a:r>
        </a:p>
      </xdr:txBody>
    </xdr:sp>
    <xdr:clientData/>
  </xdr:twoCellAnchor>
  <xdr:twoCellAnchor>
    <xdr:from>
      <xdr:col>6</xdr:col>
      <xdr:colOff>400050</xdr:colOff>
      <xdr:row>24</xdr:row>
      <xdr:rowOff>104775</xdr:rowOff>
    </xdr:from>
    <xdr:to>
      <xdr:col>10</xdr:col>
      <xdr:colOff>295275</xdr:colOff>
      <xdr:row>28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600450" y="3533775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Process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Costing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29</xdr:row>
      <xdr:rowOff>104775</xdr:rowOff>
    </xdr:from>
    <xdr:to>
      <xdr:col>7</xdr:col>
      <xdr:colOff>190500</xdr:colOff>
      <xdr:row>33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895475" y="4248150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Cost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Review with COO / PLANTHEAD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34</xdr:row>
      <xdr:rowOff>104775</xdr:rowOff>
    </xdr:from>
    <xdr:to>
      <xdr:col>7</xdr:col>
      <xdr:colOff>190500</xdr:colOff>
      <xdr:row>38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1895475" y="4962525"/>
          <a:ext cx="2028825" cy="504825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Price Review with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CEO / COO</a:t>
          </a:r>
        </a:p>
      </xdr:txBody>
    </xdr:sp>
    <xdr:clientData/>
  </xdr:twoCellAnchor>
  <xdr:twoCellAnchor>
    <xdr:from>
      <xdr:col>3</xdr:col>
      <xdr:colOff>298835</xdr:colOff>
      <xdr:row>39</xdr:row>
      <xdr:rowOff>104775</xdr:rowOff>
    </xdr:from>
    <xdr:to>
      <xdr:col>7</xdr:col>
      <xdr:colOff>194060</xdr:colOff>
      <xdr:row>43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1900291" y="5725572"/>
          <a:ext cx="2030500" cy="509012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Quote</a:t>
          </a:r>
        </a:p>
      </xdr:txBody>
    </xdr:sp>
    <xdr:clientData/>
  </xdr:twoCellAnchor>
  <xdr:twoCellAnchor>
    <xdr:from>
      <xdr:col>5</xdr:col>
      <xdr:colOff>252413</xdr:colOff>
      <xdr:row>8</xdr:row>
      <xdr:rowOff>19050</xdr:rowOff>
    </xdr:from>
    <xdr:to>
      <xdr:col>5</xdr:col>
      <xdr:colOff>252413</xdr:colOff>
      <xdr:row>9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>
          <a:stCxn id="3" idx="2"/>
          <a:endCxn id="4" idx="0"/>
        </xdr:cNvCxnSpPr>
      </xdr:nvCxnSpPr>
      <xdr:spPr bwMode="auto">
        <a:xfrm>
          <a:off x="2919413" y="1171575"/>
          <a:ext cx="0" cy="228600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252413</xdr:colOff>
      <xdr:row>13</xdr:row>
      <xdr:rowOff>38100</xdr:rowOff>
    </xdr:from>
    <xdr:to>
      <xdr:col>5</xdr:col>
      <xdr:colOff>252413</xdr:colOff>
      <xdr:row>14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>
          <a:stCxn id="4" idx="2"/>
          <a:endCxn id="5" idx="0"/>
        </xdr:cNvCxnSpPr>
      </xdr:nvCxnSpPr>
      <xdr:spPr bwMode="auto">
        <a:xfrm>
          <a:off x="2919413" y="1905000"/>
          <a:ext cx="0" cy="209550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214314</xdr:colOff>
      <xdr:row>16</xdr:row>
      <xdr:rowOff>71437</xdr:rowOff>
    </xdr:from>
    <xdr:to>
      <xdr:col>3</xdr:col>
      <xdr:colOff>304801</xdr:colOff>
      <xdr:row>19</xdr:row>
      <xdr:rowOff>95249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>
          <a:stCxn id="5" idx="1"/>
          <a:endCxn id="6" idx="0"/>
        </xdr:cNvCxnSpPr>
      </xdr:nvCxnSpPr>
      <xdr:spPr bwMode="auto">
        <a:xfrm rot="10800000" flipV="1">
          <a:off x="1281114" y="2366962"/>
          <a:ext cx="623887" cy="452437"/>
        </a:xfrm>
        <a:prstGeom prst="bentConnector2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200025</xdr:colOff>
      <xdr:row>16</xdr:row>
      <xdr:rowOff>71438</xdr:rowOff>
    </xdr:from>
    <xdr:to>
      <xdr:col>8</xdr:col>
      <xdr:colOff>347663</xdr:colOff>
      <xdr:row>24</xdr:row>
      <xdr:rowOff>104775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CxnSpPr>
          <a:stCxn id="5" idx="3"/>
          <a:endCxn id="7" idx="0"/>
        </xdr:cNvCxnSpPr>
      </xdr:nvCxnSpPr>
      <xdr:spPr bwMode="auto">
        <a:xfrm>
          <a:off x="3933825" y="2366963"/>
          <a:ext cx="681038" cy="1176337"/>
        </a:xfrm>
        <a:prstGeom prst="bentConnector2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214314</xdr:colOff>
      <xdr:row>23</xdr:row>
      <xdr:rowOff>28574</xdr:rowOff>
    </xdr:from>
    <xdr:to>
      <xdr:col>3</xdr:col>
      <xdr:colOff>295276</xdr:colOff>
      <xdr:row>31</xdr:row>
      <xdr:rowOff>71437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CxnSpPr>
          <a:stCxn id="6" idx="2"/>
          <a:endCxn id="8" idx="1"/>
        </xdr:cNvCxnSpPr>
      </xdr:nvCxnSpPr>
      <xdr:spPr bwMode="auto">
        <a:xfrm rot="16200000" flipH="1">
          <a:off x="995363" y="3609975"/>
          <a:ext cx="1185863" cy="614362"/>
        </a:xfrm>
        <a:prstGeom prst="bentConnector2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190501</xdr:colOff>
      <xdr:row>28</xdr:row>
      <xdr:rowOff>38100</xdr:rowOff>
    </xdr:from>
    <xdr:to>
      <xdr:col>8</xdr:col>
      <xdr:colOff>347664</xdr:colOff>
      <xdr:row>31</xdr:row>
      <xdr:rowOff>71438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CxnSpPr>
          <a:stCxn id="7" idx="2"/>
          <a:endCxn id="8" idx="3"/>
        </xdr:cNvCxnSpPr>
      </xdr:nvCxnSpPr>
      <xdr:spPr bwMode="auto">
        <a:xfrm rot="5400000">
          <a:off x="4038601" y="3933825"/>
          <a:ext cx="461963" cy="690563"/>
        </a:xfrm>
        <a:prstGeom prst="bentConnector2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242888</xdr:colOff>
      <xdr:row>33</xdr:row>
      <xdr:rowOff>38100</xdr:rowOff>
    </xdr:from>
    <xdr:to>
      <xdr:col>5</xdr:col>
      <xdr:colOff>242888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>
          <a:stCxn id="8" idx="2"/>
          <a:endCxn id="9" idx="0"/>
        </xdr:cNvCxnSpPr>
      </xdr:nvCxnSpPr>
      <xdr:spPr bwMode="auto">
        <a:xfrm>
          <a:off x="2909888" y="4762500"/>
          <a:ext cx="0" cy="209550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242888</xdr:colOff>
      <xdr:row>38</xdr:row>
      <xdr:rowOff>38100</xdr:rowOff>
    </xdr:from>
    <xdr:to>
      <xdr:col>5</xdr:col>
      <xdr:colOff>246448</xdr:colOff>
      <xdr:row>39</xdr:row>
      <xdr:rowOff>104775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CxnSpPr>
          <a:stCxn id="9" idx="2"/>
          <a:endCxn id="10" idx="0"/>
        </xdr:cNvCxnSpPr>
      </xdr:nvCxnSpPr>
      <xdr:spPr bwMode="auto">
        <a:xfrm>
          <a:off x="2911981" y="5514975"/>
          <a:ext cx="3560" cy="210597"/>
        </a:xfrm>
        <a:prstGeom prst="straightConnector1">
          <a:avLst/>
        </a:prstGeom>
        <a:solidFill>
          <a:srgbClr val="FFFFFF"/>
        </a:solidFill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266701</xdr:colOff>
      <xdr:row>15</xdr:row>
      <xdr:rowOff>123826</xdr:rowOff>
    </xdr:from>
    <xdr:to>
      <xdr:col>2</xdr:col>
      <xdr:colOff>152401</xdr:colOff>
      <xdr:row>17</xdr:row>
      <xdr:rowOff>85726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66701" y="2276476"/>
          <a:ext cx="952500" cy="247650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elease 1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419101</xdr:colOff>
      <xdr:row>18</xdr:row>
      <xdr:rowOff>28576</xdr:rowOff>
    </xdr:from>
    <xdr:to>
      <xdr:col>10</xdr:col>
      <xdr:colOff>304801</xdr:colOff>
      <xdr:row>19</xdr:row>
      <xdr:rowOff>133351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/>
      </xdr:nvSpPr>
      <xdr:spPr>
        <a:xfrm>
          <a:off x="4686301" y="2609851"/>
          <a:ext cx="952500" cy="247650"/>
        </a:xfrm>
        <a:prstGeom prst="roundRect">
          <a:avLst/>
        </a:prstGeom>
        <a:solidFill>
          <a:srgbClr val="FFC000"/>
        </a:solidFill>
        <a:ln w="381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elease 2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9293</xdr:colOff>
      <xdr:row>0</xdr:row>
      <xdr:rowOff>23231</xdr:rowOff>
    </xdr:from>
    <xdr:to>
      <xdr:col>1</xdr:col>
      <xdr:colOff>9479</xdr:colOff>
      <xdr:row>3</xdr:row>
      <xdr:rowOff>132363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3" y="23231"/>
          <a:ext cx="441158" cy="541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63011</xdr:colOff>
      <xdr:row>0</xdr:row>
      <xdr:rowOff>33704</xdr:rowOff>
    </xdr:from>
    <xdr:to>
      <xdr:col>0</xdr:col>
      <xdr:colOff>410308</xdr:colOff>
      <xdr:row>0</xdr:row>
      <xdr:rowOff>465885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" y="33704"/>
          <a:ext cx="347297" cy="432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52821</xdr:colOff>
      <xdr:row>115</xdr:row>
      <xdr:rowOff>40698</xdr:rowOff>
    </xdr:from>
    <xdr:ext cx="447675" cy="549237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1" y="19133993"/>
          <a:ext cx="447675" cy="549237"/>
        </a:xfrm>
        <a:prstGeom prst="rect">
          <a:avLst/>
        </a:prstGeom>
      </xdr:spPr>
    </xdr:pic>
    <xdr:clientData/>
  </xdr:oneCellAnchor>
  <xdr:oneCellAnchor>
    <xdr:from>
      <xdr:col>0</xdr:col>
      <xdr:colOff>53687</xdr:colOff>
      <xdr:row>64</xdr:row>
      <xdr:rowOff>32041</xdr:rowOff>
    </xdr:from>
    <xdr:ext cx="447675" cy="549237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7" y="10682723"/>
          <a:ext cx="447675" cy="549237"/>
        </a:xfrm>
        <a:prstGeom prst="rect">
          <a:avLst/>
        </a:prstGeom>
      </xdr:spPr>
    </xdr:pic>
    <xdr:clientData/>
  </xdr:oneCellAnchor>
  <xdr:oneCellAnchor>
    <xdr:from>
      <xdr:col>0</xdr:col>
      <xdr:colOff>32903</xdr:colOff>
      <xdr:row>64</xdr:row>
      <xdr:rowOff>0</xdr:rowOff>
    </xdr:from>
    <xdr:ext cx="447675" cy="549237"/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3" y="32907"/>
          <a:ext cx="447675" cy="549237"/>
        </a:xfrm>
        <a:prstGeom prst="rect">
          <a:avLst/>
        </a:prstGeom>
      </xdr:spPr>
    </xdr:pic>
    <xdr:clientData/>
  </xdr:oneCellAnchor>
  <xdr:oneCellAnchor>
    <xdr:from>
      <xdr:col>0</xdr:col>
      <xdr:colOff>52821</xdr:colOff>
      <xdr:row>165</xdr:row>
      <xdr:rowOff>40698</xdr:rowOff>
    </xdr:from>
    <xdr:ext cx="447675" cy="549237"/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1" y="18719223"/>
          <a:ext cx="447675" cy="549237"/>
        </a:xfrm>
        <a:prstGeom prst="rect">
          <a:avLst/>
        </a:prstGeom>
      </xdr:spPr>
    </xdr:pic>
    <xdr:clientData/>
  </xdr:oneCellAnchor>
  <xdr:oneCellAnchor>
    <xdr:from>
      <xdr:col>0</xdr:col>
      <xdr:colOff>58303</xdr:colOff>
      <xdr:row>0</xdr:row>
      <xdr:rowOff>0</xdr:rowOff>
    </xdr:from>
    <xdr:ext cx="447675" cy="549237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03" y="0"/>
          <a:ext cx="447675" cy="54923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11207</xdr:rowOff>
    </xdr:from>
    <xdr:to>
      <xdr:col>0</xdr:col>
      <xdr:colOff>526676</xdr:colOff>
      <xdr:row>4</xdr:row>
      <xdr:rowOff>1848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207"/>
          <a:ext cx="526675" cy="5613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524301</xdr:colOff>
      <xdr:row>3</xdr:row>
      <xdr:rowOff>13761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301" cy="5243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5953</xdr:rowOff>
    </xdr:from>
    <xdr:to>
      <xdr:col>1</xdr:col>
      <xdr:colOff>453064</xdr:colOff>
      <xdr:row>3</xdr:row>
      <xdr:rowOff>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65" y="5953"/>
          <a:ext cx="441158" cy="4167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18</xdr:row>
      <xdr:rowOff>76200</xdr:rowOff>
    </xdr:from>
    <xdr:to>
      <xdr:col>6</xdr:col>
      <xdr:colOff>38100</xdr:colOff>
      <xdr:row>25</xdr:row>
      <xdr:rowOff>57150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5953125" y="3000375"/>
          <a:ext cx="1123950" cy="11144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561975</xdr:colOff>
      <xdr:row>19</xdr:row>
      <xdr:rowOff>85725</xdr:rowOff>
    </xdr:from>
    <xdr:to>
      <xdr:col>3</xdr:col>
      <xdr:colOff>561975</xdr:colOff>
      <xdr:row>24</xdr:row>
      <xdr:rowOff>104775</xdr:rowOff>
    </xdr:to>
    <xdr:sp macro="" textlink="">
      <xdr:nvSpPr>
        <xdr:cNvPr id="59782" name="Line 7">
          <a:extLst>
            <a:ext uri="{FF2B5EF4-FFF2-40B4-BE49-F238E27FC236}">
              <a16:creationId xmlns:a16="http://schemas.microsoft.com/office/drawing/2014/main" xmlns="" id="{00000000-0008-0000-0400-000086E90000}"/>
            </a:ext>
          </a:extLst>
        </xdr:cNvPr>
        <xdr:cNvSpPr>
          <a:spLocks noChangeShapeType="1"/>
        </xdr:cNvSpPr>
      </xdr:nvSpPr>
      <xdr:spPr bwMode="auto">
        <a:xfrm>
          <a:off x="5848350" y="3171825"/>
          <a:ext cx="0" cy="857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381000</xdr:colOff>
      <xdr:row>25</xdr:row>
      <xdr:rowOff>142875</xdr:rowOff>
    </xdr:from>
    <xdr:to>
      <xdr:col>5</xdr:col>
      <xdr:colOff>466725</xdr:colOff>
      <xdr:row>25</xdr:row>
      <xdr:rowOff>142875</xdr:rowOff>
    </xdr:to>
    <xdr:sp macro="" textlink="">
      <xdr:nvSpPr>
        <xdr:cNvPr id="59783" name="Line 8">
          <a:extLst>
            <a:ext uri="{FF2B5EF4-FFF2-40B4-BE49-F238E27FC236}">
              <a16:creationId xmlns:a16="http://schemas.microsoft.com/office/drawing/2014/main" xmlns="" id="{00000000-0008-0000-0400-000087E90000}"/>
            </a:ext>
          </a:extLst>
        </xdr:cNvPr>
        <xdr:cNvSpPr>
          <a:spLocks noChangeShapeType="1"/>
        </xdr:cNvSpPr>
      </xdr:nvSpPr>
      <xdr:spPr bwMode="auto">
        <a:xfrm>
          <a:off x="6276975" y="42291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438150</xdr:colOff>
      <xdr:row>26</xdr:row>
      <xdr:rowOff>28575</xdr:rowOff>
    </xdr:from>
    <xdr:to>
      <xdr:col>5</xdr:col>
      <xdr:colOff>285750</xdr:colOff>
      <xdr:row>28</xdr:row>
      <xdr:rowOff>95250</xdr:rowOff>
    </xdr:to>
    <xdr:sp macro="" textlink="">
      <xdr:nvSpPr>
        <xdr:cNvPr id="5" name="Oval 9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257925" y="4248150"/>
          <a:ext cx="457200" cy="3905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OPER</a:t>
          </a:r>
        </a:p>
      </xdr:txBody>
    </xdr:sp>
    <xdr:clientData/>
  </xdr:twoCellAnchor>
  <xdr:twoCellAnchor>
    <xdr:from>
      <xdr:col>4</xdr:col>
      <xdr:colOff>304800</xdr:colOff>
      <xdr:row>23</xdr:row>
      <xdr:rowOff>85725</xdr:rowOff>
    </xdr:from>
    <xdr:to>
      <xdr:col>5</xdr:col>
      <xdr:colOff>514350</xdr:colOff>
      <xdr:row>23</xdr:row>
      <xdr:rowOff>85725</xdr:rowOff>
    </xdr:to>
    <xdr:sp macro="" textlink="">
      <xdr:nvSpPr>
        <xdr:cNvPr id="59785" name="Line 11">
          <a:extLst>
            <a:ext uri="{FF2B5EF4-FFF2-40B4-BE49-F238E27FC236}">
              <a16:creationId xmlns:a16="http://schemas.microsoft.com/office/drawing/2014/main" xmlns="" id="{00000000-0008-0000-0400-000089E90000}"/>
            </a:ext>
          </a:extLst>
        </xdr:cNvPr>
        <xdr:cNvSpPr>
          <a:spLocks noChangeShapeType="1"/>
        </xdr:cNvSpPr>
      </xdr:nvSpPr>
      <xdr:spPr bwMode="auto">
        <a:xfrm>
          <a:off x="6200775" y="3848100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22</xdr:row>
      <xdr:rowOff>142875</xdr:rowOff>
    </xdr:from>
    <xdr:to>
      <xdr:col>5</xdr:col>
      <xdr:colOff>514350</xdr:colOff>
      <xdr:row>22</xdr:row>
      <xdr:rowOff>142875</xdr:rowOff>
    </xdr:to>
    <xdr:sp macro="" textlink="">
      <xdr:nvSpPr>
        <xdr:cNvPr id="59786" name="Line 12">
          <a:extLst>
            <a:ext uri="{FF2B5EF4-FFF2-40B4-BE49-F238E27FC236}">
              <a16:creationId xmlns:a16="http://schemas.microsoft.com/office/drawing/2014/main" xmlns="" id="{00000000-0008-0000-0400-00008AE90000}"/>
            </a:ext>
          </a:extLst>
        </xdr:cNvPr>
        <xdr:cNvSpPr>
          <a:spLocks noChangeShapeType="1"/>
        </xdr:cNvSpPr>
      </xdr:nvSpPr>
      <xdr:spPr bwMode="auto">
        <a:xfrm>
          <a:off x="6200775" y="374332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295275</xdr:colOff>
      <xdr:row>22</xdr:row>
      <xdr:rowOff>47625</xdr:rowOff>
    </xdr:from>
    <xdr:to>
      <xdr:col>5</xdr:col>
      <xdr:colOff>504825</xdr:colOff>
      <xdr:row>22</xdr:row>
      <xdr:rowOff>47625</xdr:rowOff>
    </xdr:to>
    <xdr:sp macro="" textlink="">
      <xdr:nvSpPr>
        <xdr:cNvPr id="59787" name="Line 13">
          <a:extLst>
            <a:ext uri="{FF2B5EF4-FFF2-40B4-BE49-F238E27FC236}">
              <a16:creationId xmlns:a16="http://schemas.microsoft.com/office/drawing/2014/main" xmlns="" id="{00000000-0008-0000-0400-00008BE90000}"/>
            </a:ext>
          </a:extLst>
        </xdr:cNvPr>
        <xdr:cNvSpPr>
          <a:spLocks noChangeShapeType="1"/>
        </xdr:cNvSpPr>
      </xdr:nvSpPr>
      <xdr:spPr bwMode="auto">
        <a:xfrm>
          <a:off x="6191250" y="364807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314325</xdr:colOff>
      <xdr:row>18</xdr:row>
      <xdr:rowOff>38100</xdr:rowOff>
    </xdr:from>
    <xdr:ext cx="332335" cy="300490"/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203950" y="2901950"/>
          <a:ext cx="332335" cy="258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Length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533400</xdr:colOff>
      <xdr:row>25</xdr:row>
      <xdr:rowOff>66675</xdr:rowOff>
    </xdr:from>
    <xdr:ext cx="280718" cy="307448"/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32550" y="4384675"/>
          <a:ext cx="280718" cy="258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Width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4</xdr:col>
      <xdr:colOff>323850</xdr:colOff>
      <xdr:row>21</xdr:row>
      <xdr:rowOff>95250</xdr:rowOff>
    </xdr:from>
    <xdr:to>
      <xdr:col>5</xdr:col>
      <xdr:colOff>533400</xdr:colOff>
      <xdr:row>21</xdr:row>
      <xdr:rowOff>95250</xdr:rowOff>
    </xdr:to>
    <xdr:sp macro="" textlink="">
      <xdr:nvSpPr>
        <xdr:cNvPr id="59790" name="Line 16">
          <a:extLst>
            <a:ext uri="{FF2B5EF4-FFF2-40B4-BE49-F238E27FC236}">
              <a16:creationId xmlns:a16="http://schemas.microsoft.com/office/drawing/2014/main" xmlns="" id="{00000000-0008-0000-0400-00008EE90000}"/>
            </a:ext>
          </a:extLst>
        </xdr:cNvPr>
        <xdr:cNvSpPr>
          <a:spLocks noChangeShapeType="1"/>
        </xdr:cNvSpPr>
      </xdr:nvSpPr>
      <xdr:spPr bwMode="auto">
        <a:xfrm>
          <a:off x="6219825" y="353377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323850</xdr:colOff>
      <xdr:row>20</xdr:row>
      <xdr:rowOff>104775</xdr:rowOff>
    </xdr:from>
    <xdr:to>
      <xdr:col>5</xdr:col>
      <xdr:colOff>533400</xdr:colOff>
      <xdr:row>20</xdr:row>
      <xdr:rowOff>104775</xdr:rowOff>
    </xdr:to>
    <xdr:sp macro="" textlink="">
      <xdr:nvSpPr>
        <xdr:cNvPr id="59791" name="Line 17">
          <a:extLst>
            <a:ext uri="{FF2B5EF4-FFF2-40B4-BE49-F238E27FC236}">
              <a16:creationId xmlns:a16="http://schemas.microsoft.com/office/drawing/2014/main" xmlns="" id="{00000000-0008-0000-0400-00008FE90000}"/>
            </a:ext>
          </a:extLst>
        </xdr:cNvPr>
        <xdr:cNvSpPr>
          <a:spLocks noChangeShapeType="1"/>
        </xdr:cNvSpPr>
      </xdr:nvSpPr>
      <xdr:spPr bwMode="auto">
        <a:xfrm>
          <a:off x="6219825" y="3352800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447675</xdr:colOff>
      <xdr:row>19</xdr:row>
      <xdr:rowOff>152400</xdr:rowOff>
    </xdr:from>
    <xdr:to>
      <xdr:col>4</xdr:col>
      <xdr:colOff>447675</xdr:colOff>
      <xdr:row>24</xdr:row>
      <xdr:rowOff>28575</xdr:rowOff>
    </xdr:to>
    <xdr:sp macro="" textlink="">
      <xdr:nvSpPr>
        <xdr:cNvPr id="59792" name="Line 18">
          <a:extLst>
            <a:ext uri="{FF2B5EF4-FFF2-40B4-BE49-F238E27FC236}">
              <a16:creationId xmlns:a16="http://schemas.microsoft.com/office/drawing/2014/main" xmlns="" id="{00000000-0008-0000-0400-000090E90000}"/>
            </a:ext>
          </a:extLst>
        </xdr:cNvPr>
        <xdr:cNvSpPr>
          <a:spLocks noChangeShapeType="1"/>
        </xdr:cNvSpPr>
      </xdr:nvSpPr>
      <xdr:spPr bwMode="auto">
        <a:xfrm>
          <a:off x="6343650" y="323850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600075</xdr:colOff>
      <xdr:row>20</xdr:row>
      <xdr:rowOff>9525</xdr:rowOff>
    </xdr:from>
    <xdr:to>
      <xdr:col>4</xdr:col>
      <xdr:colOff>600075</xdr:colOff>
      <xdr:row>24</xdr:row>
      <xdr:rowOff>47625</xdr:rowOff>
    </xdr:to>
    <xdr:sp macro="" textlink="">
      <xdr:nvSpPr>
        <xdr:cNvPr id="59793" name="Line 19">
          <a:extLst>
            <a:ext uri="{FF2B5EF4-FFF2-40B4-BE49-F238E27FC236}">
              <a16:creationId xmlns:a16="http://schemas.microsoft.com/office/drawing/2014/main" xmlns="" id="{00000000-0008-0000-0400-000091E90000}"/>
            </a:ext>
          </a:extLst>
        </xdr:cNvPr>
        <xdr:cNvSpPr>
          <a:spLocks noChangeShapeType="1"/>
        </xdr:cNvSpPr>
      </xdr:nvSpPr>
      <xdr:spPr bwMode="auto">
        <a:xfrm>
          <a:off x="6496050" y="325755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180975</xdr:colOff>
      <xdr:row>19</xdr:row>
      <xdr:rowOff>142875</xdr:rowOff>
    </xdr:from>
    <xdr:to>
      <xdr:col>5</xdr:col>
      <xdr:colOff>180975</xdr:colOff>
      <xdr:row>24</xdr:row>
      <xdr:rowOff>19050</xdr:rowOff>
    </xdr:to>
    <xdr:sp macro="" textlink="">
      <xdr:nvSpPr>
        <xdr:cNvPr id="59794" name="Line 20">
          <a:extLst>
            <a:ext uri="{FF2B5EF4-FFF2-40B4-BE49-F238E27FC236}">
              <a16:creationId xmlns:a16="http://schemas.microsoft.com/office/drawing/2014/main" xmlns="" id="{00000000-0008-0000-0400-000092E90000}"/>
            </a:ext>
          </a:extLst>
        </xdr:cNvPr>
        <xdr:cNvSpPr>
          <a:spLocks noChangeShapeType="1"/>
        </xdr:cNvSpPr>
      </xdr:nvSpPr>
      <xdr:spPr bwMode="auto">
        <a:xfrm>
          <a:off x="6686550" y="3228975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342900</xdr:colOff>
      <xdr:row>20</xdr:row>
      <xdr:rowOff>28575</xdr:rowOff>
    </xdr:from>
    <xdr:to>
      <xdr:col>5</xdr:col>
      <xdr:colOff>342900</xdr:colOff>
      <xdr:row>24</xdr:row>
      <xdr:rowOff>66675</xdr:rowOff>
    </xdr:to>
    <xdr:sp macro="" textlink="">
      <xdr:nvSpPr>
        <xdr:cNvPr id="59795" name="Line 21">
          <a:extLst>
            <a:ext uri="{FF2B5EF4-FFF2-40B4-BE49-F238E27FC236}">
              <a16:creationId xmlns:a16="http://schemas.microsoft.com/office/drawing/2014/main" xmlns="" id="{00000000-0008-0000-0400-000093E90000}"/>
            </a:ext>
          </a:extLst>
        </xdr:cNvPr>
        <xdr:cNvSpPr>
          <a:spLocks noChangeShapeType="1"/>
        </xdr:cNvSpPr>
      </xdr:nvSpPr>
      <xdr:spPr bwMode="auto">
        <a:xfrm>
          <a:off x="6848475" y="327660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552450</xdr:colOff>
      <xdr:row>21</xdr:row>
      <xdr:rowOff>47625</xdr:rowOff>
    </xdr:from>
    <xdr:to>
      <xdr:col>6</xdr:col>
      <xdr:colOff>314325</xdr:colOff>
      <xdr:row>21</xdr:row>
      <xdr:rowOff>152400</xdr:rowOff>
    </xdr:to>
    <xdr:sp macro="" textlink="">
      <xdr:nvSpPr>
        <xdr:cNvPr id="59796" name="Line 22">
          <a:extLst>
            <a:ext uri="{FF2B5EF4-FFF2-40B4-BE49-F238E27FC236}">
              <a16:creationId xmlns:a16="http://schemas.microsoft.com/office/drawing/2014/main" xmlns="" id="{00000000-0008-0000-0400-000094E90000}"/>
            </a:ext>
          </a:extLst>
        </xdr:cNvPr>
        <xdr:cNvSpPr>
          <a:spLocks noChangeShapeType="1"/>
        </xdr:cNvSpPr>
      </xdr:nvSpPr>
      <xdr:spPr bwMode="auto">
        <a:xfrm flipV="1">
          <a:off x="7058025" y="3486150"/>
          <a:ext cx="371475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6</xdr:col>
      <xdr:colOff>266700</xdr:colOff>
      <xdr:row>19</xdr:row>
      <xdr:rowOff>123825</xdr:rowOff>
    </xdr:from>
    <xdr:ext cx="567973" cy="159801"/>
    <xdr:sp macro="" textlink="">
      <xdr:nvSpPr>
        <xdr:cNvPr id="18" name="Text Box 23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7966075" y="3155950"/>
          <a:ext cx="54874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No of Rows</a:t>
          </a:r>
        </a:p>
      </xdr:txBody>
    </xdr:sp>
    <xdr:clientData/>
  </xdr:oneCellAnchor>
  <xdr:oneCellAnchor>
    <xdr:from>
      <xdr:col>4</xdr:col>
      <xdr:colOff>457200</xdr:colOff>
      <xdr:row>16</xdr:row>
      <xdr:rowOff>114300</xdr:rowOff>
    </xdr:from>
    <xdr:ext cx="686902" cy="160356"/>
    <xdr:sp macro="" textlink="">
      <xdr:nvSpPr>
        <xdr:cNvPr id="19" name="Text Box 24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6950075" y="2670175"/>
          <a:ext cx="69705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No of Columns</a:t>
          </a:r>
        </a:p>
      </xdr:txBody>
    </xdr:sp>
    <xdr:clientData/>
  </xdr:oneCellAnchor>
  <xdr:twoCellAnchor>
    <xdr:from>
      <xdr:col>5</xdr:col>
      <xdr:colOff>219075</xdr:colOff>
      <xdr:row>17</xdr:row>
      <xdr:rowOff>123825</xdr:rowOff>
    </xdr:from>
    <xdr:to>
      <xdr:col>5</xdr:col>
      <xdr:colOff>323850</xdr:colOff>
      <xdr:row>19</xdr:row>
      <xdr:rowOff>95250</xdr:rowOff>
    </xdr:to>
    <xdr:sp macro="" textlink="">
      <xdr:nvSpPr>
        <xdr:cNvPr id="59799" name="Line 25">
          <a:extLst>
            <a:ext uri="{FF2B5EF4-FFF2-40B4-BE49-F238E27FC236}">
              <a16:creationId xmlns:a16="http://schemas.microsoft.com/office/drawing/2014/main" xmlns="" id="{00000000-0008-0000-0400-000097E90000}"/>
            </a:ext>
          </a:extLst>
        </xdr:cNvPr>
        <xdr:cNvSpPr>
          <a:spLocks noChangeShapeType="1"/>
        </xdr:cNvSpPr>
      </xdr:nvSpPr>
      <xdr:spPr bwMode="auto">
        <a:xfrm flipH="1">
          <a:off x="6724650" y="2886075"/>
          <a:ext cx="1047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'01-REVIS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Users/yogeshwari.SUJAN2K/AppData/Local/Microsoft/Windows/Temporary%20Internet%20Files/Content.Outlook/U5IW3OCS/SPBT%20Quote%20Format-Bushing%20RFQ%202217_%2010-10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ohit/accounts%20fin/WINDOWS/TEMP/Fixed%20Asset%20Regis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Users/yogeshwari.SUJAN2K/AppData/Local/Microsoft/Windows/Temporary%20Internet%20Files/Content.Outlook/U5IW3OCS/clients/Automobile/Sujan/Working/21%20Feb-Budget%20&amp;%20Cost%20Sheet/Budget&amp;Cost%20sheet/clients/Sujan/Working/Budget&amp;Cost%20shee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062000-REVISED-summa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%20budgets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Users/yogeshwari.SUJAN2K/AppData/Local/Microsoft/Windows/Temporary%20Internet%20Files/Content.Outlook/U5IW3OCS/clients/Automobile/Sujan/Working/21%20Feb-Budget%20&amp;%20Cost%20Sheet/Budget&amp;Cost%20sheet/Documents%20and%20Settings/ti10318/Local%20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C%20Template%20for%20system%20T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Users/yogeshwari.SUJAN2K/AppData/Local/Microsoft/Windows/Temporary%20Internet%20Files/Content.Outlook/U5IW3OCS/clients/Automobile/Sujan/Working/21%20Feb-Budget%20&amp;%20Cost%20Sheet/Budget&amp;Cost%20sheet/IPD_EXT_Jun_07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'01OD%20INT-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PT2KCONCR.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Users/yogeshwari.SUJAN2K/AppData/Local/Microsoft/Windows/Temporary%20Internet%20Files/Content.Outlook/U5IW3OCS/Ravindra%20Documents/Quotation/Maruti/4%20Bushings%20quote/latest%20quotes%20given%20by%20Prashant/SBT0013-01I%20-J0-%20Maruti%20-%20Bushi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Profile%20For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ff.int.summary"/>
      <sheetName val="diff"/>
      <sheetName val="comp"/>
      <sheetName val="deb TDS"/>
      <sheetName val="deb"/>
      <sheetName val="rtl"/>
      <sheetName val="fcl"/>
      <sheetName val="rtl tds"/>
      <sheetName val="guar comm"/>
      <sheetName val="commitment "/>
      <sheetName val="intcmcdet"/>
      <sheetName val="cmc adv"/>
      <sheetName val="rftl hbi"/>
      <sheetName val="hbi ncd"/>
      <sheetName val="F&amp;S charges -2k-01"/>
      <sheetName val="Opening Balance"/>
      <sheetName val="Propane"/>
      <sheetName val="Future Value Table (Jan 18)"/>
      <sheetName val="Costs"/>
      <sheetName val="Mar'01-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st estimation"/>
      <sheetName val="Molding Validation"/>
      <sheetName val="Costs"/>
      <sheetName val="BOP Calculation Sheet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Cleaning</v>
          </cell>
        </row>
        <row r="4">
          <cell r="A4" t="str">
            <v>Shot blasting</v>
          </cell>
        </row>
        <row r="5">
          <cell r="A5" t="str">
            <v>Phosphatation</v>
          </cell>
        </row>
        <row r="6">
          <cell r="A6" t="str">
            <v>Bonding</v>
          </cell>
        </row>
        <row r="7">
          <cell r="A7" t="str">
            <v>Moulding (400T)</v>
          </cell>
        </row>
        <row r="8">
          <cell r="A8" t="str">
            <v>Moulding (250T)</v>
          </cell>
        </row>
        <row r="9">
          <cell r="A9" t="str">
            <v>Moulding (160T)</v>
          </cell>
        </row>
        <row r="10">
          <cell r="A10" t="str">
            <v>Finishing/Deflashing</v>
          </cell>
        </row>
        <row r="11">
          <cell r="A11" t="str">
            <v>Painting</v>
          </cell>
        </row>
        <row r="12">
          <cell r="A12" t="str">
            <v>Assly</v>
          </cell>
        </row>
        <row r="13">
          <cell r="A13" t="str">
            <v>Swaging</v>
          </cell>
        </row>
        <row r="14">
          <cell r="A14" t="str">
            <v>Control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JV"/>
      <sheetName val="Opening Balance"/>
      <sheetName val="Depre on OP"/>
      <sheetName val="Additions 1998-99"/>
      <sheetName val="JV"/>
      <sheetName val="Depre Schedule"/>
      <sheetName val="Depre Schedule Land"/>
      <sheetName val="Depre Schedule Policy"/>
      <sheetName val="Land &amp; Cap WIP"/>
      <sheetName val="Land Sale"/>
      <sheetName val="Road Construction"/>
      <sheetName val="Sheet1"/>
      <sheetName val="Furniture"/>
      <sheetName val="Costs"/>
      <sheetName val="Bajaj O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ane"/>
      <sheetName val="Consumables-Mould"/>
      <sheetName val="PS-Area"/>
      <sheetName val="Material Cost"/>
    </sheetNames>
    <sheetDataSet>
      <sheetData sheetId="0">
        <row r="6">
          <cell r="E6" t="str">
            <v>Consumption</v>
          </cell>
          <cell r="F6" t="str">
            <v>Production</v>
          </cell>
        </row>
        <row r="7">
          <cell r="E7">
            <v>11552981</v>
          </cell>
          <cell r="F7">
            <v>12033550</v>
          </cell>
        </row>
        <row r="11">
          <cell r="E11">
            <v>11552981</v>
          </cell>
          <cell r="F11">
            <v>12033550</v>
          </cell>
        </row>
        <row r="16">
          <cell r="F16" t="str">
            <v>Month (Actual)</v>
          </cell>
        </row>
        <row r="17">
          <cell r="E17" t="str">
            <v>Sp. Cons</v>
          </cell>
          <cell r="F17" t="str">
            <v>Rate</v>
          </cell>
          <cell r="G17" t="str">
            <v xml:space="preserve">Cost </v>
          </cell>
          <cell r="H17" t="str">
            <v>Cost</v>
          </cell>
        </row>
        <row r="18">
          <cell r="E18" t="str">
            <v>per MT</v>
          </cell>
          <cell r="F18" t="str">
            <v>Rs. / UoM</v>
          </cell>
          <cell r="G18" t="str">
            <v>Rs. / Nm3</v>
          </cell>
          <cell r="H18" t="str">
            <v>Rs. Cr</v>
          </cell>
        </row>
        <row r="21">
          <cell r="E21">
            <v>0.77289462665093578</v>
          </cell>
          <cell r="F21">
            <v>4.0956603732074148</v>
          </cell>
          <cell r="G21">
            <v>3.1655138950391772</v>
          </cell>
          <cell r="H21">
            <v>3.657112188462361</v>
          </cell>
        </row>
        <row r="22">
          <cell r="E22">
            <v>2.1036538991785628E-3</v>
          </cell>
          <cell r="F22">
            <v>29.340210051479762</v>
          </cell>
          <cell r="G22">
            <v>6.1721647277513461E-2</v>
          </cell>
          <cell r="H22">
            <v>7.1306901828581473E-2</v>
          </cell>
        </row>
        <row r="23">
          <cell r="G23">
            <v>0.26963662891686507</v>
          </cell>
          <cell r="H23">
            <v>0.31151068507805929</v>
          </cell>
        </row>
        <row r="24">
          <cell r="G24">
            <v>8.3258069888333619E-2</v>
          </cell>
          <cell r="H24">
            <v>9.6187889951659042E-2</v>
          </cell>
        </row>
        <row r="25">
          <cell r="G25">
            <v>3.5801302411218892</v>
          </cell>
          <cell r="H25">
            <v>4.1361176653206604</v>
          </cell>
        </row>
        <row r="29">
          <cell r="E29" t="str">
            <v>Quantity Nm3</v>
          </cell>
          <cell r="F29" t="str">
            <v>Rate Rs.</v>
          </cell>
          <cell r="G29" t="str">
            <v>Rs. Cr</v>
          </cell>
        </row>
        <row r="30">
          <cell r="E30">
            <v>11552981</v>
          </cell>
          <cell r="F30">
            <v>3.5801302411218892</v>
          </cell>
          <cell r="G30">
            <v>4.1361176653206604</v>
          </cell>
        </row>
        <row r="31">
          <cell r="E31">
            <v>1455531.7</v>
          </cell>
          <cell r="F31">
            <v>13.177663543844494</v>
          </cell>
          <cell r="G31">
            <v>1.9180507019999999</v>
          </cell>
        </row>
        <row r="32">
          <cell r="E32">
            <v>13008512.699999999</v>
          </cell>
          <cell r="F32">
            <v>4.6540050403461271</v>
          </cell>
          <cell r="G32">
            <v>6.0541683673206599</v>
          </cell>
        </row>
        <row r="35">
          <cell r="E35" t="str">
            <v>Own</v>
          </cell>
          <cell r="F35" t="str">
            <v>Purchased</v>
          </cell>
          <cell r="G35" t="str">
            <v>Total</v>
          </cell>
        </row>
        <row r="36">
          <cell r="E36">
            <v>2441259.2999999998</v>
          </cell>
          <cell r="F36">
            <v>1455531.7</v>
          </cell>
          <cell r="G36">
            <v>3896791</v>
          </cell>
        </row>
        <row r="37">
          <cell r="E37">
            <v>8989721.6999999993</v>
          </cell>
          <cell r="F37">
            <v>0</v>
          </cell>
          <cell r="G37">
            <v>8989721.6999999993</v>
          </cell>
        </row>
        <row r="38">
          <cell r="E38">
            <v>116577</v>
          </cell>
          <cell r="G38">
            <v>116577</v>
          </cell>
        </row>
        <row r="39">
          <cell r="E39">
            <v>342700</v>
          </cell>
          <cell r="G39">
            <v>342700</v>
          </cell>
        </row>
        <row r="40">
          <cell r="E40">
            <v>721132.12</v>
          </cell>
          <cell r="G40">
            <v>721132.12</v>
          </cell>
        </row>
        <row r="41">
          <cell r="E41">
            <v>12611390.119999999</v>
          </cell>
          <cell r="F41">
            <v>1455531.7</v>
          </cell>
          <cell r="G41">
            <v>14066921.819999998</v>
          </cell>
        </row>
        <row r="43">
          <cell r="E43">
            <v>11552981</v>
          </cell>
        </row>
        <row r="44">
          <cell r="E44">
            <v>-1058409.1199999992</v>
          </cell>
        </row>
        <row r="45">
          <cell r="E45">
            <v>-1020058.3</v>
          </cell>
        </row>
        <row r="47">
          <cell r="E47" t="str">
            <v>Quantity Nm3</v>
          </cell>
          <cell r="F47" t="str">
            <v>Rate Rs.</v>
          </cell>
          <cell r="G47" t="str">
            <v>Rs. Cr</v>
          </cell>
        </row>
        <row r="48">
          <cell r="E48">
            <v>111455</v>
          </cell>
          <cell r="F48">
            <v>3.5801302411218892</v>
          </cell>
          <cell r="G48">
            <v>3.9902341602424014E-2</v>
          </cell>
        </row>
        <row r="49">
          <cell r="E49">
            <v>5122</v>
          </cell>
          <cell r="F49">
            <v>64.468141820857966</v>
          </cell>
          <cell r="G49">
            <v>3.3020582240643449E-2</v>
          </cell>
        </row>
        <row r="50">
          <cell r="E50">
            <v>116577</v>
          </cell>
          <cell r="F50">
            <v>6.2553440080862837</v>
          </cell>
          <cell r="G50">
            <v>7.2922923843067464E-2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b (2)"/>
      <sheetName val="deb"/>
      <sheetName val="rtl"/>
      <sheetName val="fcl"/>
      <sheetName val="guar comm"/>
      <sheetName val="commitment "/>
      <sheetName val="cmc adv"/>
      <sheetName val="Propane"/>
      <sheetName val="HBI NCD"/>
    </sheetNames>
    <sheetDataSet>
      <sheetData sheetId="0"/>
      <sheetData sheetId="1"/>
      <sheetData sheetId="2" refreshError="1">
        <row r="46">
          <cell r="A46">
            <v>5</v>
          </cell>
          <cell r="B46" t="str">
            <v>Stabdard Chartered Bank</v>
          </cell>
          <cell r="G46">
            <v>-6081237</v>
          </cell>
        </row>
        <row r="47">
          <cell r="B47" t="str">
            <v>Final Settlement</v>
          </cell>
        </row>
        <row r="49">
          <cell r="B49" t="str">
            <v>Total</v>
          </cell>
          <cell r="C49">
            <v>11757784997</v>
          </cell>
          <cell r="G49">
            <v>415514633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"/>
      <sheetName val="TJC-M"/>
      <sheetName val="TJC - Total"/>
      <sheetName val="TAPS-M"/>
      <sheetName val="TAPS-Rev"/>
      <sheetName val="TAPS-Rev (2)"/>
      <sheetName val="TAPS Valuation"/>
      <sheetName val="TTR-M"/>
      <sheetName val="TYA-M"/>
      <sheetName val="TYA-Rev"/>
      <sheetName val="TF-M"/>
      <sheetName val="TCS-M"/>
      <sheetName val="ACSI-M"/>
      <sheetName val="ACSI-Rev"/>
      <sheetName val="JBM SW"/>
      <sheetName val="JBMT"/>
      <sheetName val="TACO Engg."/>
      <sheetName val="KJBM"/>
      <sheetName val="TYU"/>
      <sheetName val="TJCEngg"/>
      <sheetName val="ASA"/>
      <sheetName val="deb"/>
      <sheetName val="TJC _ Total"/>
      <sheetName val="3_Premises"/>
      <sheetName val="masop"/>
      <sheetName val="Rate table"/>
      <sheetName val="2. Def"/>
      <sheetName val="Cost_Redn"/>
      <sheetName val="cash flow-Uk"/>
      <sheetName val="Full PBD"/>
      <sheetName val="Setup"/>
      <sheetName val="DATA SPGR14"/>
      <sheetName val="52BG0017_CC (2)"/>
      <sheetName val="MOD ADD"/>
      <sheetName val="SOB"/>
      <sheetName val="Langues"/>
      <sheetName val="Volume Sensitivity"/>
      <sheetName val="(6) CBA Exec Summary"/>
      <sheetName val="Product Sep"/>
      <sheetName val="wkg_PB00(taspo)"/>
      <sheetName val="Declaration"/>
      <sheetName val="sap_Steelman1"/>
      <sheetName val="HALOL"/>
    </sheetNames>
    <sheetDataSet>
      <sheetData sheetId="0" refreshError="1"/>
      <sheetData sheetId="1" refreshError="1"/>
      <sheetData sheetId="2" refreshError="1"/>
      <sheetData sheetId="3" refreshError="1">
        <row r="172">
          <cell r="N172">
            <v>0.35699999999999998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"/>
      <sheetName val="Data"/>
      <sheetName val="Control Chart"/>
      <sheetName val="U_Instructions CFIAT"/>
      <sheetName val="U-1_SGA BLock Reconciliation"/>
      <sheetName val="U-2_SGA Inventory Tally"/>
      <sheetName val="U-3_Depreciation Reasonability"/>
      <sheetName val="U-4_Investments &amp; FD"/>
      <sheetName val="U-5_Raw Materials Tally"/>
      <sheetName val="U-6_Yield Analysis-RMPM"/>
      <sheetName val="U-7_Finished Goods Tally"/>
      <sheetName val="U-11_Finished Goods Excise Duty"/>
      <sheetName val="U-8_Schedule VI-FG Tally &amp; RM"/>
      <sheetName val="U-9_NRV Testing-FG"/>
      <sheetName val="U-10_Container Reconciliation"/>
      <sheetName val="U-12_Accrued Expenses Turnover"/>
      <sheetName val="U-13_Excise Duty Reasonability"/>
      <sheetName val="U-14_Sales Tax Reconciliation"/>
      <sheetName val="U-15_Sales Tax Incentive"/>
      <sheetName val="U-16_OAR-Balance Sheet"/>
      <sheetName val="U-17_GP Reconciliation"/>
      <sheetName val="U-18_Qty &amp; Rate Variance_GP, NP"/>
      <sheetName val="U-19_NP Reconciliation"/>
      <sheetName val="U-20_Payroll Expense"/>
      <sheetName val="U-22_OAR-P&amp;L Account"/>
      <sheetName val="U-21_Power &amp; Fuel Expense"/>
      <sheetName val="U-23_Contingent Liabilities"/>
      <sheetName val="U-24_Ratios Chart"/>
      <sheetName val="U-25_Balance Sheet_2004"/>
      <sheetName val="U-26_P&amp;L Account_2004"/>
      <sheetName val="U-27_Schedules_2004"/>
      <sheetName val="U-28_Ross TB_2004"/>
      <sheetName val="U-29_FA Schedule_2004"/>
      <sheetName val="U-30_Additional Info_2004"/>
      <sheetName val="U-31_Miscellaneous Info_2004"/>
      <sheetName val="U-32_Inter Unit Sales-FG_2004"/>
      <sheetName val="U-33_Balance Sheet_2003"/>
      <sheetName val="U-34_P&amp;L Account_2003"/>
      <sheetName val="U-35_Schedules_2003"/>
      <sheetName val="U-36_Ross TB_2003"/>
      <sheetName val="U-37_FA Schedule_2003"/>
      <sheetName val="U-38_Additional Info_2003"/>
      <sheetName val="U-39_Miscellaneous Info_2003"/>
    </sheetNames>
    <sheetDataSet>
      <sheetData sheetId="0"/>
      <sheetData sheetId="1"/>
      <sheetData sheetId="2" refreshError="1">
        <row r="2">
          <cell r="A2" t="str">
            <v>Description</v>
          </cell>
          <cell r="B2">
            <v>37987</v>
          </cell>
          <cell r="C2">
            <v>38018</v>
          </cell>
          <cell r="D2">
            <v>38047</v>
          </cell>
          <cell r="E2">
            <v>38078</v>
          </cell>
          <cell r="F2">
            <v>38108</v>
          </cell>
          <cell r="G2">
            <v>38139</v>
          </cell>
          <cell r="H2">
            <v>38169</v>
          </cell>
          <cell r="I2">
            <v>38200</v>
          </cell>
          <cell r="J2">
            <v>38231</v>
          </cell>
          <cell r="K2">
            <v>38261</v>
          </cell>
          <cell r="L2">
            <v>38292</v>
          </cell>
          <cell r="M2">
            <v>38322</v>
          </cell>
          <cell r="N2" t="str">
            <v>YTD 2004</v>
          </cell>
          <cell r="O2" t="str">
            <v>Q1 2004</v>
          </cell>
          <cell r="P2" t="str">
            <v>Q 2 2004</v>
          </cell>
          <cell r="Q2" t="str">
            <v>Q 3 2004</v>
          </cell>
          <cell r="R2" t="str">
            <v>Q 4 2004</v>
          </cell>
          <cell r="S2" t="str">
            <v>H1 2004</v>
          </cell>
          <cell r="T2" t="str">
            <v>H2 2004</v>
          </cell>
          <cell r="U2">
            <v>37987</v>
          </cell>
          <cell r="V2">
            <v>38018</v>
          </cell>
          <cell r="W2">
            <v>38047</v>
          </cell>
          <cell r="X2">
            <v>38078</v>
          </cell>
          <cell r="Y2">
            <v>38108</v>
          </cell>
          <cell r="Z2">
            <v>38139</v>
          </cell>
          <cell r="AA2">
            <v>38169</v>
          </cell>
          <cell r="AB2">
            <v>38200</v>
          </cell>
          <cell r="AC2">
            <v>38231</v>
          </cell>
          <cell r="AD2">
            <v>38261</v>
          </cell>
          <cell r="AE2">
            <v>38292</v>
          </cell>
          <cell r="AF2">
            <v>38322</v>
          </cell>
          <cell r="AG2" t="str">
            <v>YTD 2004</v>
          </cell>
          <cell r="AH2" t="str">
            <v>Q1 2004</v>
          </cell>
          <cell r="AI2" t="str">
            <v>Q 2 2004</v>
          </cell>
          <cell r="AJ2" t="str">
            <v>Q 3 2004</v>
          </cell>
          <cell r="AK2" t="str">
            <v>Q 4 2004</v>
          </cell>
          <cell r="AL2" t="str">
            <v>H1 2004</v>
          </cell>
          <cell r="AM2" t="str">
            <v>H2 2004</v>
          </cell>
          <cell r="AN2">
            <v>37987</v>
          </cell>
          <cell r="AO2">
            <v>38018</v>
          </cell>
          <cell r="AP2">
            <v>38047</v>
          </cell>
          <cell r="AQ2">
            <v>38078</v>
          </cell>
          <cell r="AR2">
            <v>38108</v>
          </cell>
          <cell r="AS2">
            <v>38139</v>
          </cell>
          <cell r="AT2">
            <v>38169</v>
          </cell>
          <cell r="AU2">
            <v>38200</v>
          </cell>
          <cell r="AV2">
            <v>38231</v>
          </cell>
          <cell r="AW2">
            <v>38261</v>
          </cell>
          <cell r="AX2">
            <v>38292</v>
          </cell>
          <cell r="AY2">
            <v>38322</v>
          </cell>
          <cell r="AZ2" t="str">
            <v>YTD 2004</v>
          </cell>
          <cell r="BA2" t="str">
            <v>Q1 2004</v>
          </cell>
          <cell r="BB2" t="str">
            <v>Q 2 2004</v>
          </cell>
          <cell r="BC2" t="str">
            <v>Q 3 2004</v>
          </cell>
          <cell r="BD2" t="str">
            <v>Q 4 2004</v>
          </cell>
          <cell r="BE2" t="str">
            <v>H1 2004</v>
          </cell>
          <cell r="BF2" t="str">
            <v>H2 2004</v>
          </cell>
        </row>
        <row r="3">
          <cell r="A3" t="str">
            <v xml:space="preserve">Volume (Phy Cases '000s) </v>
          </cell>
        </row>
        <row r="4">
          <cell r="A4" t="str">
            <v xml:space="preserve"> - Customer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</row>
        <row r="5">
          <cell r="A5" t="str">
            <v xml:space="preserve"> - Inter-Unit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</row>
        <row r="6">
          <cell r="A6" t="str">
            <v xml:space="preserve"> - Inter-Franchise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</row>
        <row r="8">
          <cell r="A8" t="str">
            <v xml:space="preserve">Volume (Unit Cases '000s) </v>
          </cell>
        </row>
        <row r="9">
          <cell r="A9" t="str">
            <v xml:space="preserve"> - Customer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</row>
        <row r="10">
          <cell r="A10" t="str">
            <v xml:space="preserve"> - Inter-Unit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</row>
        <row r="11">
          <cell r="A11" t="str">
            <v xml:space="preserve"> - Inter-Franchise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</row>
        <row r="13">
          <cell r="A13" t="str">
            <v>Volume (Phy Cases '000s) (Input reqd)</v>
          </cell>
        </row>
        <row r="14">
          <cell r="A14" t="str">
            <v xml:space="preserve"> - Manufactured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</row>
        <row r="15">
          <cell r="A15" t="str">
            <v xml:space="preserve"> - Sourced from CBOs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</row>
        <row r="16">
          <cell r="A16" t="str">
            <v xml:space="preserve"> - Sourced from FBOs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</row>
        <row r="18">
          <cell r="A18" t="str">
            <v>Gross Revenue</v>
          </cell>
        </row>
        <row r="19">
          <cell r="A19" t="str">
            <v xml:space="preserve"> - Customer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</row>
        <row r="20">
          <cell r="A20" t="str">
            <v xml:space="preserve"> - Inter-Unit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</row>
        <row r="21">
          <cell r="A21" t="str">
            <v xml:space="preserve"> - Inter-Franchise (Input reqd)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</row>
        <row r="23">
          <cell r="A23" t="str">
            <v>Deduction From Rev. (DFR)</v>
          </cell>
        </row>
        <row r="24">
          <cell r="A24" t="str">
            <v xml:space="preserve"> - Sales Tax/ Octroi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</row>
        <row r="25">
          <cell r="A25" t="str">
            <v xml:space="preserve"> - Sales Tax Incentive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</row>
        <row r="26">
          <cell r="A26" t="str">
            <v xml:space="preserve"> - Discounts EITF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</row>
        <row r="27">
          <cell r="A27" t="str">
            <v xml:space="preserve"> - Discounts 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</row>
        <row r="29">
          <cell r="A29" t="str">
            <v>Net Revenue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</row>
        <row r="30">
          <cell r="A30" t="str">
            <v>Variable COGS</v>
          </cell>
        </row>
        <row r="31">
          <cell r="A31" t="str">
            <v xml:space="preserve"> - Concentrate/Pulp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</row>
        <row r="32">
          <cell r="A32" t="str">
            <v xml:space="preserve"> - Royalty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</row>
        <row r="33">
          <cell r="A33" t="str">
            <v xml:space="preserve"> - Sugar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</row>
        <row r="34">
          <cell r="A34" t="str">
            <v xml:space="preserve"> - Crowns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</row>
        <row r="35">
          <cell r="A35" t="str">
            <v xml:space="preserve"> - Other Raw/ Pkg materials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</row>
        <row r="36">
          <cell r="A36" t="str">
            <v xml:space="preserve"> - Contract Packaging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</row>
        <row r="37">
          <cell r="A37" t="str">
            <v xml:space="preserve"> - Excise Duty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</row>
        <row r="38">
          <cell r="A38" t="str">
            <v xml:space="preserve"> - Product sourcing cost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</row>
        <row r="39">
          <cell r="A39" t="str">
            <v xml:space="preserve"> - Product sourcing Freight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</row>
        <row r="40">
          <cell r="A40" t="str">
            <v xml:space="preserve"> - Comp &amp; Benefits (Casual) Mfg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</row>
        <row r="41">
          <cell r="A41" t="str">
            <v xml:space="preserve"> - Power/ Fuel (Plant only)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</row>
        <row r="42">
          <cell r="A42" t="str">
            <v xml:space="preserve"> - Breakage (in plant)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</row>
        <row r="43">
          <cell r="A43" t="str">
            <v xml:space="preserve"> - Misc Consumables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</row>
        <row r="44">
          <cell r="A44" t="str">
            <v xml:space="preserve"> - Price Variance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</row>
        <row r="45">
          <cell r="A45" t="str">
            <v xml:space="preserve"> - Usage Variance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</row>
        <row r="47">
          <cell r="A47" t="str">
            <v>Gross Contribution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</row>
        <row r="48">
          <cell r="A48" t="str">
            <v>Fixed Mfg Expenses</v>
          </cell>
        </row>
        <row r="49">
          <cell r="A49" t="str">
            <v xml:space="preserve"> - Comp &amp; Benefits (Permanent) Mfg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</row>
        <row r="50">
          <cell r="A50" t="str">
            <v xml:space="preserve"> - Repairs &amp; Maint (Plant only)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</row>
        <row r="51">
          <cell r="A51" t="str">
            <v xml:space="preserve"> - Depreciation (Plant)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</row>
        <row r="52">
          <cell r="A52" t="str">
            <v xml:space="preserve"> - Amortization (Glass / Bottles)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</row>
        <row r="53">
          <cell r="A53" t="str">
            <v xml:space="preserve"> - Security Expenses - Mfg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</row>
        <row r="54">
          <cell r="A54" t="str">
            <v xml:space="preserve"> - Plant G&amp;A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</row>
        <row r="55">
          <cell r="A55" t="str">
            <v xml:space="preserve"> - Pallet Expenses - Mfg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</row>
        <row r="56">
          <cell r="A56" t="str">
            <v xml:space="preserve"> - Other Fixed Mfg Exps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</row>
        <row r="57">
          <cell r="A57" t="str">
            <v xml:space="preserve"> - Overheads loading on FG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</row>
        <row r="59">
          <cell r="A59" t="str">
            <v>Gross Profit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</row>
        <row r="60">
          <cell r="A60" t="str">
            <v>Selling &amp; Distribution Exps</v>
          </cell>
        </row>
        <row r="61">
          <cell r="A61" t="str">
            <v xml:space="preserve"> - Comp &amp; Benefits (Permanent) S&amp;D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</row>
        <row r="62">
          <cell r="A62" t="str">
            <v xml:space="preserve"> - Comp &amp; Benefits (Casual) S&amp;D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</row>
        <row r="63">
          <cell r="A63" t="str">
            <v xml:space="preserve"> - Warehousing Labour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</row>
        <row r="64">
          <cell r="A64" t="str">
            <v xml:space="preserve"> - Distributors commission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</row>
        <row r="65">
          <cell r="A65" t="str">
            <v xml:space="preserve"> - Freight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</row>
        <row r="66">
          <cell r="A66" t="str">
            <v xml:space="preserve"> - Rent,Rates &amp; Taxes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</row>
        <row r="67">
          <cell r="A67" t="str">
            <v xml:space="preserve"> - C &amp; F Agent's Charges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</row>
        <row r="68">
          <cell r="A68" t="str">
            <v xml:space="preserve"> - Loading / Unloading charges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</row>
        <row r="69">
          <cell r="A69" t="str">
            <v xml:space="preserve"> - Security Expenses - S&amp;D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</row>
        <row r="70">
          <cell r="A70" t="str">
            <v xml:space="preserve"> - Warehouse breakage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</row>
        <row r="71">
          <cell r="A71" t="str">
            <v xml:space="preserve"> - Staff Welfare S&amp;D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</row>
        <row r="72">
          <cell r="A72" t="str">
            <v xml:space="preserve"> - Salesmen Incentives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</row>
        <row r="73">
          <cell r="A73" t="str">
            <v xml:space="preserve"> - Oil &amp; Fuel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</row>
        <row r="74">
          <cell r="A74" t="str">
            <v xml:space="preserve"> - SGA Maintenance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</row>
        <row r="75">
          <cell r="A75" t="str">
            <v xml:space="preserve"> - Fleet maintainence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</row>
        <row r="76">
          <cell r="A76" t="str">
            <v xml:space="preserve"> - Driver's Shortages (if any)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</row>
        <row r="77">
          <cell r="A77" t="str">
            <v xml:space="preserve"> - Depreciation  (Trucks)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A78" t="str">
            <v xml:space="preserve"> - Depreciation (SGA)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A79" t="str">
            <v xml:space="preserve"> - Ice Chest write off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A80" t="str">
            <v xml:space="preserve"> - Travel S&amp;D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A81" t="str">
            <v xml:space="preserve"> - Utilities - S&amp;D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A82" t="str">
            <v xml:space="preserve"> - Bad Debts (Liquid)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A83" t="str">
            <v xml:space="preserve"> - Bad Debts (Glass)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A84" t="str">
            <v xml:space="preserve"> - Pallet Expenses - S&amp;D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A85" t="str">
            <v xml:space="preserve"> - Empty Exchange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A86" t="str">
            <v xml:space="preserve"> - Telecommunications - S&amp;D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A87" t="str">
            <v xml:space="preserve"> - Supplies - General - Stationary - S&amp;D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A88" t="str">
            <v xml:space="preserve"> - Other S&amp;D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A90" t="str">
            <v>Marketing Expenses</v>
          </cell>
        </row>
        <row r="91">
          <cell r="A91" t="str">
            <v xml:space="preserve"> - Direct Mktg Exps 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A92" t="str">
            <v xml:space="preserve">  - Other Marketing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A94" t="str">
            <v>Admin Expenses</v>
          </cell>
        </row>
        <row r="95">
          <cell r="A95" t="str">
            <v xml:space="preserve"> - Comp &amp; Benefits (Permanent) Admin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A96" t="str">
            <v xml:space="preserve"> - Comp &amp; Benefits (Casual) Admin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A97" t="str">
            <v xml:space="preserve"> - Recruitment, Relocation &amp; Training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A98" t="str">
            <v xml:space="preserve"> - Travel Admin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A99" t="str">
            <v xml:space="preserve"> - Communication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A100" t="str">
            <v xml:space="preserve"> - IS Expenses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A101" t="str">
            <v xml:space="preserve"> - Printing / Stationery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A102" t="str">
            <v xml:space="preserve"> - Meetings / Conferences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A103" t="str">
            <v xml:space="preserve"> - Consultancy / Services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A104" t="str">
            <v xml:space="preserve"> - Insurance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A105" t="str">
            <v xml:space="preserve"> - Staff Welfare Admin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A106" t="str">
            <v xml:space="preserve">  - Depreciation (Automobiles)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A107" t="str">
            <v xml:space="preserve">  - Depreciation (IS)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A108" t="str">
            <v xml:space="preserve">  - Depreciation (Furniture &amp; Fixtures)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A109" t="str">
            <v xml:space="preserve"> - G'will / Non compete Amortisation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A110" t="str">
            <v xml:space="preserve"> - Rents - Admn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A111" t="str">
            <v xml:space="preserve"> - Utilities - Admn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A112" t="str">
            <v xml:space="preserve"> - Security Expenses - Admn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A113" t="str">
            <v xml:space="preserve"> - CCI Chargeback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A114" t="str">
            <v xml:space="preserve"> - Others Admin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A116" t="str">
            <v>Other Expenses / (Income)</v>
          </cell>
        </row>
        <row r="117">
          <cell r="A117" t="str">
            <v xml:space="preserve"> - Working Capital Charge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A118" t="str">
            <v xml:space="preserve"> - Others Income/Exps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A120" t="str">
            <v>Profit Before Tax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A121" t="str">
            <v>Cash Operating Profit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Book1"/>
      <sheetName val="SCS01915 SUPPORT COMP STRUT"/>
      <sheetName val="Sheet3"/>
      <sheetName val="Machine Hour Rate(25.02.2012)"/>
      <sheetName val="SCS01649_02 DYNAMIC INSUL FR RH"/>
      <sheetName val="27122016 cmfa+"/>
      <sheetName val="Master RM "/>
      <sheetName val="Review with Mr. Verma "/>
      <sheetName val="OPTION_3"/>
      <sheetName val="TECH SHEET"/>
      <sheetName val="TECH-SHEET"/>
      <sheetName val="Interest Rate Lead Time "/>
    </sheetNames>
    <definedNames>
      <definedName name="BS"/>
      <definedName name="PNL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Identity"/>
      <sheetName val="SEC0-DropdownList"/>
      <sheetName val="DrowDownLists"/>
      <sheetName val="Sec1-Titles"/>
      <sheetName val="Main"/>
      <sheetName val="Cover"/>
      <sheetName val="Index"/>
      <sheetName val="Sec2-Inputs"/>
      <sheetName val="P&amp;L"/>
      <sheetName val="Profit Variance"/>
      <sheetName val="Overheads-Input"/>
      <sheetName val="Sales Variance FTM"/>
      <sheetName val="Sales Variance FTM Per BU  "/>
      <sheetName val="Sales Variance FTM Per Taco"/>
      <sheetName val="Sales Variance YTD Per BU "/>
      <sheetName val="Sales Variance YTD Per Taco "/>
      <sheetName val="Customer wise sales"/>
      <sheetName val="Export countrywise Details"/>
      <sheetName val="Export Details-Input"/>
      <sheetName val="Major Models Input"/>
      <sheetName val="Balance Sheet"/>
      <sheetName val="Working Capital"/>
      <sheetName val="Fund Flow"/>
      <sheetName val="Sheet1"/>
      <sheetName val="Inventory Ageing"/>
      <sheetName val="Debtors Ageing"/>
      <sheetName val="Inter-Co"/>
      <sheetName val="Cash Flow - Input"/>
      <sheetName val="Headcount"/>
      <sheetName val="Statutory Compliance Report"/>
      <sheetName val="NFE Status"/>
      <sheetName val="Marketing"/>
      <sheetName val="Operations"/>
      <sheetName val="Conso Results"/>
      <sheetName val="Input Conso Results"/>
      <sheetName val="Parent BU"/>
      <sheetName val="BU Std List"/>
      <sheetName val="Sec3-Outputs"/>
      <sheetName val="BU-P&amp;L"/>
      <sheetName val="BU-Mthly-P&amp;L"/>
      <sheetName val="JV summary"/>
      <sheetName val="BU-Mthly-Var"/>
      <sheetName val="Inventory Graph"/>
      <sheetName val="P &amp; L Graphs"/>
      <sheetName val="Sum Fin Sts"/>
      <sheetName val="Reasonwise-Analysis"/>
      <sheetName val="Performance Highlights"/>
      <sheetName val="TACO Group Summary"/>
      <sheetName val="TACO Legal Entity"/>
      <sheetName val="TACO Var"/>
      <sheetName val="Gross Sales"/>
      <sheetName val="Net Sales"/>
      <sheetName val="Exports"/>
      <sheetName val="Value addition"/>
      <sheetName val="Gross Margin"/>
      <sheetName val="EBITDA"/>
      <sheetName val="PBT"/>
      <sheetName val="PAT"/>
      <sheetName val="Cash Profit"/>
      <sheetName val="ASA"/>
      <sheetName val="Profit Reco Summary"/>
      <sheetName val="Profit Reco Details"/>
      <sheetName val="Sales var Summary"/>
      <sheetName val="Sales Variance Details"/>
      <sheetName val="Operations Graph"/>
      <sheetName val="Export countrywise-Output"/>
      <sheetName val="TACO+TAPS Conso BS"/>
      <sheetName val="Ratios"/>
      <sheetName val="Profit Reco - Output"/>
      <sheetName val="Cash Flow-Output"/>
      <sheetName val="highlight"/>
      <sheetName val="MIS Summary"/>
      <sheetName val="Gross Sales &amp; PAT"/>
      <sheetName val="Conco Results"/>
      <sheetName val="Major Models -Output Sheet"/>
      <sheetName val="Export Details-Output"/>
      <sheetName val="Overheads-Output"/>
      <sheetName val="Sec4-Discuss"/>
      <sheetName val="Sec5-NotRequired"/>
      <sheetName val="NotReqd-TACO Brk up"/>
      <sheetName val="NotReqd-Sales BH"/>
      <sheetName val="NotReqd-Profit Reconciliation"/>
      <sheetName val="NotReqd-Profit Analysis"/>
      <sheetName val="NotReqd-Cost Reduction"/>
      <sheetName val="NotReqd-TBEM, Shinohara"/>
      <sheetName val="NotReqd-Growth Plans"/>
      <sheetName val="NotReqd-Add for Engineering"/>
      <sheetName val="NotReqd-Additional for Retail"/>
      <sheetName val="NotReqd-Additional for SCM"/>
      <sheetName val="NotReqd-WD Report"/>
      <sheetName val="ORC Template for system TF"/>
    </sheetNames>
    <sheetDataSet>
      <sheetData sheetId="0" refreshError="1"/>
      <sheetData sheetId="1" refreshError="1"/>
      <sheetData sheetId="2" refreshError="1"/>
      <sheetData sheetId="3" refreshError="1">
        <row r="2">
          <cell r="Y2" t="str">
            <v xml:space="preserve">Indica </v>
          </cell>
        </row>
        <row r="3">
          <cell r="Y3" t="str">
            <v>Rover/Indica Export</v>
          </cell>
        </row>
        <row r="4">
          <cell r="Y4" t="str">
            <v>Indigo</v>
          </cell>
        </row>
        <row r="5">
          <cell r="Y5" t="str">
            <v>Marina</v>
          </cell>
        </row>
        <row r="6">
          <cell r="Y6" t="str">
            <v>X1/X3 (proto)-Indica</v>
          </cell>
        </row>
        <row r="7">
          <cell r="Y7" t="str">
            <v>X1/X3 (proto)-Small Car</v>
          </cell>
        </row>
        <row r="8">
          <cell r="Y8" t="str">
            <v>Indica CNG (Front seats)</v>
          </cell>
        </row>
        <row r="9">
          <cell r="Y9" t="str">
            <v>Merc. Benz</v>
          </cell>
        </row>
        <row r="10">
          <cell r="Y10" t="str">
            <v>Skoda</v>
          </cell>
        </row>
        <row r="11">
          <cell r="Y11" t="str">
            <v>Honda Civic (Flr.Console)</v>
          </cell>
        </row>
        <row r="12">
          <cell r="Y12" t="str">
            <v>Palio</v>
          </cell>
        </row>
        <row r="13">
          <cell r="Y13" t="str">
            <v>Siena/Weekend</v>
          </cell>
        </row>
        <row r="14">
          <cell r="Y14" t="str">
            <v>San Storm</v>
          </cell>
        </row>
        <row r="15">
          <cell r="Y15" t="str">
            <v>Ikon (C195)</v>
          </cell>
        </row>
        <row r="16">
          <cell r="Y16" t="str">
            <v>Fusion (B226)</v>
          </cell>
        </row>
        <row r="17">
          <cell r="Y17" t="str">
            <v>Fiesta (B376)</v>
          </cell>
        </row>
        <row r="18">
          <cell r="Y18" t="str">
            <v xml:space="preserve">Sumo </v>
          </cell>
        </row>
        <row r="19">
          <cell r="Y19" t="str">
            <v>Sumo 3 Row</v>
          </cell>
        </row>
        <row r="20">
          <cell r="Y20" t="str">
            <v>Safari</v>
          </cell>
        </row>
        <row r="21">
          <cell r="Y21" t="str">
            <v>Mobile/CrewCab (FS)</v>
          </cell>
        </row>
        <row r="22">
          <cell r="Y22" t="str">
            <v>Mobile/CrewCab</v>
          </cell>
        </row>
        <row r="23">
          <cell r="Y23" t="str">
            <v>Azadi (FS)</v>
          </cell>
        </row>
        <row r="24">
          <cell r="Y24" t="str">
            <v>Azadi</v>
          </cell>
        </row>
        <row r="25">
          <cell r="Y25" t="str">
            <v>LCV407-Lck</v>
          </cell>
        </row>
        <row r="26">
          <cell r="Y26" t="str">
            <v>LCV407-Pune</v>
          </cell>
        </row>
        <row r="27">
          <cell r="Y27" t="str">
            <v>HCV1109+Mod.Cab</v>
          </cell>
        </row>
        <row r="28">
          <cell r="Y28" t="str">
            <v>Piaggio</v>
          </cell>
        </row>
        <row r="29">
          <cell r="Y29" t="str">
            <v>Daewoo Novus/HCV2516</v>
          </cell>
        </row>
        <row r="30">
          <cell r="Y30" t="str">
            <v>Ace (Cub)</v>
          </cell>
        </row>
        <row r="31">
          <cell r="Y31" t="str">
            <v>Ace (Cub-Softtop)</v>
          </cell>
        </row>
        <row r="32">
          <cell r="Y32" t="str">
            <v>Panel Van</v>
          </cell>
        </row>
        <row r="33">
          <cell r="Y33" t="str">
            <v>Radiator</v>
          </cell>
        </row>
        <row r="34">
          <cell r="Y34" t="str">
            <v>Rad - Export</v>
          </cell>
        </row>
        <row r="35">
          <cell r="Y35" t="str">
            <v>Inter Cooler</v>
          </cell>
        </row>
        <row r="36">
          <cell r="Y36" t="str">
            <v>Heater Core</v>
          </cell>
        </row>
        <row r="37">
          <cell r="Y37" t="str">
            <v>Core - Export</v>
          </cell>
        </row>
        <row r="38">
          <cell r="Y38" t="str">
            <v>ECS</v>
          </cell>
        </row>
        <row r="39">
          <cell r="Y39" t="str">
            <v>EGR Cooler</v>
          </cell>
        </row>
        <row r="40">
          <cell r="Y40" t="str">
            <v>Honda</v>
          </cell>
        </row>
        <row r="41">
          <cell r="Y41" t="str">
            <v xml:space="preserve">YC </v>
          </cell>
        </row>
        <row r="42">
          <cell r="Y42" t="str">
            <v>YC  corolla</v>
          </cell>
        </row>
        <row r="43">
          <cell r="Y43" t="str">
            <v>Wingroad Van</v>
          </cell>
        </row>
        <row r="44">
          <cell r="Y44" t="str">
            <v>TKML</v>
          </cell>
        </row>
        <row r="45">
          <cell r="Y45" t="str">
            <v>GMI</v>
          </cell>
        </row>
        <row r="46">
          <cell r="Y46" t="str">
            <v>PCBU</v>
          </cell>
        </row>
        <row r="47">
          <cell r="Y47" t="str">
            <v>YSPO</v>
          </cell>
        </row>
        <row r="48">
          <cell r="Y48" t="str">
            <v>CVBU</v>
          </cell>
        </row>
        <row r="49">
          <cell r="Y49" t="str">
            <v>Other</v>
          </cell>
        </row>
        <row r="50">
          <cell r="Y50" t="str">
            <v>Behr</v>
          </cell>
        </row>
        <row r="51">
          <cell r="Y51" t="str">
            <v>Ficosa International France</v>
          </cell>
        </row>
        <row r="52">
          <cell r="Y52" t="str">
            <v>TML Jamshedpur</v>
          </cell>
        </row>
        <row r="53">
          <cell r="Y53" t="str">
            <v>YC</v>
          </cell>
        </row>
        <row r="54">
          <cell r="Y54" t="str">
            <v>Behr</v>
          </cell>
        </row>
        <row r="55">
          <cell r="Y55" t="str">
            <v>YSPO</v>
          </cell>
        </row>
        <row r="56">
          <cell r="Y56" t="str">
            <v>Tc Techson</v>
          </cell>
        </row>
        <row r="57">
          <cell r="Y57" t="str">
            <v>Tata Motors</v>
          </cell>
        </row>
        <row r="58">
          <cell r="Y58" t="str">
            <v>PVBU</v>
          </cell>
        </row>
        <row r="59">
          <cell r="Y59" t="str">
            <v>CVBU</v>
          </cell>
        </row>
        <row r="60">
          <cell r="Y60" t="str">
            <v>Others</v>
          </cell>
        </row>
        <row r="61">
          <cell r="Y61" t="str">
            <v>General Motots</v>
          </cell>
        </row>
        <row r="62">
          <cell r="Y62" t="str">
            <v>TKML</v>
          </cell>
        </row>
        <row r="63">
          <cell r="Y63" t="str">
            <v>Honda Siel</v>
          </cell>
        </row>
        <row r="64">
          <cell r="Y64" t="str">
            <v>TS Tech Sun India Ltd</v>
          </cell>
        </row>
        <row r="65">
          <cell r="Y65" t="str">
            <v>Others</v>
          </cell>
        </row>
        <row r="66">
          <cell r="Y66" t="str">
            <v>Exports</v>
          </cell>
        </row>
        <row r="67">
          <cell r="Y67" t="str">
            <v>Component Exports</v>
          </cell>
        </row>
        <row r="68">
          <cell r="Y68" t="str">
            <v>Scorpio</v>
          </cell>
        </row>
        <row r="69">
          <cell r="Y69" t="str">
            <v>Toyota</v>
          </cell>
        </row>
        <row r="70">
          <cell r="Y70" t="str">
            <v>BROSE</v>
          </cell>
        </row>
        <row r="71">
          <cell r="Y71" t="str">
            <v>L&amp;T TRACTORS</v>
          </cell>
        </row>
        <row r="72">
          <cell r="Y72" t="str">
            <v>FIAT</v>
          </cell>
        </row>
        <row r="73">
          <cell r="Y73" t="str">
            <v>Ford IKON</v>
          </cell>
        </row>
        <row r="74">
          <cell r="Y74" t="str">
            <v>HONDA NEW CITY</v>
          </cell>
        </row>
        <row r="75">
          <cell r="Y75" t="str">
            <v>M&amp;M RENAULT</v>
          </cell>
        </row>
        <row r="76">
          <cell r="Y76" t="str">
            <v>Engineering Services</v>
          </cell>
        </row>
        <row r="77">
          <cell r="Y77" t="str">
            <v>Indica</v>
          </cell>
        </row>
        <row r="78">
          <cell r="Y78" t="str">
            <v>Indigo</v>
          </cell>
        </row>
        <row r="79">
          <cell r="Y79" t="str">
            <v>DTA SALES</v>
          </cell>
        </row>
        <row r="80">
          <cell r="Y80" t="str">
            <v>HONDA UH</v>
          </cell>
        </row>
        <row r="81">
          <cell r="Y81" t="str">
            <v>Sumo</v>
          </cell>
        </row>
        <row r="82">
          <cell r="Y82" t="str">
            <v>Hindustan Motors</v>
          </cell>
        </row>
        <row r="83">
          <cell r="Y83" t="str">
            <v>General Motors</v>
          </cell>
        </row>
        <row r="84">
          <cell r="Y84" t="str">
            <v>Cub/ACE</v>
          </cell>
        </row>
        <row r="85">
          <cell r="Y85" t="str">
            <v>Spares</v>
          </cell>
        </row>
        <row r="86">
          <cell r="Y86" t="str">
            <v>TML LCV</v>
          </cell>
        </row>
        <row r="87">
          <cell r="Y87" t="str">
            <v>EOU</v>
          </cell>
        </row>
        <row r="88">
          <cell r="Y88" t="str">
            <v>TML Indica Fr Hard CS</v>
          </cell>
        </row>
        <row r="89">
          <cell r="Y89" t="str">
            <v>TML Indigo Fr CS</v>
          </cell>
        </row>
        <row r="90">
          <cell r="Y90" t="str">
            <v>TML Indigo Rr CS</v>
          </cell>
        </row>
        <row r="91">
          <cell r="Y91" t="str">
            <v>TML Sedan Fr CS</v>
          </cell>
        </row>
        <row r="92">
          <cell r="Y92" t="str">
            <v>TML Sedan Rr CS</v>
          </cell>
        </row>
        <row r="93">
          <cell r="Y93" t="str">
            <v>TML Marina Rr CS</v>
          </cell>
        </row>
        <row r="94">
          <cell r="Y94" t="str">
            <v>TML Sumo Specio CS</v>
          </cell>
        </row>
        <row r="95">
          <cell r="Y95" t="str">
            <v>TML Safari Softer CS</v>
          </cell>
        </row>
        <row r="96">
          <cell r="Y96" t="str">
            <v>TML Lucknow Flat Load Body CS</v>
          </cell>
        </row>
        <row r="97">
          <cell r="Y97" t="str">
            <v>Mahindra Scorpio Rr CS</v>
          </cell>
        </row>
        <row r="98">
          <cell r="Y98" t="str">
            <v>Mahindra Camper CS</v>
          </cell>
        </row>
        <row r="99">
          <cell r="Y99" t="str">
            <v xml:space="preserve">Fiat Palio CS </v>
          </cell>
        </row>
        <row r="100">
          <cell r="Y100" t="str">
            <v>Innova Fr CS</v>
          </cell>
        </row>
        <row r="101">
          <cell r="Y101" t="str">
            <v>Innova Rr CS</v>
          </cell>
        </row>
        <row r="102">
          <cell r="Y102" t="str">
            <v>Scorpio Torsion Bar</v>
          </cell>
        </row>
        <row r="103">
          <cell r="Y103" t="str">
            <v>SC/DC Torsion Bar</v>
          </cell>
        </row>
        <row r="104">
          <cell r="Y104" t="str">
            <v>GM Tavera TB</v>
          </cell>
        </row>
        <row r="105">
          <cell r="Y105" t="str">
            <v>TML Indigo Fr SB</v>
          </cell>
        </row>
        <row r="106">
          <cell r="Y106" t="str">
            <v>TML Indigo Rr SB</v>
          </cell>
        </row>
        <row r="107">
          <cell r="Y107" t="str">
            <v>TML Indica Tube SB</v>
          </cell>
        </row>
        <row r="108">
          <cell r="Y108" t="str">
            <v xml:space="preserve">Fiat Palio SB Rr </v>
          </cell>
        </row>
        <row r="109">
          <cell r="Y109" t="str">
            <v>M&amp;M Scorpio SB Fr</v>
          </cell>
        </row>
        <row r="110">
          <cell r="Y110" t="str">
            <v>M&amp;M Scorpio SB Rr</v>
          </cell>
        </row>
        <row r="111">
          <cell r="Y111" t="str">
            <v>TKML Corolla Fr SB</v>
          </cell>
        </row>
        <row r="112">
          <cell r="Y112" t="str">
            <v>TKML Corolla Rr SB</v>
          </cell>
        </row>
        <row r="113">
          <cell r="Y113" t="str">
            <v>TKML Innova Fr SB</v>
          </cell>
        </row>
        <row r="114">
          <cell r="Y114" t="str">
            <v>GM Tavera SB</v>
          </cell>
        </row>
        <row r="115">
          <cell r="Y115" t="str">
            <v>TKML Striker Seat</v>
          </cell>
        </row>
        <row r="116">
          <cell r="Y116" t="str">
            <v>GM Child Parts</v>
          </cell>
        </row>
        <row r="117">
          <cell r="Y117" t="str">
            <v>TML Indica Fr Soft CS</v>
          </cell>
        </row>
        <row r="118">
          <cell r="Y118" t="str">
            <v>TML Indica Rr Soft CS</v>
          </cell>
        </row>
        <row r="119">
          <cell r="Y119" t="str">
            <v>TML Indica Rr Hard CS</v>
          </cell>
        </row>
        <row r="120">
          <cell r="Y120" t="str">
            <v>TML Marina Fr CS</v>
          </cell>
        </row>
        <row r="121">
          <cell r="Y121" t="str">
            <v>TML Tilt Cab CS</v>
          </cell>
        </row>
        <row r="122">
          <cell r="Y122" t="str">
            <v>M&amp;M Scorpio Petrol CS</v>
          </cell>
        </row>
        <row r="123">
          <cell r="Y123" t="str">
            <v>M&amp;M Scorpio Diesel CS</v>
          </cell>
        </row>
        <row r="124">
          <cell r="Y124" t="str">
            <v>M&amp;M Bolero CS</v>
          </cell>
        </row>
        <row r="125">
          <cell r="Y125" t="str">
            <v>M&amp;M Maxx CS</v>
          </cell>
        </row>
        <row r="126">
          <cell r="Y126" t="str">
            <v>M&amp;M Champion CS</v>
          </cell>
        </row>
        <row r="127">
          <cell r="Y127" t="str">
            <v>Fiat Palio CS</v>
          </cell>
        </row>
        <row r="128">
          <cell r="Y128" t="str">
            <v>TKML Corolla Fr CS</v>
          </cell>
        </row>
        <row r="129">
          <cell r="Y129" t="str">
            <v>TKML Corolla Rr CS</v>
          </cell>
        </row>
        <row r="130">
          <cell r="Y130" t="str">
            <v>Force Minidoor CS</v>
          </cell>
        </row>
        <row r="131">
          <cell r="Y131" t="str">
            <v>Piaggio CS</v>
          </cell>
        </row>
        <row r="132">
          <cell r="Y132" t="str">
            <v>M&amp;M Champion TB</v>
          </cell>
        </row>
        <row r="133">
          <cell r="Y133" t="str">
            <v>Eicher TB</v>
          </cell>
        </row>
        <row r="134">
          <cell r="Y134" t="str">
            <v>TML ADD TB</v>
          </cell>
        </row>
        <row r="135">
          <cell r="Y135" t="str">
            <v>Force Motors TB</v>
          </cell>
        </row>
        <row r="136">
          <cell r="Y136" t="str">
            <v>Marina SB</v>
          </cell>
        </row>
        <row r="137">
          <cell r="Y137" t="str">
            <v>TML Sumo SB</v>
          </cell>
        </row>
        <row r="138">
          <cell r="Y138" t="str">
            <v xml:space="preserve">TML Sumo SB Rr </v>
          </cell>
        </row>
        <row r="139">
          <cell r="Y139" t="str">
            <v>M&amp;M Armada SB</v>
          </cell>
        </row>
        <row r="140">
          <cell r="Y140" t="str">
            <v>M&amp;M 540 SB</v>
          </cell>
        </row>
        <row r="141">
          <cell r="Y141" t="str">
            <v>M&amp;M Bolero Longer Rr SB</v>
          </cell>
        </row>
        <row r="142">
          <cell r="Y142" t="str">
            <v>M&amp;M Maxx Pick-up SB</v>
          </cell>
        </row>
        <row r="143">
          <cell r="Y143" t="str">
            <v>M&amp;M Cab King SB</v>
          </cell>
        </row>
        <row r="144">
          <cell r="Y144" t="str">
            <v>Ford SB</v>
          </cell>
        </row>
        <row r="145">
          <cell r="Y145" t="str">
            <v>Piaggio SB</v>
          </cell>
        </row>
        <row r="146">
          <cell r="Y146" t="str">
            <v>HMSI &amp; HH Spring Roller</v>
          </cell>
        </row>
        <row r="147">
          <cell r="Y147" t="str">
            <v>Tata Motors Limited Passenger Vehicles</v>
          </cell>
        </row>
        <row r="148">
          <cell r="Y148" t="str">
            <v>Tata Motors Limited Commercial Vehicles</v>
          </cell>
        </row>
        <row r="149">
          <cell r="Y149" t="str">
            <v>TML Comm. and Utility Vehicles( incl JSR)</v>
          </cell>
        </row>
        <row r="150">
          <cell r="Y150" t="str">
            <v>L&amp;T John Deere</v>
          </cell>
        </row>
        <row r="151">
          <cell r="Y151" t="str">
            <v>Mahindra &amp; Mahindra</v>
          </cell>
        </row>
        <row r="152">
          <cell r="Y152" t="str">
            <v>PGVIL</v>
          </cell>
        </row>
        <row r="153">
          <cell r="Y153" t="str">
            <v>Fiat</v>
          </cell>
        </row>
        <row r="154">
          <cell r="Y154" t="str">
            <v>Tata Toyo Radiators (Taco Group Company)</v>
          </cell>
        </row>
        <row r="155">
          <cell r="Y155" t="str">
            <v>General Motors</v>
          </cell>
        </row>
        <row r="156">
          <cell r="Y156" t="str">
            <v>Gujarat Setco</v>
          </cell>
        </row>
        <row r="157">
          <cell r="Y157" t="str">
            <v>Others</v>
          </cell>
        </row>
        <row r="158">
          <cell r="Y158" t="str">
            <v>Volvo</v>
          </cell>
        </row>
        <row r="159">
          <cell r="Y159" t="str">
            <v>Exports</v>
          </cell>
        </row>
        <row r="160">
          <cell r="Y160" t="str">
            <v>TSAL</v>
          </cell>
        </row>
        <row r="161">
          <cell r="Y161" t="str">
            <v>Safari PRC &amp; Bumper Guard</v>
          </cell>
        </row>
        <row r="162">
          <cell r="Y162" t="str">
            <v>Ashok Leyland Hoods</v>
          </cell>
        </row>
        <row r="163">
          <cell r="Y163" t="str">
            <v>LTJD Hoods</v>
          </cell>
        </row>
        <row r="164">
          <cell r="Y164" t="str">
            <v>PTL Front Mask &amp; BootomCover</v>
          </cell>
        </row>
        <row r="165">
          <cell r="Y165" t="str">
            <v>NHI Hoods</v>
          </cell>
        </row>
        <row r="166">
          <cell r="Y166" t="str">
            <v>EPCOS</v>
          </cell>
        </row>
        <row r="167">
          <cell r="Y167" t="str">
            <v>Alsthom</v>
          </cell>
        </row>
        <row r="168">
          <cell r="Y168" t="str">
            <v>Eicher Rocker Cover</v>
          </cell>
        </row>
        <row r="169">
          <cell r="Y169" t="str">
            <v>TML Sill Panels &amp; Spoilers</v>
          </cell>
        </row>
        <row r="170">
          <cell r="Y170" t="str">
            <v>TML LCV Hood</v>
          </cell>
        </row>
        <row r="171">
          <cell r="Y171" t="str">
            <v>TML 2515/4018 Hoods</v>
          </cell>
        </row>
        <row r="172">
          <cell r="Y172" t="str">
            <v>Product samples for TML</v>
          </cell>
        </row>
        <row r="173">
          <cell r="Y173" t="str">
            <v>Trading Sales</v>
          </cell>
        </row>
        <row r="174">
          <cell r="Y174" t="str">
            <v>HSCI UH Cover sales</v>
          </cell>
        </row>
        <row r="175">
          <cell r="Y175" t="str">
            <v>Design &amp; Development sales-TML</v>
          </cell>
        </row>
        <row r="176">
          <cell r="Y176" t="str">
            <v>Indica MPFI Silencer</v>
          </cell>
        </row>
        <row r="177">
          <cell r="Y177" t="str">
            <v>HSCI New City</v>
          </cell>
        </row>
        <row r="178">
          <cell r="Y178" t="str">
            <v>HSCI LK</v>
          </cell>
        </row>
        <row r="179">
          <cell r="Y179" t="str">
            <v>HHML -Core-II, KTNA</v>
          </cell>
        </row>
        <row r="180">
          <cell r="Y180" t="str">
            <v>HHML -Karizma- KRY</v>
          </cell>
        </row>
        <row r="181">
          <cell r="Y181" t="str">
            <v>TML CUB Pre-Silencer</v>
          </cell>
        </row>
        <row r="182">
          <cell r="Y182" t="str">
            <v>TML 8V CCC</v>
          </cell>
        </row>
        <row r="183">
          <cell r="Y183" t="str">
            <v>Indica Diesel Silencer</v>
          </cell>
        </row>
        <row r="184">
          <cell r="Y184" t="str">
            <v>HSCI New City</v>
          </cell>
        </row>
        <row r="185">
          <cell r="Y185" t="str">
            <v>TML 8V CCC</v>
          </cell>
        </row>
        <row r="186">
          <cell r="Y186" t="str">
            <v>Indica Diesel Silencer</v>
          </cell>
        </row>
        <row r="187">
          <cell r="Y187" t="str">
            <v>Indica 1.4L DICR</v>
          </cell>
        </row>
        <row r="188">
          <cell r="Y188" t="str">
            <v>TML 1.4L DICR (CC+UBC)</v>
          </cell>
        </row>
        <row r="189">
          <cell r="Y189" t="str">
            <v>PTL Silencer</v>
          </cell>
        </row>
        <row r="190">
          <cell r="Y190" t="str">
            <v>Indica Euro-IV- Exmani + CCC</v>
          </cell>
        </row>
        <row r="191">
          <cell r="Y191" t="str">
            <v>HHML- KTNA</v>
          </cell>
        </row>
        <row r="192">
          <cell r="Y192" t="str">
            <v>HHML- KRY</v>
          </cell>
        </row>
        <row r="193">
          <cell r="Y193" t="str">
            <v>HHML- Core-1, Offset</v>
          </cell>
        </row>
        <row r="194">
          <cell r="Y194" t="str">
            <v>Indica Diesel</v>
          </cell>
        </row>
        <row r="195">
          <cell r="Y195" t="str">
            <v>HMSI - Unicorn KSPA/ KSPF</v>
          </cell>
        </row>
        <row r="196">
          <cell r="Y196" t="str">
            <v>Indica 1.4L DICR</v>
          </cell>
        </row>
        <row r="197">
          <cell r="Y197" t="str">
            <v>TML CUB / Zeta Presilencer</v>
          </cell>
        </row>
        <row r="198">
          <cell r="Y198" t="str">
            <v>PTL Silencer</v>
          </cell>
        </row>
        <row r="199">
          <cell r="Y199" t="str">
            <v>BC</v>
          </cell>
        </row>
        <row r="200">
          <cell r="Y200" t="str">
            <v>SBA</v>
          </cell>
        </row>
        <row r="201">
          <cell r="Y201" t="str">
            <v>AD</v>
          </cell>
        </row>
        <row r="202">
          <cell r="Y202" t="str">
            <v>4CPV</v>
          </cell>
        </row>
        <row r="203">
          <cell r="Y203" t="str">
            <v>HBV</v>
          </cell>
        </row>
        <row r="204">
          <cell r="Y204" t="str">
            <v>RV</v>
          </cell>
        </row>
        <row r="205">
          <cell r="Y205" t="str">
            <v>QRV</v>
          </cell>
        </row>
        <row r="206">
          <cell r="Y206" t="str">
            <v>FBV</v>
          </cell>
        </row>
        <row r="207">
          <cell r="Y207" t="str">
            <v>ABS</v>
          </cell>
        </row>
        <row r="208">
          <cell r="Y208" t="str">
            <v>Other</v>
          </cell>
        </row>
        <row r="209">
          <cell r="Y209" t="str">
            <v>Telco - Safari</v>
          </cell>
        </row>
        <row r="210">
          <cell r="Y210" t="str">
            <v>L &amp; T - JD Tractors</v>
          </cell>
        </row>
        <row r="211">
          <cell r="Y211" t="str">
            <v>G.M. India</v>
          </cell>
        </row>
        <row r="212">
          <cell r="Y212" t="str">
            <v>Tata Toyo Radiators</v>
          </cell>
        </row>
        <row r="213">
          <cell r="Y213" t="str">
            <v>Tata Ficosa</v>
          </cell>
        </row>
        <row r="214">
          <cell r="Y214" t="str">
            <v>TKML ( INNOVA)</v>
          </cell>
        </row>
        <row r="215">
          <cell r="Y215" t="str">
            <v>Indigo</v>
          </cell>
        </row>
        <row r="216">
          <cell r="Y216" t="str">
            <v>ACSI Painted SMC Parts</v>
          </cell>
        </row>
        <row r="217">
          <cell r="Y217" t="str">
            <v>TML Cub</v>
          </cell>
        </row>
        <row r="218">
          <cell r="Y218" t="str">
            <v>CORROLA</v>
          </cell>
        </row>
        <row r="219">
          <cell r="Y219" t="str">
            <v>Ford India</v>
          </cell>
        </row>
        <row r="220">
          <cell r="Y220" t="str">
            <v>Tata Sumo Facelift</v>
          </cell>
        </row>
        <row r="221">
          <cell r="Y221" t="str">
            <v>Indica DLS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Identity"/>
      <sheetName val="DrowDownLists"/>
      <sheetName val="Main"/>
      <sheetName val="Cover"/>
      <sheetName val="P&amp;L"/>
      <sheetName val="TSAL_Grossing up"/>
      <sheetName val="Sales Var FTM per Taco"/>
      <sheetName val="Sales Var YTD per Taco"/>
      <sheetName val="Profit Variance"/>
      <sheetName val="Customer wise sales"/>
      <sheetName val="Export countrywise Details"/>
      <sheetName val="Export Details-Input"/>
      <sheetName val="Overheads-Input"/>
      <sheetName val="Balance Sheet"/>
      <sheetName val="Working Capital"/>
      <sheetName val="Fund Flow"/>
      <sheetName val="Inventory Ageing"/>
      <sheetName val="Debtors Ageing"/>
      <sheetName val="Inter-Co"/>
      <sheetName val="Headcount"/>
      <sheetName val="Statutory Compliance Report"/>
      <sheetName val="NFE Status"/>
      <sheetName val="Operations"/>
      <sheetName val="Forex"/>
      <sheetName val="Inventory Graph"/>
      <sheetName val="P &amp; L Graphs"/>
      <sheetName val="Performance Highlights"/>
      <sheetName val="Operations Graph"/>
      <sheetName val="Ratios"/>
      <sheetName val="Cost Reduction"/>
      <sheetName val="TBEM, Shinohara"/>
      <sheetName val="Growth Plans"/>
      <sheetName val="UD_Sheet1"/>
      <sheetName val="UD_Sheet2"/>
      <sheetName val="UD_Sheet3"/>
      <sheetName val="UD_Sheet4"/>
      <sheetName val="UD_Sheet5"/>
      <sheetName val="UD_Sheet6"/>
      <sheetName val="UD_Sheet7"/>
      <sheetName val="UD_Sheet8"/>
      <sheetName val="UD_Sheet9"/>
      <sheetName val="UD_Sheet10"/>
      <sheetName val="UD_Sheet11"/>
      <sheetName val="UD_Sheet12"/>
      <sheetName val="UD_Sheet13"/>
      <sheetName val="UD_Sheet14"/>
      <sheetName val="UD_Sheet15"/>
    </sheetNames>
    <sheetDataSet>
      <sheetData sheetId="0" refreshError="1"/>
      <sheetData sheetId="1" refreshError="1"/>
      <sheetData sheetId="2">
        <row r="2">
          <cell r="C2" t="str">
            <v>TML - PVBU</v>
          </cell>
        </row>
        <row r="3">
          <cell r="C3" t="str">
            <v>TML - CVBU</v>
          </cell>
        </row>
        <row r="4">
          <cell r="C4" t="str">
            <v>TML - SPD</v>
          </cell>
        </row>
        <row r="5">
          <cell r="C5" t="str">
            <v>TML - Others</v>
          </cell>
        </row>
        <row r="6">
          <cell r="C6" t="str">
            <v>Hyundai Motors</v>
          </cell>
        </row>
        <row r="7">
          <cell r="C7" t="str">
            <v>Toyota Kirloskar</v>
          </cell>
        </row>
        <row r="8">
          <cell r="C8" t="str">
            <v>Honda Siel</v>
          </cell>
        </row>
        <row r="9">
          <cell r="C9" t="str">
            <v>General Motors India</v>
          </cell>
        </row>
        <row r="10">
          <cell r="C10" t="str">
            <v xml:space="preserve">General Motors </v>
          </cell>
        </row>
        <row r="11">
          <cell r="C11" t="str">
            <v>Ford India</v>
          </cell>
        </row>
        <row r="12">
          <cell r="C12" t="str">
            <v>Fiat India</v>
          </cell>
        </row>
        <row r="13">
          <cell r="C13" t="str">
            <v>Daimler Crysler</v>
          </cell>
        </row>
        <row r="14">
          <cell r="C14" t="str">
            <v>Skoda Auto India</v>
          </cell>
        </row>
        <row r="15">
          <cell r="C15" t="str">
            <v>Hindustan Motors</v>
          </cell>
        </row>
        <row r="16">
          <cell r="C16" t="str">
            <v>Force Motors</v>
          </cell>
        </row>
        <row r="17">
          <cell r="C17" t="str">
            <v>Cummins India Ltd</v>
          </cell>
        </row>
        <row r="18">
          <cell r="C18" t="str">
            <v>Subros</v>
          </cell>
        </row>
        <row r="19">
          <cell r="C19" t="str">
            <v>Swaraj</v>
          </cell>
        </row>
        <row r="20">
          <cell r="C20" t="str">
            <v>Hwashin Automotive India Pvt Ltd.</v>
          </cell>
        </row>
        <row r="21">
          <cell r="C21" t="str">
            <v>Mahindra &amp; Mahindra</v>
          </cell>
        </row>
        <row r="22">
          <cell r="C22" t="str">
            <v>Ashok Leyland</v>
          </cell>
        </row>
        <row r="23">
          <cell r="C23" t="str">
            <v>John Deere India</v>
          </cell>
        </row>
        <row r="24">
          <cell r="C24" t="str">
            <v>Volks Wagan India</v>
          </cell>
        </row>
        <row r="25">
          <cell r="C25" t="str">
            <v>Piaggio Vehicles</v>
          </cell>
        </row>
        <row r="26">
          <cell r="C26" t="str">
            <v>New Holland Tractors</v>
          </cell>
        </row>
        <row r="27">
          <cell r="C27" t="str">
            <v>Punjab Tractors</v>
          </cell>
        </row>
        <row r="28">
          <cell r="C28" t="str">
            <v>Eicher Motors Ltd</v>
          </cell>
        </row>
        <row r="29">
          <cell r="C29" t="str">
            <v>JCI Australia</v>
          </cell>
        </row>
        <row r="30">
          <cell r="C30" t="str">
            <v>JCI China</v>
          </cell>
        </row>
        <row r="31">
          <cell r="C31" t="str">
            <v>JCI France</v>
          </cell>
        </row>
        <row r="32">
          <cell r="C32" t="str">
            <v>Ficosa France</v>
          </cell>
        </row>
        <row r="33">
          <cell r="C33" t="str">
            <v>Changan Ford Mazda</v>
          </cell>
        </row>
        <row r="34">
          <cell r="C34" t="str">
            <v>Others -Scrap Sale</v>
          </cell>
        </row>
        <row r="35">
          <cell r="C35" t="str">
            <v>Others</v>
          </cell>
        </row>
        <row r="36">
          <cell r="C36" t="str">
            <v>Tata Johnsons - Mfg</v>
          </cell>
        </row>
        <row r="37">
          <cell r="C37" t="str">
            <v>Tata Johnsons - Engg</v>
          </cell>
        </row>
        <row r="38">
          <cell r="C38" t="str">
            <v>Tata Toyo</v>
          </cell>
        </row>
        <row r="39">
          <cell r="C39" t="str">
            <v>Tata Yazaki</v>
          </cell>
        </row>
        <row r="40">
          <cell r="C40" t="str">
            <v>Tata Ficosa</v>
          </cell>
        </row>
        <row r="41">
          <cell r="C41" t="str">
            <v>T C Springs</v>
          </cell>
        </row>
        <row r="42">
          <cell r="C42" t="str">
            <v>Automotive Stampings</v>
          </cell>
        </row>
        <row r="43">
          <cell r="C43" t="str">
            <v>Technical Stampings</v>
          </cell>
        </row>
        <row r="44">
          <cell r="C44" t="str">
            <v>Automotive Composites</v>
          </cell>
        </row>
        <row r="45">
          <cell r="C45" t="str">
            <v>Knorr Bremse</v>
          </cell>
        </row>
        <row r="46">
          <cell r="C46" t="str">
            <v>TACO Faurecia</v>
          </cell>
        </row>
        <row r="47">
          <cell r="C47" t="str">
            <v>TMT</v>
          </cell>
        </row>
        <row r="48">
          <cell r="C48" t="str">
            <v>TACO Visteon Engg</v>
          </cell>
        </row>
        <row r="49">
          <cell r="C49" t="str">
            <v>TACO Visteon Lighting</v>
          </cell>
        </row>
        <row r="50">
          <cell r="C50" t="str">
            <v>TACO GYIN Batteries</v>
          </cell>
        </row>
        <row r="51">
          <cell r="C51" t="str">
            <v>TACO Hendrikson</v>
          </cell>
        </row>
        <row r="52">
          <cell r="C52" t="str">
            <v>TACO Kunstsofftechnik</v>
          </cell>
        </row>
        <row r="53">
          <cell r="C53" t="str">
            <v>TACO GW</v>
          </cell>
        </row>
        <row r="54">
          <cell r="C54" t="str">
            <v>TACO Sasken</v>
          </cell>
        </row>
        <row r="55">
          <cell r="C55" t="str">
            <v>TACO Stadco</v>
          </cell>
        </row>
        <row r="56">
          <cell r="C56" t="str">
            <v>China Office</v>
          </cell>
        </row>
        <row r="57">
          <cell r="C57" t="str">
            <v>Thailand Office</v>
          </cell>
        </row>
        <row r="58">
          <cell r="C58" t="str">
            <v>Tata Nifco</v>
          </cell>
        </row>
        <row r="59">
          <cell r="C59" t="str">
            <v>TACO Holding (Mauritius) Ltd</v>
          </cell>
        </row>
        <row r="60">
          <cell r="C60" t="str">
            <v>Tata AutoComp - Engineering</v>
          </cell>
        </row>
        <row r="61">
          <cell r="C61" t="str">
            <v>Tata AutoComp - SCM</v>
          </cell>
        </row>
        <row r="62">
          <cell r="C62" t="str">
            <v>Tata AutoComp - TTBU</v>
          </cell>
        </row>
        <row r="63">
          <cell r="C63" t="str">
            <v>Tata AutoComp - Corporate</v>
          </cell>
        </row>
        <row r="64">
          <cell r="C64" t="str">
            <v>Tata AutoComp - IPD</v>
          </cell>
        </row>
        <row r="65">
          <cell r="C65" t="str">
            <v>Borg Warner</v>
          </cell>
        </row>
        <row r="66">
          <cell r="C66" t="str">
            <v>General Electrical</v>
          </cell>
        </row>
        <row r="67">
          <cell r="C67" t="str">
            <v>Honeywell China</v>
          </cell>
        </row>
        <row r="68">
          <cell r="C68" t="str">
            <v>Honeywell Italy</v>
          </cell>
        </row>
        <row r="69">
          <cell r="C69" t="str">
            <v>Honeywell Romania</v>
          </cell>
        </row>
        <row r="70">
          <cell r="C70" t="str">
            <v>Honeywell UK</v>
          </cell>
        </row>
        <row r="71">
          <cell r="C71" t="str">
            <v>Husqvarna AB Sweden</v>
          </cell>
        </row>
        <row r="72">
          <cell r="C72" t="str">
            <v>Husqvarna Turf Care</v>
          </cell>
        </row>
        <row r="73">
          <cell r="C73" t="str">
            <v>Knorr Bremse</v>
          </cell>
        </row>
        <row r="74">
          <cell r="C74" t="str">
            <v>Lotus Cars Ltd</v>
          </cell>
        </row>
        <row r="75">
          <cell r="C75" t="str">
            <v>Modenas</v>
          </cell>
        </row>
        <row r="76">
          <cell r="C76" t="str">
            <v>SAAB Automotive</v>
          </cell>
        </row>
        <row r="77">
          <cell r="C77" t="str">
            <v>STIHL Ltd.</v>
          </cell>
        </row>
        <row r="78">
          <cell r="C78" t="str">
            <v>TR Fastners</v>
          </cell>
        </row>
        <row r="79">
          <cell r="C79" t="str">
            <v>Audi</v>
          </cell>
        </row>
        <row r="80">
          <cell r="C80" t="str">
            <v>Bentley (VW Group)</v>
          </cell>
        </row>
        <row r="81">
          <cell r="C81" t="str">
            <v>Faurecia</v>
          </cell>
        </row>
        <row r="82">
          <cell r="C82" t="str">
            <v>Faurecia Automotive Espana</v>
          </cell>
        </row>
        <row r="83">
          <cell r="C83" t="str">
            <v>Faurecia Bruessel N.V. Belgium</v>
          </cell>
        </row>
        <row r="84">
          <cell r="C84" t="str">
            <v>Faurecia Interieur Industrie France</v>
          </cell>
        </row>
        <row r="85">
          <cell r="C85" t="str">
            <v>Faurecia Interior Bohemia</v>
          </cell>
        </row>
        <row r="86">
          <cell r="C86" t="str">
            <v>Findlay Industries Mexico</v>
          </cell>
        </row>
        <row r="87">
          <cell r="C87" t="str">
            <v>Ford Europe</v>
          </cell>
        </row>
        <row r="88">
          <cell r="C88" t="str">
            <v>GM Europe</v>
          </cell>
        </row>
        <row r="89">
          <cell r="C89" t="str">
            <v>GM Manufacturing Gliwice Poland</v>
          </cell>
        </row>
        <row r="90">
          <cell r="C90" t="str">
            <v>Gräb Kunststofftechnik</v>
          </cell>
        </row>
        <row r="91">
          <cell r="C91" t="str">
            <v>Grupo Antolin Pune P.Ltd.</v>
          </cell>
        </row>
        <row r="92">
          <cell r="C92" t="str">
            <v>Grupo Antolin Mexico</v>
          </cell>
        </row>
        <row r="93">
          <cell r="C93" t="str">
            <v>Grupo Antolin South Africa</v>
          </cell>
        </row>
        <row r="94">
          <cell r="C94" t="str">
            <v>IAC Group Slovakia</v>
          </cell>
        </row>
        <row r="95">
          <cell r="C95" t="str">
            <v>Intier</v>
          </cell>
        </row>
        <row r="96">
          <cell r="C96" t="str">
            <v>Karmann</v>
          </cell>
        </row>
        <row r="97">
          <cell r="C97" t="str">
            <v>Lamborghini Italy</v>
          </cell>
        </row>
        <row r="98">
          <cell r="C98" t="str">
            <v>Lear</v>
          </cell>
        </row>
        <row r="99">
          <cell r="C99" t="str">
            <v>Lear Slovakia</v>
          </cell>
        </row>
        <row r="100">
          <cell r="C100" t="str">
            <v>Others</v>
          </cell>
        </row>
        <row r="101">
          <cell r="C101" t="str">
            <v>Peguform</v>
          </cell>
        </row>
        <row r="102">
          <cell r="C102" t="str">
            <v>Plastal</v>
          </cell>
        </row>
        <row r="103">
          <cell r="C103" t="str">
            <v>Reitter &amp; Schefenacker</v>
          </cell>
        </row>
        <row r="104">
          <cell r="C104" t="str">
            <v>SAS Automotive Belgium</v>
          </cell>
        </row>
        <row r="105">
          <cell r="C105" t="str">
            <v>Seat S.A. (VW Group)</v>
          </cell>
        </row>
        <row r="106">
          <cell r="C106" t="str">
            <v>Skoda Auto Czech Republik</v>
          </cell>
        </row>
        <row r="107">
          <cell r="C107" t="str">
            <v>Teclac Werner</v>
          </cell>
        </row>
        <row r="108">
          <cell r="C108" t="str">
            <v>Vibracoustic</v>
          </cell>
        </row>
        <row r="109">
          <cell r="C109" t="str">
            <v>Vogel Kunststofftechnik GmbH</v>
          </cell>
        </row>
        <row r="110">
          <cell r="C110" t="str">
            <v>VW Bruxelles S.A.</v>
          </cell>
        </row>
        <row r="111">
          <cell r="C111" t="str">
            <v>VW Do Brasil (VW Group)</v>
          </cell>
        </row>
        <row r="112">
          <cell r="C112" t="str">
            <v>VW Group</v>
          </cell>
        </row>
        <row r="113">
          <cell r="C113" t="str">
            <v>VW Navarra Portugal</v>
          </cell>
        </row>
        <row r="114">
          <cell r="C114" t="str">
            <v>VW Poznan</v>
          </cell>
        </row>
        <row r="115">
          <cell r="C115" t="str">
            <v>VW Slovakia</v>
          </cell>
        </row>
        <row r="116">
          <cell r="C116" t="str">
            <v>Zeibina Kunststofftechnik</v>
          </cell>
        </row>
        <row r="117">
          <cell r="C117" t="str">
            <v>Faurecia - Audincourt</v>
          </cell>
        </row>
        <row r="118">
          <cell r="C118" t="str">
            <v>Faurecia - Brieres</v>
          </cell>
        </row>
        <row r="119">
          <cell r="C119" t="str">
            <v>Faurecia - Germany</v>
          </cell>
        </row>
        <row r="120">
          <cell r="C120" t="str">
            <v>Faurecia - Meru</v>
          </cell>
        </row>
        <row r="121">
          <cell r="C121" t="str">
            <v>Faurecia - Mouzon</v>
          </cell>
        </row>
        <row r="122">
          <cell r="C122" t="str">
            <v>Faurecia - Neuburg</v>
          </cell>
        </row>
        <row r="123">
          <cell r="C123" t="str">
            <v>Faurecia - Nogent</v>
          </cell>
        </row>
        <row r="124">
          <cell r="C124" t="str">
            <v>Faurecia - Russelsheim</v>
          </cell>
        </row>
        <row r="125">
          <cell r="C125" t="str">
            <v>Faurecia - Spain</v>
          </cell>
        </row>
        <row r="126">
          <cell r="C126" t="str">
            <v>Faurecia - Stadthagen</v>
          </cell>
        </row>
        <row r="127">
          <cell r="C127" t="str">
            <v>Faurecia - Sweden</v>
          </cell>
        </row>
        <row r="128">
          <cell r="C128" t="str">
            <v>Faurecia - USA</v>
          </cell>
        </row>
        <row r="129">
          <cell r="C129" t="str">
            <v>Visteon Germany</v>
          </cell>
        </row>
        <row r="130">
          <cell r="C130" t="str">
            <v>Visteon India</v>
          </cell>
        </row>
        <row r="131">
          <cell r="C131" t="str">
            <v>Visteon UK</v>
          </cell>
        </row>
        <row r="132">
          <cell r="C132" t="str">
            <v>Visteon France</v>
          </cell>
        </row>
        <row r="133">
          <cell r="C133" t="str">
            <v>Visteon USA</v>
          </cell>
        </row>
        <row r="134">
          <cell r="C134" t="str">
            <v>JCI-Australia</v>
          </cell>
        </row>
        <row r="135">
          <cell r="C135" t="str">
            <v>JCI- Chemsford (Germany)</v>
          </cell>
        </row>
        <row r="136">
          <cell r="C136" t="str">
            <v>JCI-China (Changchun)</v>
          </cell>
        </row>
        <row r="137">
          <cell r="C137" t="str">
            <v>JCI-China (Shanghai)</v>
          </cell>
        </row>
        <row r="138">
          <cell r="C138" t="str">
            <v>JCI-China(Shanghai REP.OFF)</v>
          </cell>
        </row>
        <row r="139">
          <cell r="C139" t="str">
            <v>JCI-Creutzwald</v>
          </cell>
        </row>
        <row r="140">
          <cell r="C140" t="str">
            <v>JCI-France</v>
          </cell>
        </row>
        <row r="141">
          <cell r="C141" t="str">
            <v>JCI-France (Roth Sas)</v>
          </cell>
        </row>
        <row r="142">
          <cell r="C142" t="str">
            <v>JCI-France(Pontoise)</v>
          </cell>
        </row>
        <row r="143">
          <cell r="C143" t="str">
            <v>JCI-Germany (Bursch)</v>
          </cell>
        </row>
        <row r="144">
          <cell r="C144" t="str">
            <v>JCI-Germany (Grefrath)</v>
          </cell>
        </row>
        <row r="145">
          <cell r="C145" t="str">
            <v>JCI-Japan</v>
          </cell>
        </row>
        <row r="146">
          <cell r="C146" t="str">
            <v>JCI-Korea</v>
          </cell>
        </row>
        <row r="147">
          <cell r="C147" t="str">
            <v>JCI-Malaysia</v>
          </cell>
        </row>
        <row r="148">
          <cell r="C148" t="str">
            <v>JCI-Singapore</v>
          </cell>
        </row>
        <row r="149">
          <cell r="C149" t="str">
            <v>JCI-Sweden</v>
          </cell>
        </row>
        <row r="150">
          <cell r="C150" t="str">
            <v>JCI-Thailand (Rayong)</v>
          </cell>
        </row>
        <row r="151">
          <cell r="C151" t="str">
            <v>JCI-Toyota Burtun</v>
          </cell>
        </row>
        <row r="152">
          <cell r="C152" t="str">
            <v>JCI-Trencin</v>
          </cell>
        </row>
        <row r="153">
          <cell r="C153" t="str">
            <v>JCI-UK (Leamington Spa)</v>
          </cell>
        </row>
        <row r="154">
          <cell r="C154" t="str">
            <v>JCI-UK (Redditch)</v>
          </cell>
        </row>
        <row r="155">
          <cell r="C155" t="str">
            <v>JCI-UK (Sunderland)</v>
          </cell>
        </row>
        <row r="156">
          <cell r="C156" t="str">
            <v>JCI-USA (Holland-MI)</v>
          </cell>
        </row>
        <row r="157">
          <cell r="C157" t="str">
            <v>JCI-USA (Plymouth)</v>
          </cell>
        </row>
        <row r="158">
          <cell r="C158" t="str">
            <v>Intertec Systems, Michigan, USA</v>
          </cell>
        </row>
        <row r="159">
          <cell r="C159" t="str">
            <v>Irvan Automotive</v>
          </cell>
        </row>
        <row r="160">
          <cell r="C160" t="str">
            <v>Autoseat S.A.D.E.Cv-Mexico</v>
          </cell>
        </row>
        <row r="161">
          <cell r="C161" t="str">
            <v>Green Industrial Supply.Inc.</v>
          </cell>
        </row>
        <row r="162">
          <cell r="C162" t="str">
            <v>Australia Arrow Pty Ltd.</v>
          </cell>
        </row>
        <row r="163">
          <cell r="C163" t="str">
            <v>Automotive Lighting Rare Lamps, Italia</v>
          </cell>
        </row>
        <row r="164">
          <cell r="C164" t="str">
            <v>Calsonic Kansei</v>
          </cell>
        </row>
        <row r="165">
          <cell r="C165" t="str">
            <v>CERA - France</v>
          </cell>
        </row>
        <row r="166">
          <cell r="C166" t="str">
            <v>Faurecia Interiors</v>
          </cell>
        </row>
        <row r="167">
          <cell r="C167" t="str">
            <v>Faurecia Syst. D'echappt</v>
          </cell>
        </row>
        <row r="168">
          <cell r="C168" t="str">
            <v>Hill-Rom</v>
          </cell>
        </row>
        <row r="169">
          <cell r="C169" t="str">
            <v>HUF HULSBECK &amp; FURST GMBH &amp; CO. KG</v>
          </cell>
        </row>
        <row r="170">
          <cell r="C170" t="str">
            <v>Ichikoh Industries Ltd, Japan</v>
          </cell>
        </row>
        <row r="171">
          <cell r="C171" t="str">
            <v>Mecaprom Vps Italia SURL</v>
          </cell>
        </row>
        <row r="172">
          <cell r="C172" t="str">
            <v>Stadco-Uk</v>
          </cell>
        </row>
        <row r="173">
          <cell r="C173" t="str">
            <v>Tata Consultany Services</v>
          </cell>
        </row>
        <row r="174">
          <cell r="C174" t="str">
            <v>Valeo-Sylvania</v>
          </cell>
        </row>
        <row r="175">
          <cell r="C175" t="str">
            <v>Yazaki Corporation, Japan</v>
          </cell>
        </row>
        <row r="176">
          <cell r="C176" t="str">
            <v>Yazaki North America Inc.</v>
          </cell>
        </row>
        <row r="177">
          <cell r="C177" t="str">
            <v>YK Design Link, JAPAN</v>
          </cell>
        </row>
        <row r="178">
          <cell r="C178" t="str">
            <v>Borg Warner</v>
          </cell>
        </row>
        <row r="179">
          <cell r="C179" t="str">
            <v>General Electrical</v>
          </cell>
        </row>
        <row r="180">
          <cell r="C180" t="str">
            <v>Honeywell China</v>
          </cell>
        </row>
        <row r="181">
          <cell r="C181" t="str">
            <v>Honeywell Italy</v>
          </cell>
        </row>
        <row r="182">
          <cell r="C182" t="str">
            <v>Honeywell Romania</v>
          </cell>
        </row>
        <row r="183">
          <cell r="C183" t="str">
            <v>Honeywell UK</v>
          </cell>
        </row>
        <row r="184">
          <cell r="C184" t="str">
            <v>Husqvarna AB Sweden</v>
          </cell>
        </row>
        <row r="185">
          <cell r="C185" t="str">
            <v>Husqvarna Turf Care</v>
          </cell>
        </row>
        <row r="186">
          <cell r="C186" t="str">
            <v>Knorr Bremse</v>
          </cell>
        </row>
        <row r="187">
          <cell r="C187" t="str">
            <v>Lotus Cars Ltd</v>
          </cell>
        </row>
        <row r="188">
          <cell r="C188" t="str">
            <v>Modenas</v>
          </cell>
        </row>
        <row r="189">
          <cell r="C189" t="str">
            <v>SAAB Automotive</v>
          </cell>
        </row>
        <row r="190">
          <cell r="C190" t="str">
            <v>STIHL Ltd.</v>
          </cell>
        </row>
        <row r="191">
          <cell r="C191" t="str">
            <v>TR Fastners</v>
          </cell>
        </row>
        <row r="192">
          <cell r="C192" t="str">
            <v>Toyota Boshuka Auto P.Ltd. (Araco)</v>
          </cell>
        </row>
        <row r="193">
          <cell r="C193" t="str">
            <v>Royal Enfield Motors</v>
          </cell>
        </row>
        <row r="194">
          <cell r="C194" t="str">
            <v>Haworth (India) Pvt.Ltd.</v>
          </cell>
        </row>
        <row r="195">
          <cell r="C195" t="str">
            <v>San Motors Ltd.</v>
          </cell>
        </row>
        <row r="196">
          <cell r="C196" t="str">
            <v>Truck-Bodybuilders</v>
          </cell>
        </row>
        <row r="197">
          <cell r="C197" t="str">
            <v>Motherson Automotive Tech</v>
          </cell>
        </row>
        <row r="198">
          <cell r="C198" t="str">
            <v>John Deere Dubuque works</v>
          </cell>
        </row>
        <row r="199">
          <cell r="C199" t="str">
            <v>JCI-Pretoria(South Africa)</v>
          </cell>
        </row>
        <row r="200">
          <cell r="C200" t="str">
            <v>JCI-Mexico</v>
          </cell>
        </row>
        <row r="201">
          <cell r="C201" t="str">
            <v>Air International Pvt Ltd</v>
          </cell>
        </row>
        <row r="202">
          <cell r="C202" t="str">
            <v>Air International Thermal</v>
          </cell>
        </row>
        <row r="203">
          <cell r="C203" t="str">
            <v>Titan Worldwide Logistics</v>
          </cell>
        </row>
        <row r="204">
          <cell r="C204" t="str">
            <v>Cummins Power Generation</v>
          </cell>
        </row>
        <row r="205">
          <cell r="C205" t="str">
            <v>Hachiuma Seisakusyo Co Ltd</v>
          </cell>
        </row>
        <row r="206">
          <cell r="C206" t="str">
            <v>Rising Sun Heatexchanger</v>
          </cell>
        </row>
        <row r="207">
          <cell r="C207" t="str">
            <v>Tata Cummins Ltd.</v>
          </cell>
        </row>
        <row r="208">
          <cell r="C208" t="str">
            <v>Yazaki Corporation Sales A/c.</v>
          </cell>
        </row>
        <row r="209">
          <cell r="C209" t="str">
            <v>Yazaki Saltono De Portugal</v>
          </cell>
        </row>
        <row r="210">
          <cell r="C210" t="str">
            <v>Behr India Ltd. - Export Sales</v>
          </cell>
        </row>
        <row r="211">
          <cell r="C211" t="str">
            <v>Ficosa International</v>
          </cell>
        </row>
        <row r="212">
          <cell r="C212" t="str">
            <v>ADITYA AUTO (I) PVT LTD</v>
          </cell>
        </row>
        <row r="213">
          <cell r="C213" t="str">
            <v>Brose Canada</v>
          </cell>
        </row>
        <row r="214">
          <cell r="C214" t="str">
            <v>Renowned Auto Products</v>
          </cell>
        </row>
        <row r="215">
          <cell r="C215" t="str">
            <v>Gabriel India Ltd</v>
          </cell>
        </row>
        <row r="216">
          <cell r="C216" t="str">
            <v>Sharada Motors Industries Ltd</v>
          </cell>
        </row>
        <row r="217">
          <cell r="C217" t="str">
            <v>Honda Motorcycle &amp; Scooter India P Ltd</v>
          </cell>
        </row>
        <row r="218">
          <cell r="C218" t="str">
            <v>Testo Engg</v>
          </cell>
        </row>
        <row r="219">
          <cell r="C219" t="str">
            <v>Kinetic Engg</v>
          </cell>
        </row>
        <row r="220">
          <cell r="C220" t="str">
            <v>Volvo</v>
          </cell>
        </row>
        <row r="221">
          <cell r="C221" t="str">
            <v>Others</v>
          </cell>
        </row>
        <row r="222">
          <cell r="C222" t="str">
            <v>Setco Automotive</v>
          </cell>
        </row>
        <row r="223">
          <cell r="C223" t="str">
            <v>Trelleborg</v>
          </cell>
        </row>
        <row r="224">
          <cell r="C224" t="str">
            <v>R&amp;O</v>
          </cell>
        </row>
        <row r="225">
          <cell r="C225" t="str">
            <v>Asahi India Glass</v>
          </cell>
        </row>
        <row r="226">
          <cell r="C226" t="str">
            <v>Saint Gobain</v>
          </cell>
        </row>
        <row r="227">
          <cell r="C227" t="str">
            <v>Hanil lear india pvt ltd</v>
          </cell>
        </row>
        <row r="228">
          <cell r="C228" t="str">
            <v>Mobis</v>
          </cell>
        </row>
        <row r="229">
          <cell r="C229" t="str">
            <v>TI Metal</v>
          </cell>
        </row>
        <row r="230">
          <cell r="C230" t="str">
            <v>Bendix Spicer Foundation</v>
          </cell>
        </row>
        <row r="231">
          <cell r="C231" t="str">
            <v>KB SFN</v>
          </cell>
        </row>
        <row r="232">
          <cell r="C232" t="str">
            <v>Safexpress</v>
          </cell>
        </row>
        <row r="233">
          <cell r="C233" t="str">
            <v>BOC India Web</v>
          </cell>
        </row>
        <row r="234">
          <cell r="C234" t="str">
            <v>BPCL</v>
          </cell>
        </row>
        <row r="235">
          <cell r="C235" t="str">
            <v>AXA</v>
          </cell>
        </row>
        <row r="236">
          <cell r="C236" t="str">
            <v>Stadco-Uk</v>
          </cell>
        </row>
        <row r="237">
          <cell r="C237" t="str">
            <v>AAPL</v>
          </cell>
        </row>
        <row r="238">
          <cell r="C238" t="str">
            <v>GRAMMER</v>
          </cell>
        </row>
        <row r="239">
          <cell r="C239" t="str">
            <v>YNA</v>
          </cell>
        </row>
        <row r="240">
          <cell r="C240" t="str">
            <v>Ichikoh</v>
          </cell>
        </row>
        <row r="241">
          <cell r="C241" t="str">
            <v>Calsonic Kansei</v>
          </cell>
        </row>
        <row r="242">
          <cell r="C242" t="str">
            <v>Mecaprom Vps Italia SURL</v>
          </cell>
        </row>
        <row r="243">
          <cell r="C243" t="str">
            <v>YKDL, JAPAN</v>
          </cell>
        </row>
        <row r="244">
          <cell r="C244" t="str">
            <v>AL Lighting, Italy</v>
          </cell>
        </row>
        <row r="245">
          <cell r="C245" t="str">
            <v>TCS</v>
          </cell>
        </row>
        <row r="246">
          <cell r="C246" t="str">
            <v>WAGON</v>
          </cell>
        </row>
        <row r="247">
          <cell r="C247" t="str">
            <v>HUF Hulsbeck &amp; Furst GMBH &amp; CO. KG</v>
          </cell>
        </row>
        <row r="248">
          <cell r="C248" t="str">
            <v>CZ - Czech Republic</v>
          </cell>
        </row>
        <row r="249">
          <cell r="C249" t="str">
            <v>Bajaj Auto</v>
          </cell>
        </row>
        <row r="250">
          <cell r="C250" t="str">
            <v>Behr India Ltd</v>
          </cell>
        </row>
        <row r="251">
          <cell r="C251" t="str">
            <v>Minda HUF</v>
          </cell>
        </row>
        <row r="252">
          <cell r="C252" t="str">
            <v>Precision Pipes &amp; Profile</v>
          </cell>
        </row>
        <row r="253">
          <cell r="C253" t="str">
            <v>Adam Opel</v>
          </cell>
        </row>
        <row r="254">
          <cell r="C254" t="str">
            <v>ABC</v>
          </cell>
        </row>
        <row r="255">
          <cell r="C255" t="str">
            <v>BlackHawk</v>
          </cell>
        </row>
        <row r="256">
          <cell r="C256" t="str">
            <v>Holden</v>
          </cell>
        </row>
        <row r="257">
          <cell r="C257" t="str">
            <v>Mahindra Renault Ltd</v>
          </cell>
        </row>
        <row r="258">
          <cell r="C258" t="str">
            <v>Faureica Fliers</v>
          </cell>
        </row>
        <row r="259">
          <cell r="C259" t="str">
            <v>Faurecia Troy USA</v>
          </cell>
        </row>
        <row r="260">
          <cell r="C260" t="str">
            <v>Mahindra International</v>
          </cell>
        </row>
        <row r="261">
          <cell r="C261" t="str">
            <v>Faurecia China</v>
          </cell>
        </row>
        <row r="262">
          <cell r="C262" t="str">
            <v>Stock Transfer</v>
          </cell>
        </row>
        <row r="263">
          <cell r="C263" t="str">
            <v>T60</v>
          </cell>
        </row>
        <row r="264">
          <cell r="C264" t="str">
            <v>T61</v>
          </cell>
        </row>
        <row r="265">
          <cell r="C265" t="str">
            <v>T62</v>
          </cell>
        </row>
        <row r="266">
          <cell r="C266" t="str">
            <v>T63</v>
          </cell>
        </row>
        <row r="267">
          <cell r="C267" t="str">
            <v>T64</v>
          </cell>
        </row>
        <row r="268">
          <cell r="C268" t="str">
            <v>T65</v>
          </cell>
        </row>
        <row r="269">
          <cell r="C269" t="str">
            <v>T66</v>
          </cell>
        </row>
        <row r="270">
          <cell r="C270" t="str">
            <v>T67</v>
          </cell>
        </row>
        <row r="271">
          <cell r="C271" t="str">
            <v>T68</v>
          </cell>
        </row>
        <row r="272">
          <cell r="C272" t="str">
            <v>T69</v>
          </cell>
        </row>
        <row r="273">
          <cell r="C273" t="str">
            <v>T70</v>
          </cell>
        </row>
        <row r="274">
          <cell r="C274" t="str">
            <v>T71</v>
          </cell>
        </row>
        <row r="275">
          <cell r="C275" t="str">
            <v>T72</v>
          </cell>
        </row>
        <row r="276">
          <cell r="C276" t="str">
            <v>T73</v>
          </cell>
        </row>
        <row r="277">
          <cell r="C277" t="str">
            <v>T74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ff.int.summary"/>
      <sheetName val="diff"/>
      <sheetName val="comp"/>
      <sheetName val="deb TDS"/>
      <sheetName val="deb"/>
      <sheetName val="rtl"/>
      <sheetName val="fcl"/>
      <sheetName val="rtl tds"/>
      <sheetName val="guar comm"/>
      <sheetName val="commitment "/>
      <sheetName val="intcmcdet"/>
      <sheetName val="cmc adv"/>
      <sheetName val="rftl hbi"/>
      <sheetName val="hbi ncd"/>
      <sheetName val="F&amp;S charges -2k-01"/>
      <sheetName val="DrowDownLists"/>
      <sheetName val="Mar'01OD INT-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III, IV"/>
      <sheetName val="HBI,HRC&amp;CORP SUMM"/>
      <sheetName val="corp"/>
      <sheetName val="HBI NCD"/>
      <sheetName val="HBI RTL"/>
      <sheetName val="HBI WC"/>
      <sheetName val="HRC - NCD, RTL, WCDL"/>
      <sheetName val="ncd14%"/>
      <sheetName val="HBI &amp; HRC - FCL"/>
      <sheetName val="HBI &amp; HRC - FCL (2)"/>
      <sheetName val="HBI WC (2)"/>
      <sheetName val="fcl"/>
      <sheetName val="DrowDownLists"/>
      <sheetName val="Propa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st estimation"/>
      <sheetName val="Molding Validation"/>
      <sheetName val="Costs"/>
      <sheetName val="BOP Calculation Sheet"/>
      <sheetName val="Launch Review"/>
    </sheetNames>
    <sheetDataSet>
      <sheetData sheetId="0"/>
      <sheetData sheetId="1"/>
      <sheetData sheetId="2"/>
      <sheetData sheetId="3">
        <row r="3">
          <cell r="A3" t="str">
            <v>Cleaning PCE</v>
          </cell>
        </row>
        <row r="4">
          <cell r="A4" t="str">
            <v>Cleaning</v>
          </cell>
        </row>
        <row r="5">
          <cell r="A5" t="str">
            <v>Shot blasting</v>
          </cell>
        </row>
        <row r="6">
          <cell r="A6" t="str">
            <v>Phosphatation</v>
          </cell>
        </row>
        <row r="7">
          <cell r="A7" t="str">
            <v>Bonding</v>
          </cell>
        </row>
        <row r="8">
          <cell r="A8" t="str">
            <v>Moulding (400T)</v>
          </cell>
        </row>
        <row r="9">
          <cell r="A9" t="str">
            <v>Moulding (250T)</v>
          </cell>
        </row>
        <row r="10">
          <cell r="A10" t="str">
            <v>Moulding (160T)</v>
          </cell>
        </row>
        <row r="11">
          <cell r="A11" t="str">
            <v>Finishing/Deflashing</v>
          </cell>
        </row>
        <row r="12">
          <cell r="A12" t="str">
            <v>Painting</v>
          </cell>
        </row>
        <row r="13">
          <cell r="A13" t="str">
            <v>Assly</v>
          </cell>
        </row>
        <row r="14">
          <cell r="A14" t="str">
            <v>Swadging</v>
          </cell>
        </row>
        <row r="15">
          <cell r="A15" t="str">
            <v>Control (manual)</v>
          </cell>
        </row>
        <row r="16">
          <cell r="A16" t="str">
            <v>Control (product testing)</v>
          </cell>
        </row>
        <row r="17">
          <cell r="A17" t="str">
            <v>Manual oling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ajaj"/>
      <sheetName val="Bajaj OS"/>
      <sheetName val="Ford"/>
      <sheetName val="Yamaha"/>
      <sheetName val="volvo"/>
      <sheetName val="M&amp;M"/>
      <sheetName val="Hyundai"/>
      <sheetName val="honda motors"/>
      <sheetName val="honda siel"/>
      <sheetName val="Format"/>
      <sheetName val="TATA Engg"/>
      <sheetName val="TKML"/>
      <sheetName val="TKML-Supplier"/>
      <sheetName val="Fiat"/>
      <sheetName val="GM"/>
      <sheetName val="AL"/>
      <sheetName val="Bajaj1"/>
      <sheetName val="HBI NCD"/>
      <sheetName val="Costs"/>
      <sheetName val="fcl"/>
    </sheetNames>
    <sheetDataSet>
      <sheetData sheetId="0" refreshError="1"/>
      <sheetData sheetId="1" refreshError="1"/>
      <sheetData sheetId="2" refreshError="1">
        <row r="1">
          <cell r="A1" t="str">
            <v>Management Profile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c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44"/>
  <sheetViews>
    <sheetView zoomScale="125" zoomScaleNormal="85" workbookViewId="0">
      <selection activeCell="E48" sqref="E48"/>
    </sheetView>
  </sheetViews>
  <sheetFormatPr defaultColWidth="8.6640625" defaultRowHeight="10"/>
  <sheetData>
    <row r="1" spans="1:20">
      <c r="A1" s="1005" t="s">
        <v>266</v>
      </c>
      <c r="B1" s="1006"/>
      <c r="C1" s="1006"/>
      <c r="D1" s="1006"/>
      <c r="E1" s="1006"/>
      <c r="F1" s="1006"/>
      <c r="G1" s="1006"/>
      <c r="H1" s="1006"/>
      <c r="I1" s="1006"/>
      <c r="J1" s="1006"/>
      <c r="K1" s="1007"/>
      <c r="L1" s="1011" t="s">
        <v>257</v>
      </c>
      <c r="M1" s="1012"/>
      <c r="N1" s="1013"/>
      <c r="O1" s="1011" t="s">
        <v>258</v>
      </c>
      <c r="P1" s="1020"/>
      <c r="Q1" s="1021"/>
      <c r="R1" s="984" t="s">
        <v>265</v>
      </c>
      <c r="S1" s="985"/>
      <c r="T1" s="986"/>
    </row>
    <row r="2" spans="1:20">
      <c r="A2" s="1008"/>
      <c r="B2" s="1009"/>
      <c r="C2" s="1009"/>
      <c r="D2" s="1009"/>
      <c r="E2" s="1009"/>
      <c r="F2" s="1009"/>
      <c r="G2" s="1009"/>
      <c r="H2" s="1009"/>
      <c r="I2" s="1009"/>
      <c r="J2" s="1009"/>
      <c r="K2" s="1010"/>
      <c r="L2" s="1014"/>
      <c r="M2" s="1015"/>
      <c r="N2" s="1016"/>
      <c r="O2" s="1022"/>
      <c r="P2" s="1023"/>
      <c r="Q2" s="1024"/>
      <c r="R2" s="987"/>
      <c r="S2" s="988"/>
      <c r="T2" s="989"/>
    </row>
    <row r="3" spans="1:20">
      <c r="A3" s="1008"/>
      <c r="B3" s="1009"/>
      <c r="C3" s="1009"/>
      <c r="D3" s="1009"/>
      <c r="E3" s="1009"/>
      <c r="F3" s="1009"/>
      <c r="G3" s="1009"/>
      <c r="H3" s="1009"/>
      <c r="I3" s="1009"/>
      <c r="J3" s="1009"/>
      <c r="K3" s="1010"/>
      <c r="L3" s="1014"/>
      <c r="M3" s="1015"/>
      <c r="N3" s="1016"/>
      <c r="O3" s="1022"/>
      <c r="P3" s="1023"/>
      <c r="Q3" s="1024"/>
      <c r="R3" s="987"/>
      <c r="S3" s="988"/>
      <c r="T3" s="989"/>
    </row>
    <row r="4" spans="1:20" ht="10.5" thickBot="1">
      <c r="A4" s="1008"/>
      <c r="B4" s="1009"/>
      <c r="C4" s="1009"/>
      <c r="D4" s="1009"/>
      <c r="E4" s="1009"/>
      <c r="F4" s="1009"/>
      <c r="G4" s="1009"/>
      <c r="H4" s="1009"/>
      <c r="I4" s="1009"/>
      <c r="J4" s="1009"/>
      <c r="K4" s="1010"/>
      <c r="L4" s="1017"/>
      <c r="M4" s="1018"/>
      <c r="N4" s="1019"/>
      <c r="O4" s="1025"/>
      <c r="P4" s="1026"/>
      <c r="Q4" s="1027"/>
      <c r="R4" s="990"/>
      <c r="S4" s="991"/>
      <c r="T4" s="992"/>
    </row>
    <row r="5" spans="1:20" ht="11.25" customHeight="1">
      <c r="A5" s="1028"/>
      <c r="B5" s="1029"/>
      <c r="C5" s="1029"/>
      <c r="D5" s="1029"/>
      <c r="E5" s="1029"/>
      <c r="F5" s="1029"/>
      <c r="G5" s="1029"/>
      <c r="H5" s="1029"/>
      <c r="I5" s="1029"/>
      <c r="J5" s="1029"/>
      <c r="K5" s="1030"/>
      <c r="L5" s="982" t="s">
        <v>259</v>
      </c>
      <c r="M5" s="982"/>
      <c r="N5" s="982"/>
      <c r="O5" s="981" t="s">
        <v>260</v>
      </c>
      <c r="P5" s="982"/>
      <c r="Q5" s="983"/>
      <c r="R5" s="978" t="s">
        <v>267</v>
      </c>
      <c r="S5" s="979"/>
      <c r="T5" s="980"/>
    </row>
    <row r="6" spans="1:20" ht="11.25" customHeight="1">
      <c r="A6" s="1031"/>
      <c r="B6" s="1032"/>
      <c r="C6" s="1032"/>
      <c r="D6" s="1032"/>
      <c r="E6" s="1032"/>
      <c r="F6" s="1032"/>
      <c r="G6" s="1032"/>
      <c r="H6" s="1032"/>
      <c r="I6" s="1032"/>
      <c r="J6" s="1032"/>
      <c r="K6" s="1033"/>
      <c r="L6" s="982"/>
      <c r="M6" s="982"/>
      <c r="N6" s="982"/>
      <c r="O6" s="981"/>
      <c r="P6" s="982"/>
      <c r="Q6" s="983"/>
      <c r="R6" s="981"/>
      <c r="S6" s="982"/>
      <c r="T6" s="983"/>
    </row>
    <row r="7" spans="1:20" ht="11.25" customHeight="1">
      <c r="A7" s="1031"/>
      <c r="B7" s="1032"/>
      <c r="C7" s="1032"/>
      <c r="D7" s="1032"/>
      <c r="E7" s="1032"/>
      <c r="F7" s="1032"/>
      <c r="G7" s="1032"/>
      <c r="H7" s="1032"/>
      <c r="I7" s="1032"/>
      <c r="J7" s="1032"/>
      <c r="K7" s="1033"/>
      <c r="L7" s="982"/>
      <c r="M7" s="982"/>
      <c r="N7" s="982"/>
      <c r="O7" s="981"/>
      <c r="P7" s="982"/>
      <c r="Q7" s="983"/>
      <c r="R7" s="981"/>
      <c r="S7" s="982"/>
      <c r="T7" s="983"/>
    </row>
    <row r="8" spans="1:20" ht="11.25" customHeight="1">
      <c r="A8" s="1031"/>
      <c r="B8" s="1032"/>
      <c r="C8" s="1032"/>
      <c r="D8" s="1032"/>
      <c r="E8" s="1032"/>
      <c r="F8" s="1032"/>
      <c r="G8" s="1032"/>
      <c r="H8" s="1032"/>
      <c r="I8" s="1032"/>
      <c r="J8" s="1032"/>
      <c r="K8" s="1033"/>
      <c r="L8" s="982"/>
      <c r="M8" s="982"/>
      <c r="N8" s="982"/>
      <c r="O8" s="981"/>
      <c r="P8" s="982"/>
      <c r="Q8" s="983"/>
      <c r="R8" s="981"/>
      <c r="S8" s="982"/>
      <c r="T8" s="983"/>
    </row>
    <row r="9" spans="1:20" ht="11.25" customHeight="1">
      <c r="A9" s="1034"/>
      <c r="B9" s="1035"/>
      <c r="C9" s="1035"/>
      <c r="D9" s="1035"/>
      <c r="E9" s="1035"/>
      <c r="F9" s="1035"/>
      <c r="G9" s="1035"/>
      <c r="H9" s="1035"/>
      <c r="I9" s="1035"/>
      <c r="J9" s="1035"/>
      <c r="K9" s="1036"/>
      <c r="L9" s="982"/>
      <c r="M9" s="982"/>
      <c r="N9" s="982"/>
      <c r="O9" s="981"/>
      <c r="P9" s="982"/>
      <c r="Q9" s="983"/>
      <c r="R9" s="981"/>
      <c r="S9" s="982"/>
      <c r="T9" s="983"/>
    </row>
    <row r="10" spans="1:20" ht="11.25" customHeight="1">
      <c r="A10" s="1028"/>
      <c r="B10" s="1029"/>
      <c r="C10" s="1029"/>
      <c r="D10" s="1029"/>
      <c r="E10" s="1029"/>
      <c r="F10" s="1029"/>
      <c r="G10" s="1029"/>
      <c r="H10" s="1029"/>
      <c r="I10" s="1029"/>
      <c r="J10" s="1029"/>
      <c r="K10" s="1030"/>
      <c r="L10" s="982" t="s">
        <v>260</v>
      </c>
      <c r="M10" s="982"/>
      <c r="N10" s="982"/>
      <c r="O10" s="981" t="s">
        <v>259</v>
      </c>
      <c r="P10" s="982"/>
      <c r="Q10" s="983"/>
      <c r="R10" s="981"/>
      <c r="S10" s="982"/>
      <c r="T10" s="983"/>
    </row>
    <row r="11" spans="1:20" ht="11.25" customHeight="1">
      <c r="A11" s="1031"/>
      <c r="B11" s="1032"/>
      <c r="C11" s="1032"/>
      <c r="D11" s="1032"/>
      <c r="E11" s="1032"/>
      <c r="F11" s="1032"/>
      <c r="G11" s="1032"/>
      <c r="H11" s="1032"/>
      <c r="I11" s="1032"/>
      <c r="J11" s="1032"/>
      <c r="K11" s="1033"/>
      <c r="L11" s="982"/>
      <c r="M11" s="982"/>
      <c r="N11" s="982"/>
      <c r="O11" s="981"/>
      <c r="P11" s="982"/>
      <c r="Q11" s="983"/>
      <c r="R11" s="981"/>
      <c r="S11" s="982"/>
      <c r="T11" s="983"/>
    </row>
    <row r="12" spans="1:20" ht="11.25" customHeight="1">
      <c r="A12" s="1031"/>
      <c r="B12" s="1032"/>
      <c r="C12" s="1032"/>
      <c r="D12" s="1032"/>
      <c r="E12" s="1032"/>
      <c r="F12" s="1032"/>
      <c r="G12" s="1032"/>
      <c r="H12" s="1032"/>
      <c r="I12" s="1032"/>
      <c r="J12" s="1032"/>
      <c r="K12" s="1033"/>
      <c r="L12" s="982"/>
      <c r="M12" s="982"/>
      <c r="N12" s="982"/>
      <c r="O12" s="981"/>
      <c r="P12" s="982"/>
      <c r="Q12" s="983"/>
      <c r="R12" s="981"/>
      <c r="S12" s="982"/>
      <c r="T12" s="983"/>
    </row>
    <row r="13" spans="1:20" ht="11.25" customHeight="1">
      <c r="A13" s="1031"/>
      <c r="B13" s="1032"/>
      <c r="C13" s="1032"/>
      <c r="D13" s="1032"/>
      <c r="E13" s="1032"/>
      <c r="F13" s="1032"/>
      <c r="G13" s="1032"/>
      <c r="H13" s="1032"/>
      <c r="I13" s="1032"/>
      <c r="J13" s="1032"/>
      <c r="K13" s="1033"/>
      <c r="L13" s="982"/>
      <c r="M13" s="982"/>
      <c r="N13" s="982"/>
      <c r="O13" s="981"/>
      <c r="P13" s="982"/>
      <c r="Q13" s="983"/>
      <c r="R13" s="981"/>
      <c r="S13" s="982"/>
      <c r="T13" s="983"/>
    </row>
    <row r="14" spans="1:20" ht="11.25" customHeight="1">
      <c r="A14" s="1034"/>
      <c r="B14" s="1035"/>
      <c r="C14" s="1035"/>
      <c r="D14" s="1035"/>
      <c r="E14" s="1035"/>
      <c r="F14" s="1035"/>
      <c r="G14" s="1035"/>
      <c r="H14" s="1035"/>
      <c r="I14" s="1035"/>
      <c r="J14" s="1035"/>
      <c r="K14" s="1036"/>
      <c r="L14" s="982"/>
      <c r="M14" s="982"/>
      <c r="N14" s="982"/>
      <c r="O14" s="981"/>
      <c r="P14" s="982"/>
      <c r="Q14" s="983"/>
      <c r="R14" s="981"/>
      <c r="S14" s="982"/>
      <c r="T14" s="983"/>
    </row>
    <row r="15" spans="1:20">
      <c r="A15" s="1028"/>
      <c r="B15" s="1029"/>
      <c r="C15" s="1029"/>
      <c r="D15" s="1029"/>
      <c r="E15" s="1029"/>
      <c r="F15" s="1029"/>
      <c r="G15" s="1029"/>
      <c r="H15" s="1029"/>
      <c r="I15" s="1029"/>
      <c r="J15" s="1029"/>
      <c r="K15" s="1030"/>
      <c r="L15" s="982" t="s">
        <v>261</v>
      </c>
      <c r="M15" s="982"/>
      <c r="N15" s="982"/>
      <c r="O15" s="993" t="s">
        <v>262</v>
      </c>
      <c r="P15" s="1003"/>
      <c r="Q15" s="1004"/>
      <c r="R15" s="981"/>
      <c r="S15" s="982"/>
      <c r="T15" s="983"/>
    </row>
    <row r="16" spans="1:20">
      <c r="A16" s="1031"/>
      <c r="B16" s="1032"/>
      <c r="C16" s="1032"/>
      <c r="D16" s="1032"/>
      <c r="E16" s="1032"/>
      <c r="F16" s="1032"/>
      <c r="G16" s="1032"/>
      <c r="H16" s="1032"/>
      <c r="I16" s="1032"/>
      <c r="J16" s="1032"/>
      <c r="K16" s="1033"/>
      <c r="L16" s="982"/>
      <c r="M16" s="982"/>
      <c r="N16" s="982"/>
      <c r="O16" s="993"/>
      <c r="P16" s="1003"/>
      <c r="Q16" s="1004"/>
      <c r="R16" s="981"/>
      <c r="S16" s="982"/>
      <c r="T16" s="983"/>
    </row>
    <row r="17" spans="1:20">
      <c r="A17" s="1031"/>
      <c r="B17" s="1032"/>
      <c r="C17" s="1032"/>
      <c r="D17" s="1032"/>
      <c r="E17" s="1032"/>
      <c r="F17" s="1032"/>
      <c r="G17" s="1032"/>
      <c r="H17" s="1032"/>
      <c r="I17" s="1032"/>
      <c r="J17" s="1032"/>
      <c r="K17" s="1033"/>
      <c r="L17" s="982"/>
      <c r="M17" s="982"/>
      <c r="N17" s="982"/>
      <c r="O17" s="993"/>
      <c r="P17" s="1003"/>
      <c r="Q17" s="1004"/>
      <c r="R17" s="981"/>
      <c r="S17" s="982"/>
      <c r="T17" s="983"/>
    </row>
    <row r="18" spans="1:20">
      <c r="A18" s="1031"/>
      <c r="B18" s="1032"/>
      <c r="C18" s="1032"/>
      <c r="D18" s="1032"/>
      <c r="E18" s="1032"/>
      <c r="F18" s="1032"/>
      <c r="G18" s="1032"/>
      <c r="H18" s="1032"/>
      <c r="I18" s="1032"/>
      <c r="J18" s="1032"/>
      <c r="K18" s="1033"/>
      <c r="L18" s="982"/>
      <c r="M18" s="982"/>
      <c r="N18" s="982"/>
      <c r="O18" s="993"/>
      <c r="P18" s="1003"/>
      <c r="Q18" s="1004"/>
      <c r="R18" s="981"/>
      <c r="S18" s="982"/>
      <c r="T18" s="983"/>
    </row>
    <row r="19" spans="1:20">
      <c r="A19" s="1034"/>
      <c r="B19" s="1035"/>
      <c r="C19" s="1035"/>
      <c r="D19" s="1035"/>
      <c r="E19" s="1035"/>
      <c r="F19" s="1035"/>
      <c r="G19" s="1035"/>
      <c r="H19" s="1035"/>
      <c r="I19" s="1035"/>
      <c r="J19" s="1035"/>
      <c r="K19" s="1036"/>
      <c r="L19" s="982"/>
      <c r="M19" s="982"/>
      <c r="N19" s="982"/>
      <c r="O19" s="993"/>
      <c r="P19" s="1003"/>
      <c r="Q19" s="1004"/>
      <c r="R19" s="981"/>
      <c r="S19" s="982"/>
      <c r="T19" s="983"/>
    </row>
    <row r="20" spans="1:20" ht="11.25" customHeight="1">
      <c r="A20" s="1028"/>
      <c r="B20" s="1029"/>
      <c r="C20" s="1029"/>
      <c r="D20" s="1029"/>
      <c r="E20" s="1029"/>
      <c r="F20" s="1029"/>
      <c r="G20" s="1029"/>
      <c r="H20" s="1029"/>
      <c r="I20" s="1029"/>
      <c r="J20" s="1029"/>
      <c r="K20" s="1030"/>
      <c r="L20" s="1003" t="s">
        <v>296</v>
      </c>
      <c r="M20" s="1003"/>
      <c r="N20" s="1003"/>
      <c r="O20" s="993" t="s">
        <v>262</v>
      </c>
      <c r="P20" s="1003"/>
      <c r="Q20" s="1004"/>
      <c r="R20" s="993" t="s">
        <v>297</v>
      </c>
      <c r="S20" s="982"/>
      <c r="T20" s="983"/>
    </row>
    <row r="21" spans="1:20" ht="11.25" customHeight="1">
      <c r="A21" s="1031"/>
      <c r="B21" s="1032"/>
      <c r="C21" s="1032"/>
      <c r="D21" s="1032"/>
      <c r="E21" s="1032"/>
      <c r="F21" s="1032"/>
      <c r="G21" s="1032"/>
      <c r="H21" s="1032"/>
      <c r="I21" s="1032"/>
      <c r="J21" s="1032"/>
      <c r="K21" s="1033"/>
      <c r="L21" s="1003"/>
      <c r="M21" s="1003"/>
      <c r="N21" s="1003"/>
      <c r="O21" s="993"/>
      <c r="P21" s="1003"/>
      <c r="Q21" s="1004"/>
      <c r="R21" s="981"/>
      <c r="S21" s="982"/>
      <c r="T21" s="983"/>
    </row>
    <row r="22" spans="1:20" ht="11.25" customHeight="1">
      <c r="A22" s="1031"/>
      <c r="B22" s="1032"/>
      <c r="C22" s="1032"/>
      <c r="D22" s="1032"/>
      <c r="E22" s="1032"/>
      <c r="F22" s="1032"/>
      <c r="G22" s="1032"/>
      <c r="H22" s="1032"/>
      <c r="I22" s="1032"/>
      <c r="J22" s="1032"/>
      <c r="K22" s="1033"/>
      <c r="L22" s="1003"/>
      <c r="M22" s="1003"/>
      <c r="N22" s="1003"/>
      <c r="O22" s="993"/>
      <c r="P22" s="1003"/>
      <c r="Q22" s="1004"/>
      <c r="R22" s="981"/>
      <c r="S22" s="982"/>
      <c r="T22" s="983"/>
    </row>
    <row r="23" spans="1:20" ht="11.25" customHeight="1">
      <c r="A23" s="1031"/>
      <c r="B23" s="1032"/>
      <c r="C23" s="1032"/>
      <c r="D23" s="1032"/>
      <c r="E23" s="1032"/>
      <c r="F23" s="1032"/>
      <c r="G23" s="1032"/>
      <c r="H23" s="1032"/>
      <c r="I23" s="1032"/>
      <c r="J23" s="1032"/>
      <c r="K23" s="1033"/>
      <c r="L23" s="1003"/>
      <c r="M23" s="1003"/>
      <c r="N23" s="1003"/>
      <c r="O23" s="993"/>
      <c r="P23" s="1003"/>
      <c r="Q23" s="1004"/>
      <c r="R23" s="981"/>
      <c r="S23" s="982"/>
      <c r="T23" s="983"/>
    </row>
    <row r="24" spans="1:20" ht="11.25" customHeight="1">
      <c r="A24" s="1034"/>
      <c r="B24" s="1035"/>
      <c r="C24" s="1035"/>
      <c r="D24" s="1035"/>
      <c r="E24" s="1035"/>
      <c r="F24" s="1035"/>
      <c r="G24" s="1035"/>
      <c r="H24" s="1035"/>
      <c r="I24" s="1035"/>
      <c r="J24" s="1035"/>
      <c r="K24" s="1036"/>
      <c r="L24" s="1003"/>
      <c r="M24" s="1003"/>
      <c r="N24" s="1003"/>
      <c r="O24" s="993"/>
      <c r="P24" s="1003"/>
      <c r="Q24" s="1004"/>
      <c r="R24" s="981"/>
      <c r="S24" s="982"/>
      <c r="T24" s="983"/>
    </row>
    <row r="25" spans="1:20" ht="11.25" customHeight="1">
      <c r="A25" s="1028"/>
      <c r="B25" s="1029"/>
      <c r="C25" s="1029"/>
      <c r="D25" s="1029"/>
      <c r="E25" s="1029"/>
      <c r="F25" s="1029"/>
      <c r="G25" s="1029"/>
      <c r="H25" s="1029"/>
      <c r="I25" s="1029"/>
      <c r="J25" s="1029"/>
      <c r="K25" s="1030"/>
      <c r="L25" s="1003" t="s">
        <v>298</v>
      </c>
      <c r="M25" s="1003"/>
      <c r="N25" s="1003"/>
      <c r="O25" s="993" t="s">
        <v>260</v>
      </c>
      <c r="P25" s="1003"/>
      <c r="Q25" s="1004"/>
      <c r="R25" s="981" t="s">
        <v>268</v>
      </c>
      <c r="S25" s="982"/>
      <c r="T25" s="983"/>
    </row>
    <row r="26" spans="1:20" ht="11.25" customHeight="1">
      <c r="A26" s="1031"/>
      <c r="B26" s="1032"/>
      <c r="C26" s="1032"/>
      <c r="D26" s="1032"/>
      <c r="E26" s="1032"/>
      <c r="F26" s="1032"/>
      <c r="G26" s="1032"/>
      <c r="H26" s="1032"/>
      <c r="I26" s="1032"/>
      <c r="J26" s="1032"/>
      <c r="K26" s="1033"/>
      <c r="L26" s="1003"/>
      <c r="M26" s="1003"/>
      <c r="N26" s="1003"/>
      <c r="O26" s="993"/>
      <c r="P26" s="1003"/>
      <c r="Q26" s="1004"/>
      <c r="R26" s="981"/>
      <c r="S26" s="982"/>
      <c r="T26" s="983"/>
    </row>
    <row r="27" spans="1:20" ht="11.25" customHeight="1">
      <c r="A27" s="1031"/>
      <c r="B27" s="1032"/>
      <c r="C27" s="1032"/>
      <c r="D27" s="1032"/>
      <c r="E27" s="1032"/>
      <c r="F27" s="1032"/>
      <c r="G27" s="1032"/>
      <c r="H27" s="1032"/>
      <c r="I27" s="1032"/>
      <c r="J27" s="1032"/>
      <c r="K27" s="1033"/>
      <c r="L27" s="1003"/>
      <c r="M27" s="1003"/>
      <c r="N27" s="1003"/>
      <c r="O27" s="993"/>
      <c r="P27" s="1003"/>
      <c r="Q27" s="1004"/>
      <c r="R27" s="981"/>
      <c r="S27" s="982"/>
      <c r="T27" s="983"/>
    </row>
    <row r="28" spans="1:20" ht="11.25" customHeight="1">
      <c r="A28" s="1031"/>
      <c r="B28" s="1032"/>
      <c r="C28" s="1032"/>
      <c r="D28" s="1032"/>
      <c r="E28" s="1032"/>
      <c r="F28" s="1032"/>
      <c r="G28" s="1032"/>
      <c r="H28" s="1032"/>
      <c r="I28" s="1032"/>
      <c r="J28" s="1032"/>
      <c r="K28" s="1033"/>
      <c r="L28" s="1003"/>
      <c r="M28" s="1003"/>
      <c r="N28" s="1003"/>
      <c r="O28" s="993"/>
      <c r="P28" s="1003"/>
      <c r="Q28" s="1004"/>
      <c r="R28" s="981"/>
      <c r="S28" s="982"/>
      <c r="T28" s="983"/>
    </row>
    <row r="29" spans="1:20" ht="11.25" customHeight="1">
      <c r="A29" s="1034"/>
      <c r="B29" s="1035"/>
      <c r="C29" s="1035"/>
      <c r="D29" s="1035"/>
      <c r="E29" s="1035"/>
      <c r="F29" s="1035"/>
      <c r="G29" s="1035"/>
      <c r="H29" s="1035"/>
      <c r="I29" s="1035"/>
      <c r="J29" s="1035"/>
      <c r="K29" s="1036"/>
      <c r="L29" s="1003"/>
      <c r="M29" s="1003"/>
      <c r="N29" s="1003"/>
      <c r="O29" s="993"/>
      <c r="P29" s="1003"/>
      <c r="Q29" s="1004"/>
      <c r="R29" s="981"/>
      <c r="S29" s="982"/>
      <c r="T29" s="983"/>
    </row>
    <row r="30" spans="1:20" ht="11.25" customHeight="1">
      <c r="A30" s="1028"/>
      <c r="B30" s="1029"/>
      <c r="C30" s="1029"/>
      <c r="D30" s="1029"/>
      <c r="E30" s="1029"/>
      <c r="F30" s="1029"/>
      <c r="G30" s="1029"/>
      <c r="H30" s="1029"/>
      <c r="I30" s="1029"/>
      <c r="J30" s="1029"/>
      <c r="K30" s="1030"/>
      <c r="L30" s="982" t="s">
        <v>299</v>
      </c>
      <c r="M30" s="982"/>
      <c r="N30" s="982"/>
      <c r="O30" s="981" t="s">
        <v>259</v>
      </c>
      <c r="P30" s="982"/>
      <c r="Q30" s="983"/>
      <c r="R30" s="994" t="s">
        <v>300</v>
      </c>
      <c r="S30" s="995"/>
      <c r="T30" s="996"/>
    </row>
    <row r="31" spans="1:20" ht="11.25" customHeight="1">
      <c r="A31" s="1031"/>
      <c r="B31" s="1032"/>
      <c r="C31" s="1032"/>
      <c r="D31" s="1032"/>
      <c r="E31" s="1032"/>
      <c r="F31" s="1032"/>
      <c r="G31" s="1032"/>
      <c r="H31" s="1032"/>
      <c r="I31" s="1032"/>
      <c r="J31" s="1032"/>
      <c r="K31" s="1033"/>
      <c r="L31" s="982"/>
      <c r="M31" s="982"/>
      <c r="N31" s="982"/>
      <c r="O31" s="981"/>
      <c r="P31" s="982"/>
      <c r="Q31" s="983"/>
      <c r="R31" s="994"/>
      <c r="S31" s="995"/>
      <c r="T31" s="996"/>
    </row>
    <row r="32" spans="1:20" ht="11.25" customHeight="1">
      <c r="A32" s="1031"/>
      <c r="B32" s="1032"/>
      <c r="C32" s="1032"/>
      <c r="D32" s="1032"/>
      <c r="E32" s="1032"/>
      <c r="F32" s="1032"/>
      <c r="G32" s="1032"/>
      <c r="H32" s="1032"/>
      <c r="I32" s="1032"/>
      <c r="J32" s="1032"/>
      <c r="K32" s="1033"/>
      <c r="L32" s="982"/>
      <c r="M32" s="982"/>
      <c r="N32" s="982"/>
      <c r="O32" s="981"/>
      <c r="P32" s="982"/>
      <c r="Q32" s="983"/>
      <c r="R32" s="994"/>
      <c r="S32" s="995"/>
      <c r="T32" s="996"/>
    </row>
    <row r="33" spans="1:20" ht="11.25" customHeight="1">
      <c r="A33" s="1031"/>
      <c r="B33" s="1032"/>
      <c r="C33" s="1032"/>
      <c r="D33" s="1032"/>
      <c r="E33" s="1032"/>
      <c r="F33" s="1032"/>
      <c r="G33" s="1032"/>
      <c r="H33" s="1032"/>
      <c r="I33" s="1032"/>
      <c r="J33" s="1032"/>
      <c r="K33" s="1033"/>
      <c r="L33" s="982"/>
      <c r="M33" s="982"/>
      <c r="N33" s="982"/>
      <c r="O33" s="981"/>
      <c r="P33" s="982"/>
      <c r="Q33" s="983"/>
      <c r="R33" s="994"/>
      <c r="S33" s="995"/>
      <c r="T33" s="996"/>
    </row>
    <row r="34" spans="1:20" ht="11.25" customHeight="1">
      <c r="A34" s="1034"/>
      <c r="B34" s="1035"/>
      <c r="C34" s="1035"/>
      <c r="D34" s="1035"/>
      <c r="E34" s="1035"/>
      <c r="F34" s="1035"/>
      <c r="G34" s="1035"/>
      <c r="H34" s="1035"/>
      <c r="I34" s="1035"/>
      <c r="J34" s="1035"/>
      <c r="K34" s="1036"/>
      <c r="L34" s="982"/>
      <c r="M34" s="982"/>
      <c r="N34" s="982"/>
      <c r="O34" s="981"/>
      <c r="P34" s="982"/>
      <c r="Q34" s="983"/>
      <c r="R34" s="994"/>
      <c r="S34" s="995"/>
      <c r="T34" s="996"/>
    </row>
    <row r="35" spans="1:20" ht="11.25" customHeight="1">
      <c r="A35" s="1037"/>
      <c r="B35" s="1038"/>
      <c r="C35" s="1038"/>
      <c r="D35" s="1038"/>
      <c r="E35" s="1038"/>
      <c r="F35" s="1038"/>
      <c r="G35" s="1038"/>
      <c r="H35" s="1038"/>
      <c r="I35" s="1038"/>
      <c r="J35" s="1038"/>
      <c r="K35" s="1039"/>
      <c r="L35" s="982" t="s">
        <v>263</v>
      </c>
      <c r="M35" s="982"/>
      <c r="N35" s="982"/>
      <c r="O35" s="981" t="s">
        <v>264</v>
      </c>
      <c r="P35" s="982"/>
      <c r="Q35" s="983"/>
      <c r="R35" s="994"/>
      <c r="S35" s="995"/>
      <c r="T35" s="996"/>
    </row>
    <row r="36" spans="1:20" ht="11.25" customHeight="1">
      <c r="A36" s="1040"/>
      <c r="B36" s="1041"/>
      <c r="C36" s="1041"/>
      <c r="D36" s="1041"/>
      <c r="E36" s="1041"/>
      <c r="F36" s="1041"/>
      <c r="G36" s="1041"/>
      <c r="H36" s="1041"/>
      <c r="I36" s="1041"/>
      <c r="J36" s="1041"/>
      <c r="K36" s="1042"/>
      <c r="L36" s="982"/>
      <c r="M36" s="982"/>
      <c r="N36" s="982"/>
      <c r="O36" s="981"/>
      <c r="P36" s="982"/>
      <c r="Q36" s="983"/>
      <c r="R36" s="994"/>
      <c r="S36" s="995"/>
      <c r="T36" s="996"/>
    </row>
    <row r="37" spans="1:20" ht="11.25" customHeight="1">
      <c r="A37" s="1040"/>
      <c r="B37" s="1041"/>
      <c r="C37" s="1041"/>
      <c r="D37" s="1041"/>
      <c r="E37" s="1041"/>
      <c r="F37" s="1041"/>
      <c r="G37" s="1041"/>
      <c r="H37" s="1041"/>
      <c r="I37" s="1041"/>
      <c r="J37" s="1041"/>
      <c r="K37" s="1042"/>
      <c r="L37" s="982"/>
      <c r="M37" s="982"/>
      <c r="N37" s="982"/>
      <c r="O37" s="981"/>
      <c r="P37" s="982"/>
      <c r="Q37" s="983"/>
      <c r="R37" s="994"/>
      <c r="S37" s="995"/>
      <c r="T37" s="996"/>
    </row>
    <row r="38" spans="1:20" ht="11.25" customHeight="1">
      <c r="A38" s="1040"/>
      <c r="B38" s="1041"/>
      <c r="C38" s="1041"/>
      <c r="D38" s="1041"/>
      <c r="E38" s="1041"/>
      <c r="F38" s="1041"/>
      <c r="G38" s="1041"/>
      <c r="H38" s="1041"/>
      <c r="I38" s="1041"/>
      <c r="J38" s="1041"/>
      <c r="K38" s="1042"/>
      <c r="L38" s="982"/>
      <c r="M38" s="982"/>
      <c r="N38" s="982"/>
      <c r="O38" s="981"/>
      <c r="P38" s="982"/>
      <c r="Q38" s="983"/>
      <c r="R38" s="994"/>
      <c r="S38" s="995"/>
      <c r="T38" s="996"/>
    </row>
    <row r="39" spans="1:20" ht="11.25" customHeight="1">
      <c r="A39" s="1043"/>
      <c r="B39" s="1044"/>
      <c r="C39" s="1044"/>
      <c r="D39" s="1044"/>
      <c r="E39" s="1044"/>
      <c r="F39" s="1044"/>
      <c r="G39" s="1044"/>
      <c r="H39" s="1044"/>
      <c r="I39" s="1044"/>
      <c r="J39" s="1044"/>
      <c r="K39" s="1045"/>
      <c r="L39" s="982"/>
      <c r="M39" s="982"/>
      <c r="N39" s="982"/>
      <c r="O39" s="981"/>
      <c r="P39" s="982"/>
      <c r="Q39" s="983"/>
      <c r="R39" s="994"/>
      <c r="S39" s="995"/>
      <c r="T39" s="996"/>
    </row>
    <row r="40" spans="1:20" ht="11.25" customHeight="1">
      <c r="A40" s="1028"/>
      <c r="B40" s="1029"/>
      <c r="C40" s="1029"/>
      <c r="D40" s="1029"/>
      <c r="E40" s="1029"/>
      <c r="F40" s="1029"/>
      <c r="G40" s="1029"/>
      <c r="H40" s="1029"/>
      <c r="I40" s="1029"/>
      <c r="J40" s="1029"/>
      <c r="K40" s="1030"/>
      <c r="L40" s="982" t="s">
        <v>259</v>
      </c>
      <c r="M40" s="982"/>
      <c r="N40" s="982"/>
      <c r="O40" s="981" t="s">
        <v>260</v>
      </c>
      <c r="P40" s="982"/>
      <c r="Q40" s="983"/>
      <c r="R40" s="994"/>
      <c r="S40" s="995"/>
      <c r="T40" s="996"/>
    </row>
    <row r="41" spans="1:20" ht="11.25" customHeight="1">
      <c r="A41" s="1031"/>
      <c r="B41" s="1032"/>
      <c r="C41" s="1032"/>
      <c r="D41" s="1032"/>
      <c r="E41" s="1032"/>
      <c r="F41" s="1032"/>
      <c r="G41" s="1032"/>
      <c r="H41" s="1032"/>
      <c r="I41" s="1032"/>
      <c r="J41" s="1032"/>
      <c r="K41" s="1033"/>
      <c r="L41" s="982"/>
      <c r="M41" s="982"/>
      <c r="N41" s="982"/>
      <c r="O41" s="981"/>
      <c r="P41" s="982"/>
      <c r="Q41" s="983"/>
      <c r="R41" s="994"/>
      <c r="S41" s="995"/>
      <c r="T41" s="996"/>
    </row>
    <row r="42" spans="1:20" ht="11.25" customHeight="1">
      <c r="A42" s="1031"/>
      <c r="B42" s="1032"/>
      <c r="C42" s="1032"/>
      <c r="D42" s="1032"/>
      <c r="E42" s="1032"/>
      <c r="F42" s="1032"/>
      <c r="G42" s="1032"/>
      <c r="H42" s="1032"/>
      <c r="I42" s="1032"/>
      <c r="J42" s="1032"/>
      <c r="K42" s="1033"/>
      <c r="L42" s="982"/>
      <c r="M42" s="982"/>
      <c r="N42" s="982"/>
      <c r="O42" s="981"/>
      <c r="P42" s="982"/>
      <c r="Q42" s="983"/>
      <c r="R42" s="994"/>
      <c r="S42" s="995"/>
      <c r="T42" s="996"/>
    </row>
    <row r="43" spans="1:20" ht="11.25" customHeight="1">
      <c r="A43" s="1031"/>
      <c r="B43" s="1032"/>
      <c r="C43" s="1032"/>
      <c r="D43" s="1032"/>
      <c r="E43" s="1032"/>
      <c r="F43" s="1032"/>
      <c r="G43" s="1032"/>
      <c r="H43" s="1032"/>
      <c r="I43" s="1032"/>
      <c r="J43" s="1032"/>
      <c r="K43" s="1033"/>
      <c r="L43" s="982"/>
      <c r="M43" s="982"/>
      <c r="N43" s="982"/>
      <c r="O43" s="981"/>
      <c r="P43" s="982"/>
      <c r="Q43" s="983"/>
      <c r="R43" s="994"/>
      <c r="S43" s="995"/>
      <c r="T43" s="996"/>
    </row>
    <row r="44" spans="1:20" ht="12" customHeight="1" thickBot="1">
      <c r="A44" s="1034"/>
      <c r="B44" s="1035"/>
      <c r="C44" s="1035"/>
      <c r="D44" s="1035"/>
      <c r="E44" s="1035"/>
      <c r="F44" s="1035"/>
      <c r="G44" s="1035"/>
      <c r="H44" s="1035"/>
      <c r="I44" s="1035"/>
      <c r="J44" s="1035"/>
      <c r="K44" s="1036"/>
      <c r="L44" s="1000"/>
      <c r="M44" s="1000"/>
      <c r="N44" s="1000"/>
      <c r="O44" s="1001"/>
      <c r="P44" s="1000"/>
      <c r="Q44" s="1002"/>
      <c r="R44" s="997"/>
      <c r="S44" s="998"/>
      <c r="T44" s="999"/>
    </row>
  </sheetData>
  <mergeCells count="32">
    <mergeCell ref="A40:K44"/>
    <mergeCell ref="L5:N9"/>
    <mergeCell ref="O5:Q9"/>
    <mergeCell ref="L10:N14"/>
    <mergeCell ref="O10:Q14"/>
    <mergeCell ref="A15:K19"/>
    <mergeCell ref="A20:K24"/>
    <mergeCell ref="A25:K29"/>
    <mergeCell ref="A30:K34"/>
    <mergeCell ref="A35:K39"/>
    <mergeCell ref="L15:N19"/>
    <mergeCell ref="O15:Q19"/>
    <mergeCell ref="L20:N24"/>
    <mergeCell ref="O20:Q24"/>
    <mergeCell ref="L25:N29"/>
    <mergeCell ref="L30:N34"/>
    <mergeCell ref="A1:K4"/>
    <mergeCell ref="L1:N4"/>
    <mergeCell ref="O1:Q4"/>
    <mergeCell ref="A5:K9"/>
    <mergeCell ref="A10:K14"/>
    <mergeCell ref="L35:N39"/>
    <mergeCell ref="L40:N44"/>
    <mergeCell ref="O40:Q44"/>
    <mergeCell ref="O25:Q29"/>
    <mergeCell ref="O30:Q34"/>
    <mergeCell ref="R5:T19"/>
    <mergeCell ref="O35:Q39"/>
    <mergeCell ref="R1:T4"/>
    <mergeCell ref="R20:T24"/>
    <mergeCell ref="R25:T29"/>
    <mergeCell ref="R30:T44"/>
  </mergeCells>
  <pageMargins left="0.25" right="0.25" top="0.75" bottom="0.75" header="0.3" footer="0.3"/>
  <pageSetup paperSize="9" scale="66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8:F13"/>
  <sheetViews>
    <sheetView workbookViewId="0">
      <selection activeCell="D25" sqref="D25"/>
    </sheetView>
  </sheetViews>
  <sheetFormatPr defaultColWidth="8.6640625" defaultRowHeight="10"/>
  <cols>
    <col min="1" max="1" width="5.44140625" customWidth="1"/>
    <col min="4" max="4" width="102.6640625" customWidth="1"/>
  </cols>
  <sheetData>
    <row r="8" spans="2:6">
      <c r="B8" t="s">
        <v>168</v>
      </c>
      <c r="F8" s="54"/>
    </row>
    <row r="10" spans="2:6">
      <c r="B10" t="s">
        <v>103</v>
      </c>
      <c r="C10" t="s">
        <v>174</v>
      </c>
      <c r="D10" t="s">
        <v>169</v>
      </c>
    </row>
    <row r="11" spans="2:6">
      <c r="B11" t="s">
        <v>171</v>
      </c>
      <c r="C11">
        <v>8</v>
      </c>
      <c r="D11" t="s">
        <v>170</v>
      </c>
    </row>
    <row r="12" spans="2:6">
      <c r="B12" t="s">
        <v>172</v>
      </c>
      <c r="C12">
        <v>9</v>
      </c>
      <c r="D12" t="s">
        <v>173</v>
      </c>
    </row>
    <row r="13" spans="2:6">
      <c r="B13" s="54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5"/>
  <sheetViews>
    <sheetView zoomScale="130" zoomScaleNormal="130" workbookViewId="0">
      <selection activeCell="A25" sqref="A25:I25"/>
    </sheetView>
  </sheetViews>
  <sheetFormatPr defaultColWidth="10.6640625" defaultRowHeight="10"/>
  <cols>
    <col min="1" max="1" width="32.6640625" style="340" customWidth="1"/>
    <col min="2" max="5" width="10" style="340" customWidth="1"/>
    <col min="6" max="6" width="3" style="340" customWidth="1"/>
    <col min="7" max="7" width="34.44140625" style="340" customWidth="1"/>
    <col min="8" max="8" width="15.6640625" style="340" customWidth="1"/>
    <col min="9" max="9" width="25.33203125" style="340" customWidth="1"/>
    <col min="10" max="10" width="9.33203125" style="340" customWidth="1"/>
    <col min="11" max="11" width="11.33203125" style="340" bestFit="1" customWidth="1"/>
    <col min="12" max="16384" width="10.6640625" style="340"/>
  </cols>
  <sheetData>
    <row r="1" spans="1:12" ht="42" customHeight="1" thickBot="1">
      <c r="A1" s="1046" t="s">
        <v>270</v>
      </c>
      <c r="B1" s="1047"/>
      <c r="C1" s="1047"/>
      <c r="D1" s="1047"/>
      <c r="E1" s="1047"/>
      <c r="F1" s="1047"/>
      <c r="G1" s="1047"/>
      <c r="H1" s="1047"/>
      <c r="I1" s="1048"/>
    </row>
    <row r="2" spans="1:12" ht="42" customHeight="1" thickBot="1">
      <c r="A2" s="1100" t="s">
        <v>275</v>
      </c>
      <c r="B2" s="1101"/>
      <c r="C2" s="1101"/>
      <c r="D2" s="1101"/>
      <c r="E2" s="1101"/>
      <c r="F2" s="1101"/>
      <c r="G2" s="1101"/>
      <c r="H2" s="1101"/>
      <c r="I2" s="1102"/>
    </row>
    <row r="3" spans="1:12" ht="12" customHeight="1">
      <c r="A3" s="1103" t="s">
        <v>98</v>
      </c>
      <c r="B3" s="1104"/>
      <c r="C3" s="1105"/>
      <c r="D3" s="1112" t="s">
        <v>502</v>
      </c>
      <c r="E3" s="1112"/>
      <c r="F3" s="1112"/>
      <c r="G3" s="1113"/>
      <c r="H3" s="610" t="s">
        <v>97</v>
      </c>
      <c r="I3" s="339"/>
    </row>
    <row r="4" spans="1:12" ht="12" customHeight="1">
      <c r="A4" s="1106"/>
      <c r="B4" s="1107"/>
      <c r="C4" s="1108"/>
      <c r="D4" s="1114"/>
      <c r="E4" s="1114"/>
      <c r="F4" s="1114"/>
      <c r="G4" s="1115"/>
      <c r="H4" s="611" t="s">
        <v>99</v>
      </c>
      <c r="I4" s="605"/>
    </row>
    <row r="5" spans="1:12" ht="12" customHeight="1" thickBot="1">
      <c r="A5" s="1109"/>
      <c r="B5" s="1110"/>
      <c r="C5" s="1111"/>
      <c r="D5" s="1116"/>
      <c r="E5" s="1116"/>
      <c r="F5" s="1116"/>
      <c r="G5" s="1117"/>
      <c r="H5" s="612" t="s">
        <v>100</v>
      </c>
      <c r="I5" s="606"/>
    </row>
    <row r="6" spans="1:12" ht="12" customHeight="1">
      <c r="A6" s="1050" t="s">
        <v>101</v>
      </c>
      <c r="B6" s="1051"/>
      <c r="C6" s="1052"/>
      <c r="D6" s="1082" t="s">
        <v>518</v>
      </c>
      <c r="E6" s="1083"/>
      <c r="F6" s="1083"/>
      <c r="G6" s="1084"/>
      <c r="H6" s="610" t="s">
        <v>102</v>
      </c>
      <c r="I6" s="607" t="s">
        <v>517</v>
      </c>
    </row>
    <row r="7" spans="1:12" ht="12" customHeight="1">
      <c r="A7" s="1053"/>
      <c r="B7" s="1054"/>
      <c r="C7" s="1055"/>
      <c r="D7" s="1085"/>
      <c r="E7" s="1086"/>
      <c r="F7" s="1086"/>
      <c r="G7" s="1087"/>
      <c r="H7" s="613" t="s">
        <v>103</v>
      </c>
      <c r="I7" s="608">
        <v>44659</v>
      </c>
    </row>
    <row r="8" spans="1:12" ht="12" customHeight="1" thickBot="1">
      <c r="A8" s="1056"/>
      <c r="B8" s="1057"/>
      <c r="C8" s="1058"/>
      <c r="D8" s="1088"/>
      <c r="E8" s="1089"/>
      <c r="F8" s="1089"/>
      <c r="G8" s="1090"/>
      <c r="H8" s="614" t="s">
        <v>104</v>
      </c>
      <c r="I8" s="609" t="s">
        <v>517</v>
      </c>
    </row>
    <row r="9" spans="1:12" ht="15.75" customHeight="1" thickBot="1">
      <c r="A9" s="1059" t="s">
        <v>274</v>
      </c>
      <c r="B9" s="1060"/>
      <c r="C9" s="1060"/>
      <c r="D9" s="1060"/>
      <c r="E9" s="1060"/>
      <c r="F9" s="1060"/>
      <c r="G9" s="1060"/>
      <c r="H9" s="1060"/>
      <c r="I9" s="1061"/>
    </row>
    <row r="10" spans="1:12" ht="16" thickBot="1">
      <c r="A10" s="1122"/>
      <c r="B10" s="1123"/>
      <c r="C10" s="1123"/>
      <c r="D10" s="1123"/>
      <c r="E10" s="1123"/>
      <c r="F10" s="1123"/>
      <c r="G10" s="1123"/>
      <c r="H10" s="1123"/>
      <c r="I10" s="1124"/>
    </row>
    <row r="11" spans="1:12" ht="15.75" customHeight="1">
      <c r="A11" s="620" t="s">
        <v>3</v>
      </c>
      <c r="B11" s="1062" t="s">
        <v>519</v>
      </c>
      <c r="C11" s="1063"/>
      <c r="D11" s="1063"/>
      <c r="E11" s="1064"/>
      <c r="F11" s="1125"/>
      <c r="G11" s="637" t="s">
        <v>105</v>
      </c>
      <c r="H11" s="1065"/>
      <c r="I11" s="1066"/>
      <c r="K11" s="351"/>
    </row>
    <row r="12" spans="1:12" ht="15.75" customHeight="1">
      <c r="A12" s="621" t="s">
        <v>106</v>
      </c>
      <c r="B12" s="1067" t="s">
        <v>520</v>
      </c>
      <c r="C12" s="1068"/>
      <c r="D12" s="1068"/>
      <c r="E12" s="1069"/>
      <c r="F12" s="1125"/>
      <c r="G12" s="638" t="s">
        <v>122</v>
      </c>
      <c r="H12" s="1070" t="s">
        <v>522</v>
      </c>
      <c r="I12" s="1071"/>
      <c r="K12" s="350"/>
    </row>
    <row r="13" spans="1:12" ht="15.75" customHeight="1">
      <c r="A13" s="621" t="s">
        <v>107</v>
      </c>
      <c r="B13" s="1072">
        <v>6200160542</v>
      </c>
      <c r="C13" s="1073"/>
      <c r="D13" s="1073"/>
      <c r="E13" s="1071"/>
      <c r="F13" s="1125"/>
      <c r="G13" s="639" t="s">
        <v>108</v>
      </c>
      <c r="H13" s="1094"/>
      <c r="I13" s="1095"/>
    </row>
    <row r="14" spans="1:12" ht="15.75" customHeight="1" thickBot="1">
      <c r="A14" s="621" t="s">
        <v>109</v>
      </c>
      <c r="B14" s="1096">
        <v>1959782181</v>
      </c>
      <c r="C14" s="1096"/>
      <c r="D14" s="1096"/>
      <c r="E14" s="1097"/>
      <c r="F14" s="1125"/>
      <c r="G14" s="640" t="s">
        <v>110</v>
      </c>
      <c r="H14" s="1098"/>
      <c r="I14" s="1099"/>
      <c r="L14" s="349"/>
    </row>
    <row r="15" spans="1:12" ht="15.75" customHeight="1" thickBot="1">
      <c r="A15" s="621" t="s">
        <v>111</v>
      </c>
      <c r="B15" s="1072" t="s">
        <v>339</v>
      </c>
      <c r="C15" s="1072"/>
      <c r="D15" s="1072"/>
      <c r="E15" s="1074"/>
      <c r="F15" s="1125"/>
      <c r="G15" s="1091" t="s">
        <v>112</v>
      </c>
      <c r="H15" s="1092"/>
      <c r="I15" s="1093"/>
      <c r="L15" s="350"/>
    </row>
    <row r="16" spans="1:12" ht="15.75" customHeight="1">
      <c r="A16" s="622" t="s">
        <v>113</v>
      </c>
      <c r="B16" s="1072"/>
      <c r="C16" s="1072"/>
      <c r="D16" s="1072"/>
      <c r="E16" s="1074"/>
      <c r="F16" s="1125"/>
      <c r="G16" s="1075" t="s">
        <v>114</v>
      </c>
      <c r="H16" s="643" t="s">
        <v>115</v>
      </c>
      <c r="I16" s="644" t="s">
        <v>273</v>
      </c>
    </row>
    <row r="17" spans="1:9" ht="15.75" customHeight="1" thickBot="1">
      <c r="A17" s="623" t="s">
        <v>516</v>
      </c>
      <c r="B17" s="1077"/>
      <c r="C17" s="1077"/>
      <c r="D17" s="1077"/>
      <c r="E17" s="1078"/>
      <c r="F17" s="1125"/>
      <c r="G17" s="1076"/>
      <c r="H17" s="645" t="s">
        <v>116</v>
      </c>
      <c r="I17" s="634" t="s">
        <v>273</v>
      </c>
    </row>
    <row r="18" spans="1:9" ht="15.75" customHeight="1">
      <c r="A18" s="624" t="s">
        <v>79</v>
      </c>
      <c r="B18" s="618">
        <v>2018</v>
      </c>
      <c r="C18" s="615">
        <f>+B18+1</f>
        <v>2019</v>
      </c>
      <c r="D18" s="615">
        <f>+C18+1</f>
        <v>2020</v>
      </c>
      <c r="E18" s="120">
        <f>+D18+1</f>
        <v>2021</v>
      </c>
      <c r="F18" s="1125"/>
      <c r="G18" s="641" t="s">
        <v>73</v>
      </c>
      <c r="H18" s="645" t="s">
        <v>117</v>
      </c>
      <c r="I18" s="635"/>
    </row>
    <row r="19" spans="1:9" ht="15.75" customHeight="1" thickBot="1">
      <c r="A19" s="625" t="s">
        <v>167</v>
      </c>
      <c r="B19" s="631"/>
      <c r="C19" s="632"/>
      <c r="D19" s="632"/>
      <c r="E19" s="633"/>
      <c r="F19" s="1125"/>
      <c r="G19" s="641" t="s">
        <v>118</v>
      </c>
      <c r="H19" s="1120" t="s">
        <v>521</v>
      </c>
      <c r="I19" s="1121"/>
    </row>
    <row r="20" spans="1:9" ht="15.75" customHeight="1">
      <c r="A20" s="624" t="s">
        <v>79</v>
      </c>
      <c r="B20" s="618">
        <f>+E18+1</f>
        <v>2022</v>
      </c>
      <c r="C20" s="615">
        <f>+B20+1</f>
        <v>2023</v>
      </c>
      <c r="D20" s="615">
        <f>+C20+1</f>
        <v>2024</v>
      </c>
      <c r="E20" s="120">
        <f>+D20+1</f>
        <v>2025</v>
      </c>
      <c r="F20" s="1125"/>
      <c r="G20" s="641" t="s">
        <v>119</v>
      </c>
      <c r="H20" s="646"/>
      <c r="I20" s="634"/>
    </row>
    <row r="21" spans="1:9" ht="15.75" customHeight="1" thickBot="1">
      <c r="A21" s="625" t="s">
        <v>167</v>
      </c>
      <c r="B21" s="631">
        <v>1000</v>
      </c>
      <c r="C21" s="632">
        <v>2000</v>
      </c>
      <c r="D21" s="632">
        <v>2000</v>
      </c>
      <c r="E21" s="617"/>
      <c r="F21" s="1125"/>
      <c r="G21" s="641" t="s">
        <v>120</v>
      </c>
      <c r="H21" s="647" t="s">
        <v>121</v>
      </c>
      <c r="I21" s="636"/>
    </row>
    <row r="22" spans="1:9" ht="15.75" customHeight="1">
      <c r="A22" s="627" t="s">
        <v>79</v>
      </c>
      <c r="B22" s="628">
        <f>+E20+1</f>
        <v>2026</v>
      </c>
      <c r="C22" s="629">
        <f>+B22+1</f>
        <v>2027</v>
      </c>
      <c r="D22" s="629">
        <f>+C22+1</f>
        <v>2028</v>
      </c>
      <c r="E22" s="630">
        <f>+D22+1</f>
        <v>2029</v>
      </c>
      <c r="F22" s="1125"/>
      <c r="G22" s="641"/>
      <c r="H22" s="1126"/>
      <c r="I22" s="1127"/>
    </row>
    <row r="23" spans="1:9" ht="15.75" customHeight="1" thickBot="1">
      <c r="A23" s="625" t="s">
        <v>167</v>
      </c>
      <c r="B23" s="619"/>
      <c r="C23" s="616"/>
      <c r="D23" s="616"/>
      <c r="E23" s="617"/>
      <c r="F23" s="1125"/>
      <c r="G23" s="641"/>
      <c r="H23" s="1126"/>
      <c r="I23" s="1127"/>
    </row>
    <row r="24" spans="1:9" ht="15.75" customHeight="1" thickBot="1">
      <c r="A24" s="626" t="s">
        <v>183</v>
      </c>
      <c r="B24" s="1062" t="s">
        <v>523</v>
      </c>
      <c r="C24" s="1063"/>
      <c r="D24" s="1063"/>
      <c r="E24" s="1064"/>
      <c r="F24" s="1125"/>
      <c r="G24" s="642" t="s">
        <v>271</v>
      </c>
      <c r="H24" s="1118" t="s">
        <v>272</v>
      </c>
      <c r="I24" s="1119"/>
    </row>
    <row r="25" spans="1:9" ht="15.75" customHeight="1" thickBot="1">
      <c r="A25" s="1079"/>
      <c r="B25" s="1080"/>
      <c r="C25" s="1080"/>
      <c r="D25" s="1080"/>
      <c r="E25" s="1080"/>
      <c r="F25" s="1080"/>
      <c r="G25" s="1080"/>
      <c r="H25" s="1080"/>
      <c r="I25" s="1081"/>
    </row>
    <row r="27" spans="1:9" ht="10" customHeight="1"/>
    <row r="28" spans="1:9" ht="10" customHeight="1"/>
    <row r="29" spans="1:9" ht="10" customHeight="1"/>
    <row r="30" spans="1:9" ht="10" customHeight="1"/>
    <row r="31" spans="1:9" ht="10" customHeight="1"/>
    <row r="32" spans="1:9" ht="10" customHeight="1"/>
    <row r="33" ht="10" customHeight="1"/>
    <row r="34" ht="10" customHeight="1"/>
    <row r="35" ht="10" customHeight="1"/>
    <row r="36" ht="10" customHeight="1"/>
    <row r="37" ht="10" customHeight="1"/>
    <row r="38" ht="10" customHeight="1"/>
    <row r="39" ht="10" customHeight="1"/>
    <row r="40" ht="10" customHeight="1"/>
    <row r="41" ht="10" customHeight="1"/>
    <row r="42" ht="10" customHeight="1"/>
    <row r="43" ht="10" customHeight="1"/>
    <row r="44" ht="10" customHeight="1"/>
    <row r="45" ht="10" customHeight="1"/>
    <row r="46" ht="10" customHeight="1"/>
    <row r="47" ht="10" customHeight="1"/>
    <row r="48" ht="10" customHeight="1"/>
    <row r="49" spans="1:18" ht="10" customHeight="1"/>
    <row r="50" spans="1:18" ht="10" customHeight="1"/>
    <row r="51" spans="1:18" ht="10" customHeight="1"/>
    <row r="52" spans="1:18" ht="10" customHeight="1"/>
    <row r="53" spans="1:18" ht="10" customHeight="1"/>
    <row r="54" spans="1:18" ht="10" customHeight="1"/>
    <row r="55" spans="1:18" ht="10" customHeight="1"/>
    <row r="56" spans="1:18" ht="10" customHeight="1"/>
    <row r="57" spans="1:18" ht="10" customHeight="1"/>
    <row r="58" spans="1:18" ht="10" customHeight="1"/>
    <row r="59" spans="1:18" ht="10" customHeight="1"/>
    <row r="60" spans="1:18" ht="10" customHeight="1"/>
    <row r="61" spans="1:18" ht="10" customHeight="1">
      <c r="K61" s="341"/>
      <c r="L61" s="341"/>
      <c r="M61" s="341"/>
      <c r="N61" s="341"/>
      <c r="O61" s="341"/>
      <c r="P61" s="341"/>
      <c r="Q61" s="341"/>
      <c r="R61" s="341"/>
    </row>
    <row r="62" spans="1:18" s="343" customFormat="1" ht="10" customHeight="1">
      <c r="A62" s="340"/>
      <c r="B62" s="340"/>
      <c r="C62" s="340"/>
      <c r="D62" s="340"/>
      <c r="E62" s="340"/>
      <c r="F62" s="340"/>
      <c r="G62" s="340"/>
      <c r="H62" s="340"/>
      <c r="I62" s="340"/>
      <c r="J62" s="340"/>
      <c r="K62" s="342"/>
      <c r="L62" s="342"/>
      <c r="M62" s="342"/>
      <c r="N62" s="342"/>
      <c r="O62" s="342"/>
      <c r="P62" s="342"/>
      <c r="Q62" s="342"/>
      <c r="R62" s="342"/>
    </row>
    <row r="63" spans="1:18" s="343" customFormat="1" ht="10" customHeight="1">
      <c r="A63" s="340"/>
      <c r="B63" s="340"/>
      <c r="C63" s="340"/>
      <c r="D63" s="340"/>
      <c r="E63" s="340"/>
      <c r="F63" s="340"/>
      <c r="G63" s="340"/>
      <c r="H63" s="340"/>
      <c r="I63" s="340"/>
      <c r="J63" s="340"/>
      <c r="K63" s="341"/>
      <c r="L63" s="341"/>
      <c r="M63" s="341"/>
      <c r="N63" s="341"/>
      <c r="O63" s="341"/>
      <c r="P63" s="344"/>
      <c r="Q63" s="341"/>
      <c r="R63" s="342"/>
    </row>
    <row r="64" spans="1:18" s="343" customFormat="1" ht="10" customHeight="1">
      <c r="A64" s="340"/>
      <c r="B64" s="340"/>
      <c r="C64" s="340"/>
      <c r="D64" s="340"/>
      <c r="E64" s="340"/>
      <c r="F64" s="340"/>
      <c r="G64" s="340"/>
      <c r="H64" s="340"/>
      <c r="I64" s="340"/>
      <c r="J64" s="340"/>
      <c r="K64" s="341"/>
      <c r="L64" s="341"/>
      <c r="M64" s="345"/>
      <c r="N64" s="346"/>
      <c r="O64" s="345"/>
      <c r="P64" s="344"/>
      <c r="Q64" s="344"/>
      <c r="R64" s="342"/>
    </row>
    <row r="65" spans="1:18" s="343" customFormat="1" ht="10" customHeight="1">
      <c r="A65" s="340"/>
      <c r="B65" s="340"/>
      <c r="C65" s="340"/>
      <c r="D65" s="340"/>
      <c r="E65" s="340"/>
      <c r="F65" s="340"/>
      <c r="G65" s="340"/>
      <c r="H65" s="340"/>
      <c r="I65" s="340"/>
      <c r="J65" s="340"/>
      <c r="K65" s="1049"/>
      <c r="L65" s="341"/>
      <c r="M65" s="345"/>
      <c r="N65" s="347"/>
      <c r="O65" s="345"/>
      <c r="P65" s="344"/>
      <c r="Q65" s="341"/>
      <c r="R65" s="342"/>
    </row>
    <row r="66" spans="1:18" s="343" customFormat="1" ht="10" customHeight="1">
      <c r="A66" s="340"/>
      <c r="B66" s="340"/>
      <c r="C66" s="340"/>
      <c r="D66" s="340"/>
      <c r="E66" s="340"/>
      <c r="F66" s="340"/>
      <c r="G66" s="340"/>
      <c r="H66" s="340"/>
      <c r="I66" s="340"/>
      <c r="J66" s="340"/>
      <c r="K66" s="1049"/>
      <c r="L66" s="341"/>
      <c r="M66" s="348"/>
      <c r="N66" s="347"/>
      <c r="O66" s="345"/>
      <c r="P66" s="344"/>
      <c r="Q66" s="341"/>
      <c r="R66" s="342"/>
    </row>
    <row r="67" spans="1:18" s="343" customFormat="1" ht="10" customHeight="1">
      <c r="A67" s="340"/>
      <c r="B67" s="340"/>
      <c r="C67" s="340"/>
      <c r="D67" s="340"/>
      <c r="E67" s="340"/>
      <c r="F67" s="340"/>
      <c r="G67" s="340"/>
      <c r="H67" s="340"/>
      <c r="I67" s="340"/>
      <c r="J67" s="340"/>
      <c r="K67" s="348"/>
      <c r="L67" s="341"/>
      <c r="M67" s="348"/>
      <c r="N67" s="347"/>
      <c r="O67" s="345"/>
      <c r="P67" s="344"/>
      <c r="Q67" s="341"/>
      <c r="R67" s="342"/>
    </row>
    <row r="68" spans="1:18" s="343" customFormat="1" ht="10" customHeight="1">
      <c r="A68" s="340"/>
      <c r="B68" s="340"/>
      <c r="C68" s="340"/>
      <c r="D68" s="340"/>
      <c r="E68" s="340"/>
      <c r="F68" s="340"/>
      <c r="G68" s="340"/>
      <c r="H68" s="340"/>
      <c r="I68" s="340"/>
      <c r="J68" s="340"/>
      <c r="K68" s="1049"/>
      <c r="L68" s="341"/>
      <c r="M68" s="348"/>
      <c r="N68" s="344"/>
      <c r="O68" s="344"/>
      <c r="P68" s="344"/>
      <c r="Q68" s="341"/>
      <c r="R68" s="342"/>
    </row>
    <row r="69" spans="1:18" s="343" customFormat="1" ht="10" customHeight="1">
      <c r="A69" s="340"/>
      <c r="B69" s="340"/>
      <c r="C69" s="340"/>
      <c r="D69" s="340"/>
      <c r="E69" s="340"/>
      <c r="F69" s="340"/>
      <c r="G69" s="340"/>
      <c r="H69" s="340"/>
      <c r="I69" s="340"/>
      <c r="J69" s="340"/>
      <c r="K69" s="1049"/>
      <c r="L69" s="341"/>
      <c r="M69" s="348"/>
      <c r="N69" s="344"/>
      <c r="O69" s="344"/>
      <c r="P69" s="344"/>
      <c r="Q69" s="341"/>
      <c r="R69" s="342"/>
    </row>
    <row r="70" spans="1:18" s="343" customFormat="1" ht="10" customHeight="1">
      <c r="A70" s="340"/>
      <c r="B70" s="340"/>
      <c r="C70" s="340"/>
      <c r="D70" s="340"/>
      <c r="E70" s="340"/>
      <c r="F70" s="340"/>
      <c r="G70" s="340"/>
      <c r="H70" s="340"/>
      <c r="I70" s="340"/>
      <c r="J70" s="340"/>
      <c r="K70" s="341"/>
      <c r="L70" s="341"/>
      <c r="M70" s="341"/>
      <c r="N70" s="341"/>
      <c r="O70" s="341"/>
      <c r="P70" s="341"/>
      <c r="Q70" s="341"/>
      <c r="R70" s="342"/>
    </row>
    <row r="71" spans="1:18" s="343" customFormat="1" ht="10" customHeight="1">
      <c r="A71" s="340"/>
      <c r="B71" s="340"/>
      <c r="C71" s="340"/>
      <c r="D71" s="340"/>
      <c r="E71" s="340"/>
      <c r="F71" s="340"/>
      <c r="G71" s="340"/>
      <c r="H71" s="340"/>
      <c r="I71" s="340"/>
      <c r="J71" s="340"/>
      <c r="K71" s="341"/>
      <c r="L71" s="341"/>
      <c r="M71" s="341"/>
      <c r="N71" s="341"/>
      <c r="O71" s="341"/>
      <c r="P71" s="341"/>
      <c r="Q71" s="341"/>
      <c r="R71" s="342"/>
    </row>
    <row r="72" spans="1:18" s="343" customFormat="1" ht="10" customHeight="1">
      <c r="A72" s="340"/>
      <c r="B72" s="340"/>
      <c r="C72" s="340"/>
      <c r="D72" s="340"/>
      <c r="E72" s="340"/>
      <c r="F72" s="340"/>
      <c r="G72" s="340"/>
      <c r="H72" s="340"/>
      <c r="I72" s="340"/>
      <c r="J72" s="340"/>
      <c r="K72" s="341"/>
      <c r="L72" s="341"/>
      <c r="M72" s="341"/>
      <c r="N72" s="341"/>
      <c r="O72" s="341"/>
      <c r="P72" s="341"/>
      <c r="Q72" s="341"/>
      <c r="R72" s="342"/>
    </row>
    <row r="73" spans="1:18" s="343" customFormat="1" ht="10" customHeight="1">
      <c r="A73" s="340"/>
      <c r="B73" s="340"/>
      <c r="C73" s="340"/>
      <c r="D73" s="340"/>
      <c r="E73" s="340"/>
      <c r="F73" s="340"/>
      <c r="G73" s="340"/>
      <c r="H73" s="340"/>
      <c r="I73" s="340"/>
      <c r="J73" s="340"/>
      <c r="K73" s="341"/>
      <c r="L73" s="341"/>
      <c r="M73" s="341"/>
      <c r="N73" s="341"/>
      <c r="O73" s="341"/>
      <c r="P73" s="341"/>
      <c r="Q73" s="341"/>
      <c r="R73" s="342"/>
    </row>
    <row r="74" spans="1:18" s="343" customFormat="1" ht="10" customHeight="1">
      <c r="A74" s="340"/>
      <c r="B74" s="340"/>
      <c r="C74" s="340"/>
      <c r="D74" s="340"/>
      <c r="E74" s="340"/>
      <c r="F74" s="340"/>
      <c r="G74" s="340"/>
      <c r="H74" s="340"/>
      <c r="I74" s="340"/>
      <c r="J74" s="340"/>
    </row>
    <row r="75" spans="1:18" s="343" customFormat="1" ht="10" customHeight="1">
      <c r="A75" s="340"/>
      <c r="B75" s="340"/>
      <c r="C75" s="340"/>
      <c r="D75" s="340"/>
      <c r="E75" s="340"/>
      <c r="F75" s="340"/>
      <c r="G75" s="340"/>
      <c r="H75" s="340"/>
      <c r="I75" s="340"/>
      <c r="J75" s="340"/>
    </row>
    <row r="76" spans="1:18" s="343" customFormat="1" ht="10" customHeight="1">
      <c r="A76" s="340"/>
      <c r="B76" s="340"/>
      <c r="C76" s="340"/>
      <c r="D76" s="340"/>
      <c r="E76" s="340"/>
      <c r="F76" s="340"/>
      <c r="G76" s="340"/>
      <c r="H76" s="340"/>
      <c r="I76" s="340"/>
      <c r="J76" s="340"/>
    </row>
    <row r="77" spans="1:18" s="343" customFormat="1" ht="10" customHeight="1">
      <c r="A77" s="340"/>
      <c r="B77" s="340"/>
      <c r="C77" s="340"/>
      <c r="D77" s="340"/>
      <c r="E77" s="340"/>
      <c r="F77" s="340"/>
      <c r="G77" s="340"/>
      <c r="H77" s="340"/>
      <c r="I77" s="340"/>
      <c r="J77" s="340"/>
    </row>
    <row r="78" spans="1:18" s="343" customFormat="1" ht="10" customHeight="1">
      <c r="A78" s="340"/>
      <c r="B78" s="340"/>
      <c r="C78" s="340"/>
      <c r="D78" s="340"/>
      <c r="E78" s="340"/>
      <c r="F78" s="340"/>
      <c r="G78" s="340"/>
      <c r="H78" s="340"/>
      <c r="I78" s="340"/>
      <c r="J78" s="340"/>
    </row>
    <row r="79" spans="1:18" s="343" customFormat="1" ht="10" customHeight="1">
      <c r="A79" s="340"/>
      <c r="B79" s="340"/>
      <c r="C79" s="340"/>
      <c r="D79" s="340"/>
      <c r="E79" s="340"/>
      <c r="F79" s="340"/>
      <c r="G79" s="340"/>
      <c r="H79" s="340"/>
      <c r="I79" s="340"/>
      <c r="J79" s="340"/>
    </row>
    <row r="80" spans="1:18" s="343" customFormat="1" ht="10" customHeight="1">
      <c r="A80" s="340"/>
      <c r="B80" s="340"/>
      <c r="C80" s="340"/>
      <c r="D80" s="340"/>
      <c r="E80" s="340"/>
      <c r="F80" s="340"/>
      <c r="G80" s="340"/>
      <c r="H80" s="340"/>
      <c r="I80" s="340"/>
      <c r="J80" s="340"/>
    </row>
    <row r="81" spans="1:10" s="343" customFormat="1" ht="10" customHeight="1">
      <c r="A81" s="340"/>
      <c r="B81" s="340"/>
      <c r="C81" s="340"/>
      <c r="D81" s="340"/>
      <c r="E81" s="340"/>
      <c r="F81" s="340"/>
      <c r="G81" s="340"/>
      <c r="H81" s="340"/>
      <c r="I81" s="340"/>
      <c r="J81" s="340"/>
    </row>
    <row r="82" spans="1:10" s="343" customFormat="1" ht="10" customHeight="1">
      <c r="A82" s="340"/>
      <c r="B82" s="340"/>
      <c r="C82" s="340"/>
      <c r="D82" s="340"/>
      <c r="E82" s="340"/>
      <c r="F82" s="340"/>
      <c r="G82" s="340"/>
      <c r="H82" s="340"/>
      <c r="I82" s="340"/>
      <c r="J82" s="340"/>
    </row>
    <row r="83" spans="1:10" s="343" customFormat="1" ht="10" customHeight="1">
      <c r="A83" s="340"/>
      <c r="B83" s="340"/>
      <c r="C83" s="340"/>
      <c r="D83" s="340"/>
      <c r="E83" s="340"/>
      <c r="F83" s="340"/>
      <c r="G83" s="340"/>
      <c r="H83" s="340"/>
      <c r="I83" s="340"/>
      <c r="J83" s="340"/>
    </row>
    <row r="84" spans="1:10" s="343" customFormat="1" ht="10" customHeight="1">
      <c r="A84" s="340"/>
      <c r="B84" s="340"/>
      <c r="C84" s="340"/>
      <c r="D84" s="340"/>
      <c r="E84" s="340"/>
      <c r="F84" s="340"/>
      <c r="G84" s="340"/>
      <c r="H84" s="340"/>
      <c r="I84" s="340"/>
      <c r="J84" s="340"/>
    </row>
    <row r="85" spans="1:10" s="343" customFormat="1" ht="10" customHeight="1">
      <c r="A85" s="340"/>
      <c r="B85" s="340"/>
      <c r="C85" s="340"/>
      <c r="D85" s="340"/>
      <c r="E85" s="340"/>
      <c r="F85" s="340"/>
      <c r="G85" s="340"/>
      <c r="H85" s="340"/>
      <c r="I85" s="340"/>
      <c r="J85" s="340"/>
    </row>
    <row r="86" spans="1:10" s="343" customFormat="1" ht="10" customHeight="1">
      <c r="A86" s="340"/>
      <c r="B86" s="340"/>
      <c r="C86" s="340"/>
      <c r="D86" s="340"/>
      <c r="E86" s="340"/>
      <c r="F86" s="340"/>
      <c r="G86" s="340"/>
      <c r="H86" s="340"/>
      <c r="I86" s="340"/>
      <c r="J86" s="340"/>
    </row>
    <row r="87" spans="1:10" s="343" customFormat="1" ht="10" customHeight="1">
      <c r="A87" s="340"/>
      <c r="B87" s="340"/>
      <c r="C87" s="340"/>
      <c r="D87" s="340"/>
      <c r="E87" s="340"/>
      <c r="F87" s="340"/>
      <c r="G87" s="340"/>
      <c r="H87" s="340"/>
      <c r="I87" s="340"/>
      <c r="J87" s="340"/>
    </row>
    <row r="88" spans="1:10" s="343" customFormat="1" ht="10" customHeight="1">
      <c r="A88" s="340"/>
      <c r="B88" s="340"/>
      <c r="C88" s="340"/>
      <c r="D88" s="340"/>
      <c r="E88" s="340"/>
      <c r="F88" s="340"/>
      <c r="G88" s="340"/>
      <c r="H88" s="340"/>
      <c r="I88" s="340"/>
      <c r="J88" s="340"/>
    </row>
    <row r="89" spans="1:10" s="343" customFormat="1" ht="10" customHeight="1">
      <c r="A89" s="340"/>
      <c r="B89" s="340"/>
      <c r="C89" s="340"/>
      <c r="D89" s="340"/>
      <c r="E89" s="340"/>
      <c r="F89" s="340"/>
      <c r="G89" s="340"/>
      <c r="H89" s="340"/>
      <c r="I89" s="340"/>
      <c r="J89" s="340"/>
    </row>
    <row r="90" spans="1:10" s="343" customFormat="1" ht="10" customHeight="1">
      <c r="A90" s="340"/>
      <c r="B90" s="340"/>
      <c r="C90" s="340"/>
      <c r="D90" s="340"/>
      <c r="E90" s="340"/>
      <c r="F90" s="340"/>
      <c r="G90" s="340"/>
      <c r="H90" s="340"/>
      <c r="I90" s="340"/>
      <c r="J90" s="340"/>
    </row>
    <row r="91" spans="1:10" s="343" customFormat="1" ht="10" customHeight="1">
      <c r="A91" s="340"/>
      <c r="B91" s="340"/>
      <c r="C91" s="340"/>
      <c r="D91" s="340"/>
      <c r="E91" s="340"/>
      <c r="F91" s="340"/>
      <c r="G91" s="340"/>
      <c r="H91" s="340"/>
      <c r="I91" s="340"/>
      <c r="J91" s="340"/>
    </row>
    <row r="92" spans="1:10" s="343" customFormat="1" ht="10" customHeight="1">
      <c r="A92" s="340"/>
      <c r="B92" s="340"/>
      <c r="C92" s="340"/>
      <c r="D92" s="340"/>
      <c r="E92" s="340"/>
      <c r="F92" s="340"/>
      <c r="G92" s="340"/>
      <c r="H92" s="340"/>
      <c r="I92" s="340"/>
      <c r="J92" s="340"/>
    </row>
    <row r="93" spans="1:10" s="343" customFormat="1" ht="10" customHeight="1">
      <c r="A93" s="340"/>
      <c r="B93" s="340"/>
      <c r="C93" s="340"/>
      <c r="D93" s="340"/>
      <c r="E93" s="340"/>
      <c r="F93" s="340"/>
      <c r="G93" s="340"/>
      <c r="H93" s="340"/>
      <c r="I93" s="340"/>
      <c r="J93" s="340"/>
    </row>
    <row r="94" spans="1:10" s="343" customFormat="1" ht="10" customHeight="1">
      <c r="A94" s="340"/>
      <c r="B94" s="340"/>
      <c r="C94" s="340"/>
      <c r="D94" s="340"/>
      <c r="E94" s="340"/>
      <c r="F94" s="340"/>
      <c r="G94" s="340"/>
      <c r="H94" s="340"/>
      <c r="I94" s="340"/>
      <c r="J94" s="340"/>
    </row>
    <row r="95" spans="1:10" s="343" customFormat="1" ht="10" customHeight="1">
      <c r="A95" s="340"/>
      <c r="B95" s="340"/>
      <c r="C95" s="340"/>
      <c r="D95" s="340"/>
      <c r="E95" s="340"/>
      <c r="F95" s="340"/>
      <c r="G95" s="340"/>
      <c r="H95" s="340"/>
      <c r="I95" s="340"/>
      <c r="J95" s="340"/>
    </row>
  </sheetData>
  <mergeCells count="30">
    <mergeCell ref="K65:K66"/>
    <mergeCell ref="H13:I13"/>
    <mergeCell ref="B14:E14"/>
    <mergeCell ref="H14:I14"/>
    <mergeCell ref="A2:I2"/>
    <mergeCell ref="A3:C5"/>
    <mergeCell ref="D3:G5"/>
    <mergeCell ref="B24:E24"/>
    <mergeCell ref="H24:I24"/>
    <mergeCell ref="H19:I19"/>
    <mergeCell ref="A10:I10"/>
    <mergeCell ref="F11:F24"/>
    <mergeCell ref="H22:I22"/>
    <mergeCell ref="H23:I23"/>
    <mergeCell ref="A1:I1"/>
    <mergeCell ref="K68:K69"/>
    <mergeCell ref="A6:C8"/>
    <mergeCell ref="A9:I9"/>
    <mergeCell ref="B11:E11"/>
    <mergeCell ref="H11:I11"/>
    <mergeCell ref="B12:E12"/>
    <mergeCell ref="H12:I12"/>
    <mergeCell ref="B13:E13"/>
    <mergeCell ref="B16:E16"/>
    <mergeCell ref="G16:G17"/>
    <mergeCell ref="B17:E17"/>
    <mergeCell ref="A25:I25"/>
    <mergeCell ref="D6:G8"/>
    <mergeCell ref="B15:E15"/>
    <mergeCell ref="G15:I15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zoomScaleNormal="100" workbookViewId="0">
      <selection activeCell="C6" sqref="C6"/>
    </sheetView>
  </sheetViews>
  <sheetFormatPr defaultColWidth="9.33203125" defaultRowHeight="14.5"/>
  <cols>
    <col min="1" max="1" width="21.33203125" style="443" bestFit="1" customWidth="1"/>
    <col min="2" max="2" width="51.6640625" style="443" bestFit="1" customWidth="1"/>
    <col min="3" max="3" width="36.6640625" style="443" customWidth="1"/>
    <col min="4" max="4" width="15.6640625" style="443" bestFit="1" customWidth="1"/>
    <col min="5" max="6" width="14.33203125" style="443" bestFit="1" customWidth="1"/>
    <col min="7" max="7" width="17.6640625" style="443" bestFit="1" customWidth="1"/>
    <col min="8" max="8" width="9.33203125" style="443"/>
    <col min="9" max="9" width="54" style="443" bestFit="1" customWidth="1"/>
    <col min="10" max="10" width="7" style="443" bestFit="1" customWidth="1"/>
    <col min="11" max="11" width="11.6640625" style="443" customWidth="1"/>
    <col min="12" max="12" width="12" style="443" customWidth="1"/>
    <col min="13" max="13" width="12.44140625" style="443" customWidth="1"/>
    <col min="14" max="14" width="12.6640625" style="443" customWidth="1"/>
    <col min="15" max="15" width="34.33203125" style="443" bestFit="1" customWidth="1"/>
    <col min="16" max="16" width="14.6640625" style="443" bestFit="1" customWidth="1"/>
    <col min="17" max="16384" width="9.33203125" style="443"/>
  </cols>
  <sheetData>
    <row r="1" spans="1:16" ht="15" thickBot="1">
      <c r="A1" s="1128" t="s">
        <v>454</v>
      </c>
      <c r="B1" s="1129"/>
      <c r="C1" s="1130"/>
      <c r="D1" s="1131" t="s">
        <v>447</v>
      </c>
      <c r="E1" s="1132"/>
      <c r="F1" s="1132"/>
      <c r="G1" s="1133"/>
      <c r="H1" s="1137" t="s">
        <v>337</v>
      </c>
      <c r="I1" s="1138"/>
      <c r="J1" s="1138"/>
      <c r="K1" s="1138"/>
      <c r="L1" s="1138"/>
      <c r="M1" s="1138"/>
      <c r="N1" s="1138"/>
      <c r="O1" s="1138"/>
      <c r="P1" s="1139"/>
    </row>
    <row r="2" spans="1:16" ht="15" thickBot="1">
      <c r="A2" s="1140" t="s">
        <v>455</v>
      </c>
      <c r="B2" s="1141"/>
      <c r="C2" s="1142"/>
      <c r="D2" s="1134"/>
      <c r="E2" s="1135"/>
      <c r="F2" s="1135"/>
      <c r="G2" s="1136"/>
      <c r="H2" s="1143"/>
      <c r="I2" s="1144"/>
      <c r="J2" s="1144"/>
      <c r="K2" s="1144"/>
      <c r="L2" s="1144"/>
      <c r="M2" s="1144"/>
      <c r="N2" s="1144"/>
      <c r="O2" s="1144"/>
      <c r="P2" s="1145"/>
    </row>
    <row r="3" spans="1:16">
      <c r="A3" s="1140" t="s">
        <v>456</v>
      </c>
      <c r="B3" s="1141"/>
      <c r="C3" s="1142"/>
      <c r="D3" s="1131" t="s">
        <v>338</v>
      </c>
      <c r="E3" s="1132"/>
      <c r="F3" s="1132"/>
      <c r="G3" s="1133"/>
      <c r="H3" s="1146"/>
      <c r="I3" s="1147"/>
      <c r="J3" s="1147"/>
      <c r="K3" s="1147"/>
      <c r="L3" s="1147"/>
      <c r="M3" s="1147"/>
      <c r="N3" s="1147"/>
      <c r="O3" s="1147"/>
      <c r="P3" s="1148"/>
    </row>
    <row r="4" spans="1:16">
      <c r="A4" s="1140" t="s">
        <v>457</v>
      </c>
      <c r="B4" s="1141"/>
      <c r="C4" s="1142"/>
      <c r="D4" s="1152"/>
      <c r="E4" s="1153"/>
      <c r="F4" s="1153"/>
      <c r="G4" s="1154"/>
      <c r="H4" s="1146"/>
      <c r="I4" s="1147"/>
      <c r="J4" s="1147"/>
      <c r="K4" s="1147"/>
      <c r="L4" s="1147"/>
      <c r="M4" s="1147"/>
      <c r="N4" s="1147"/>
      <c r="O4" s="1147"/>
      <c r="P4" s="1148"/>
    </row>
    <row r="5" spans="1:16" ht="15" thickBot="1">
      <c r="A5" s="1155" t="s">
        <v>458</v>
      </c>
      <c r="B5" s="1156"/>
      <c r="C5" s="1157"/>
      <c r="D5" s="1134"/>
      <c r="E5" s="1135"/>
      <c r="F5" s="1135"/>
      <c r="G5" s="1136"/>
      <c r="H5" s="1146"/>
      <c r="I5" s="1147"/>
      <c r="J5" s="1147"/>
      <c r="K5" s="1147"/>
      <c r="L5" s="1147"/>
      <c r="M5" s="1147"/>
      <c r="N5" s="1147"/>
      <c r="O5" s="1147"/>
      <c r="P5" s="1148"/>
    </row>
    <row r="6" spans="1:16" ht="15" thickBot="1">
      <c r="A6" s="578"/>
      <c r="B6" s="579"/>
      <c r="C6" s="445" t="s">
        <v>339</v>
      </c>
      <c r="D6" s="446" t="s">
        <v>340</v>
      </c>
      <c r="E6" s="446" t="s">
        <v>341</v>
      </c>
      <c r="F6" s="447" t="s">
        <v>342</v>
      </c>
      <c r="G6" s="580" t="s">
        <v>343</v>
      </c>
      <c r="H6" s="1146"/>
      <c r="I6" s="1147"/>
      <c r="J6" s="1147"/>
      <c r="K6" s="1147"/>
      <c r="L6" s="1147"/>
      <c r="M6" s="1147"/>
      <c r="N6" s="1147"/>
      <c r="O6" s="1147"/>
      <c r="P6" s="1148"/>
    </row>
    <row r="7" spans="1:16">
      <c r="A7" s="1158" t="s">
        <v>344</v>
      </c>
      <c r="B7" s="448" t="s">
        <v>345</v>
      </c>
      <c r="C7" s="449"/>
      <c r="D7" s="450"/>
      <c r="E7" s="450"/>
      <c r="F7" s="450"/>
      <c r="G7" s="581"/>
      <c r="H7" s="1146"/>
      <c r="I7" s="1147"/>
      <c r="J7" s="1147"/>
      <c r="K7" s="1147"/>
      <c r="L7" s="1147"/>
      <c r="M7" s="1147"/>
      <c r="N7" s="1147"/>
      <c r="O7" s="1147"/>
      <c r="P7" s="1148"/>
    </row>
    <row r="8" spans="1:16">
      <c r="A8" s="1158"/>
      <c r="B8" s="451" t="s">
        <v>19</v>
      </c>
      <c r="C8" s="557"/>
      <c r="D8" s="557"/>
      <c r="E8" s="558"/>
      <c r="F8" s="558"/>
      <c r="G8" s="582"/>
      <c r="H8" s="1146"/>
      <c r="I8" s="1147"/>
      <c r="J8" s="1147"/>
      <c r="K8" s="1147"/>
      <c r="L8" s="1147"/>
      <c r="M8" s="1147"/>
      <c r="N8" s="1147"/>
      <c r="O8" s="1147"/>
      <c r="P8" s="1148"/>
    </row>
    <row r="9" spans="1:16">
      <c r="A9" s="1158"/>
      <c r="B9" s="451" t="s">
        <v>459</v>
      </c>
      <c r="C9" s="557"/>
      <c r="D9" s="557"/>
      <c r="E9" s="558"/>
      <c r="F9" s="558"/>
      <c r="G9" s="582"/>
      <c r="H9" s="1146"/>
      <c r="I9" s="1147"/>
      <c r="J9" s="1147"/>
      <c r="K9" s="1147"/>
      <c r="L9" s="1147"/>
      <c r="M9" s="1147"/>
      <c r="N9" s="1147"/>
      <c r="O9" s="1147"/>
      <c r="P9" s="1148"/>
    </row>
    <row r="10" spans="1:16">
      <c r="A10" s="1158"/>
      <c r="B10" s="451" t="s">
        <v>346</v>
      </c>
      <c r="C10" s="557"/>
      <c r="D10" s="557"/>
      <c r="E10" s="558"/>
      <c r="F10" s="558"/>
      <c r="G10" s="582"/>
      <c r="H10" s="1146"/>
      <c r="I10" s="1147"/>
      <c r="J10" s="1147"/>
      <c r="K10" s="1147"/>
      <c r="L10" s="1147"/>
      <c r="M10" s="1147"/>
      <c r="N10" s="1147"/>
      <c r="O10" s="1147"/>
      <c r="P10" s="1148"/>
    </row>
    <row r="11" spans="1:16">
      <c r="A11" s="1158"/>
      <c r="B11" s="451" t="s">
        <v>347</v>
      </c>
      <c r="C11" s="557"/>
      <c r="D11" s="557"/>
      <c r="E11" s="558"/>
      <c r="F11" s="558"/>
      <c r="G11" s="582"/>
      <c r="H11" s="1146"/>
      <c r="I11" s="1147"/>
      <c r="J11" s="1147"/>
      <c r="K11" s="1147"/>
      <c r="L11" s="1147"/>
      <c r="M11" s="1147"/>
      <c r="N11" s="1147"/>
      <c r="O11" s="1147"/>
      <c r="P11" s="1148"/>
    </row>
    <row r="12" spans="1:16">
      <c r="A12" s="1158"/>
      <c r="B12" s="451" t="s">
        <v>460</v>
      </c>
      <c r="C12" s="557"/>
      <c r="D12" s="557"/>
      <c r="E12" s="558"/>
      <c r="F12" s="558"/>
      <c r="G12" s="582"/>
      <c r="H12" s="1146"/>
      <c r="I12" s="1147"/>
      <c r="J12" s="1147"/>
      <c r="K12" s="1147"/>
      <c r="L12" s="1147"/>
      <c r="M12" s="1147"/>
      <c r="N12" s="1147"/>
      <c r="O12" s="1147"/>
      <c r="P12" s="1148"/>
    </row>
    <row r="13" spans="1:16">
      <c r="A13" s="1158"/>
      <c r="B13" s="451" t="s">
        <v>461</v>
      </c>
      <c r="C13" s="558"/>
      <c r="D13" s="558"/>
      <c r="E13" s="558"/>
      <c r="F13" s="558"/>
      <c r="G13" s="582"/>
      <c r="H13" s="1146"/>
      <c r="I13" s="1147"/>
      <c r="J13" s="1147"/>
      <c r="K13" s="1147"/>
      <c r="L13" s="1147"/>
      <c r="M13" s="1147"/>
      <c r="N13" s="1147"/>
      <c r="O13" s="1147"/>
      <c r="P13" s="1148"/>
    </row>
    <row r="14" spans="1:16">
      <c r="A14" s="1158"/>
      <c r="B14" s="451" t="s">
        <v>449</v>
      </c>
      <c r="C14" s="559"/>
      <c r="D14" s="559"/>
      <c r="E14" s="558"/>
      <c r="F14" s="558"/>
      <c r="G14" s="582"/>
      <c r="H14" s="1146"/>
      <c r="I14" s="1147"/>
      <c r="J14" s="1147"/>
      <c r="K14" s="1147"/>
      <c r="L14" s="1147"/>
      <c r="M14" s="1147"/>
      <c r="N14" s="1147"/>
      <c r="O14" s="1147"/>
      <c r="P14" s="1148"/>
    </row>
    <row r="15" spans="1:16">
      <c r="A15" s="1158"/>
      <c r="B15" s="451" t="s">
        <v>503</v>
      </c>
      <c r="C15" s="559" t="e">
        <f>(C14*C18+(C14*C18)*10%)/C18</f>
        <v>#DIV/0!</v>
      </c>
      <c r="D15" s="560"/>
      <c r="E15" s="558"/>
      <c r="F15" s="558"/>
      <c r="G15" s="582"/>
      <c r="H15" s="1146"/>
      <c r="I15" s="1147"/>
      <c r="J15" s="1147"/>
      <c r="K15" s="1147"/>
      <c r="L15" s="1147"/>
      <c r="M15" s="1147"/>
      <c r="N15" s="1147"/>
      <c r="O15" s="1147"/>
      <c r="P15" s="1148"/>
    </row>
    <row r="16" spans="1:16">
      <c r="A16" s="1158"/>
      <c r="B16" s="451" t="s">
        <v>504</v>
      </c>
      <c r="C16" s="1161">
        <f>C14+D14+E14+F14</f>
        <v>0</v>
      </c>
      <c r="D16" s="1161"/>
      <c r="E16" s="1161"/>
      <c r="F16" s="1161"/>
      <c r="G16" s="583"/>
      <c r="H16" s="1146"/>
      <c r="I16" s="1147"/>
      <c r="J16" s="1147"/>
      <c r="K16" s="1147"/>
      <c r="L16" s="1147"/>
      <c r="M16" s="1147"/>
      <c r="N16" s="1147"/>
      <c r="O16" s="1147"/>
      <c r="P16" s="1148"/>
    </row>
    <row r="17" spans="1:19">
      <c r="A17" s="1159"/>
      <c r="B17" s="451" t="s">
        <v>462</v>
      </c>
      <c r="C17" s="1161"/>
      <c r="D17" s="1161"/>
      <c r="E17" s="1161"/>
      <c r="F17" s="1161"/>
      <c r="G17" s="584"/>
      <c r="H17" s="1146"/>
      <c r="I17" s="1147"/>
      <c r="J17" s="1147"/>
      <c r="K17" s="1147"/>
      <c r="L17" s="1147"/>
      <c r="M17" s="1147"/>
      <c r="N17" s="1147"/>
      <c r="O17" s="1147"/>
      <c r="P17" s="1148"/>
    </row>
    <row r="18" spans="1:19" ht="20" customHeight="1" thickBot="1">
      <c r="A18" s="1160"/>
      <c r="B18" s="585" t="s">
        <v>427</v>
      </c>
      <c r="C18" s="1162"/>
      <c r="D18" s="1162"/>
      <c r="E18" s="1162"/>
      <c r="F18" s="1162"/>
      <c r="G18" s="586"/>
      <c r="H18" s="1146"/>
      <c r="I18" s="1147"/>
      <c r="J18" s="1147"/>
      <c r="K18" s="1147"/>
      <c r="L18" s="1147"/>
      <c r="M18" s="1147"/>
      <c r="N18" s="1147"/>
      <c r="O18" s="1147"/>
      <c r="P18" s="1148"/>
    </row>
    <row r="19" spans="1:19" ht="41" thickBot="1">
      <c r="A19" s="452"/>
      <c r="B19" s="587"/>
      <c r="C19" s="588" t="s">
        <v>348</v>
      </c>
      <c r="D19" s="589" t="s">
        <v>463</v>
      </c>
      <c r="E19" s="589" t="s">
        <v>464</v>
      </c>
      <c r="F19" s="589" t="s">
        <v>465</v>
      </c>
      <c r="G19" s="453" t="s">
        <v>349</v>
      </c>
      <c r="H19" s="1146"/>
      <c r="I19" s="1147"/>
      <c r="J19" s="1147"/>
      <c r="K19" s="1147"/>
      <c r="L19" s="1147"/>
      <c r="M19" s="1147"/>
      <c r="N19" s="1147"/>
      <c r="O19" s="1147"/>
      <c r="P19" s="1148"/>
    </row>
    <row r="20" spans="1:19">
      <c r="A20" s="1163" t="s">
        <v>350</v>
      </c>
      <c r="B20" s="454" t="s">
        <v>351</v>
      </c>
      <c r="C20" s="455" t="s">
        <v>352</v>
      </c>
      <c r="D20" s="456">
        <f>IFERROR((200/(D14+E14+F14)),0)</f>
        <v>0</v>
      </c>
      <c r="E20" s="456">
        <f>IFERROR((10/D20),0)</f>
        <v>0</v>
      </c>
      <c r="F20" s="457"/>
      <c r="G20" s="458"/>
      <c r="H20" s="1146"/>
      <c r="I20" s="1147"/>
      <c r="J20" s="1147"/>
      <c r="K20" s="1147"/>
      <c r="L20" s="1147"/>
      <c r="M20" s="1147"/>
      <c r="N20" s="1147"/>
      <c r="O20" s="1147"/>
      <c r="P20" s="1148"/>
    </row>
    <row r="21" spans="1:19">
      <c r="A21" s="1164"/>
      <c r="B21" s="454" t="s">
        <v>353</v>
      </c>
      <c r="C21" s="459" t="s">
        <v>352</v>
      </c>
      <c r="D21" s="460">
        <f>IFERROR((200/(D14+E14+F14)),0)</f>
        <v>0</v>
      </c>
      <c r="E21" s="460">
        <f>IFERROR((10/D21),0)</f>
        <v>0</v>
      </c>
      <c r="F21" s="461"/>
      <c r="G21" s="462"/>
      <c r="H21" s="1146"/>
      <c r="I21" s="1147"/>
      <c r="J21" s="1147"/>
      <c r="K21" s="1147"/>
      <c r="L21" s="1147"/>
      <c r="M21" s="1147"/>
      <c r="N21" s="1147"/>
      <c r="O21" s="1147"/>
      <c r="P21" s="1148"/>
    </row>
    <row r="22" spans="1:19">
      <c r="A22" s="1164"/>
      <c r="B22" s="454" t="s">
        <v>351</v>
      </c>
      <c r="C22" s="459" t="s">
        <v>352</v>
      </c>
      <c r="D22" s="460">
        <f>IFERROR((200/(D14+E14+F14)),0)</f>
        <v>0</v>
      </c>
      <c r="E22" s="460">
        <f>IFERROR((10/D22),0)</f>
        <v>0</v>
      </c>
      <c r="F22" s="461"/>
      <c r="G22" s="462"/>
      <c r="H22" s="1146"/>
      <c r="I22" s="1147"/>
      <c r="J22" s="1147"/>
      <c r="K22" s="1147"/>
      <c r="L22" s="1147"/>
      <c r="M22" s="1147"/>
      <c r="N22" s="1147"/>
      <c r="O22" s="1147"/>
      <c r="P22" s="1148"/>
    </row>
    <row r="23" spans="1:19">
      <c r="A23" s="1164"/>
      <c r="B23" s="454" t="s">
        <v>355</v>
      </c>
      <c r="C23" s="459" t="s">
        <v>354</v>
      </c>
      <c r="D23" s="461"/>
      <c r="E23" s="461"/>
      <c r="F23" s="461"/>
      <c r="G23" s="462"/>
      <c r="H23" s="1146"/>
      <c r="I23" s="1147"/>
      <c r="J23" s="1147"/>
      <c r="K23" s="1147"/>
      <c r="L23" s="1147"/>
      <c r="M23" s="1147"/>
      <c r="N23" s="1147"/>
      <c r="O23" s="1147"/>
      <c r="P23" s="1148"/>
    </row>
    <row r="24" spans="1:19">
      <c r="A24" s="1164"/>
      <c r="B24" s="451" t="s">
        <v>466</v>
      </c>
      <c r="C24" s="459" t="s">
        <v>352</v>
      </c>
      <c r="D24" s="463"/>
      <c r="E24" s="461"/>
      <c r="F24" s="461"/>
      <c r="G24" s="462"/>
      <c r="H24" s="1146"/>
      <c r="I24" s="1147"/>
      <c r="J24" s="1147"/>
      <c r="K24" s="1147"/>
      <c r="L24" s="1147"/>
      <c r="M24" s="1147"/>
      <c r="N24" s="1147"/>
      <c r="O24" s="1147"/>
      <c r="P24" s="1148"/>
    </row>
    <row r="25" spans="1:19">
      <c r="A25" s="1164"/>
      <c r="B25" s="451" t="s">
        <v>357</v>
      </c>
      <c r="C25" s="561" t="s">
        <v>467</v>
      </c>
      <c r="D25" s="464">
        <f>C18</f>
        <v>0</v>
      </c>
      <c r="E25" s="464"/>
      <c r="F25" s="464"/>
      <c r="G25" s="590"/>
      <c r="H25" s="1146"/>
      <c r="I25" s="1147"/>
      <c r="J25" s="1147"/>
      <c r="K25" s="1147"/>
      <c r="L25" s="1147"/>
      <c r="M25" s="1147"/>
      <c r="N25" s="1147"/>
      <c r="O25" s="1147"/>
      <c r="P25" s="1148"/>
    </row>
    <row r="26" spans="1:19">
      <c r="A26" s="1164"/>
      <c r="B26" s="454" t="s">
        <v>83</v>
      </c>
      <c r="C26" s="459" t="s">
        <v>354</v>
      </c>
      <c r="D26" s="461"/>
      <c r="E26" s="461"/>
      <c r="F26" s="461"/>
      <c r="G26" s="462"/>
      <c r="H26" s="1146"/>
      <c r="I26" s="1147"/>
      <c r="J26" s="1147"/>
      <c r="K26" s="1147"/>
      <c r="L26" s="1147"/>
      <c r="M26" s="1147"/>
      <c r="N26" s="1147"/>
      <c r="O26" s="1147"/>
      <c r="P26" s="1148"/>
    </row>
    <row r="27" spans="1:19">
      <c r="A27" s="1164"/>
      <c r="B27" s="451" t="s">
        <v>358</v>
      </c>
      <c r="C27" s="459" t="s">
        <v>354</v>
      </c>
      <c r="D27" s="461"/>
      <c r="E27" s="461"/>
      <c r="F27" s="461"/>
      <c r="G27" s="462"/>
      <c r="H27" s="1146"/>
      <c r="I27" s="1147"/>
      <c r="J27" s="1147"/>
      <c r="K27" s="1147"/>
      <c r="L27" s="1147"/>
      <c r="M27" s="1147"/>
      <c r="N27" s="1147"/>
      <c r="O27" s="1147"/>
      <c r="P27" s="1148"/>
      <c r="S27" s="465" t="s">
        <v>467</v>
      </c>
    </row>
    <row r="28" spans="1:19">
      <c r="A28" s="1164"/>
      <c r="B28" s="466" t="s">
        <v>359</v>
      </c>
      <c r="C28" s="459" t="s">
        <v>354</v>
      </c>
      <c r="D28" s="461"/>
      <c r="E28" s="461"/>
      <c r="F28" s="461"/>
      <c r="G28" s="462"/>
      <c r="H28" s="1146"/>
      <c r="I28" s="1147"/>
      <c r="J28" s="1147"/>
      <c r="K28" s="1147"/>
      <c r="L28" s="1147"/>
      <c r="M28" s="1147"/>
      <c r="N28" s="1147"/>
      <c r="O28" s="1147"/>
      <c r="P28" s="1148"/>
      <c r="S28" s="465" t="s">
        <v>468</v>
      </c>
    </row>
    <row r="29" spans="1:19">
      <c r="A29" s="1164"/>
      <c r="B29" s="467" t="s">
        <v>469</v>
      </c>
      <c r="C29" s="459" t="s">
        <v>354</v>
      </c>
      <c r="D29" s="461"/>
      <c r="E29" s="461"/>
      <c r="F29" s="461"/>
      <c r="G29" s="462"/>
      <c r="H29" s="1146"/>
      <c r="I29" s="1147"/>
      <c r="J29" s="1147"/>
      <c r="K29" s="1147"/>
      <c r="L29" s="1147"/>
      <c r="M29" s="1147"/>
      <c r="N29" s="1147"/>
      <c r="O29" s="1147"/>
      <c r="P29" s="1148"/>
      <c r="S29" s="465" t="s">
        <v>470</v>
      </c>
    </row>
    <row r="30" spans="1:19">
      <c r="A30" s="1164"/>
      <c r="B30" s="467" t="s">
        <v>356</v>
      </c>
      <c r="C30" s="459" t="s">
        <v>354</v>
      </c>
      <c r="D30" s="461"/>
      <c r="E30" s="461"/>
      <c r="F30" s="461"/>
      <c r="G30" s="462"/>
      <c r="H30" s="1146"/>
      <c r="I30" s="1147"/>
      <c r="J30" s="1147"/>
      <c r="K30" s="1147"/>
      <c r="L30" s="1147"/>
      <c r="M30" s="1147"/>
      <c r="N30" s="1147"/>
      <c r="O30" s="1147"/>
      <c r="P30" s="1148"/>
      <c r="S30" s="465" t="s">
        <v>471</v>
      </c>
    </row>
    <row r="31" spans="1:19">
      <c r="A31" s="1164"/>
      <c r="B31" s="466" t="s">
        <v>472</v>
      </c>
      <c r="C31" s="459" t="s">
        <v>354</v>
      </c>
      <c r="D31" s="461"/>
      <c r="E31" s="461"/>
      <c r="F31" s="461"/>
      <c r="G31" s="462"/>
      <c r="H31" s="1146"/>
      <c r="I31" s="1147"/>
      <c r="J31" s="1147"/>
      <c r="K31" s="1147"/>
      <c r="L31" s="1147"/>
      <c r="M31" s="1147"/>
      <c r="N31" s="1147"/>
      <c r="O31" s="1147"/>
      <c r="P31" s="1148"/>
      <c r="S31" s="465" t="s">
        <v>473</v>
      </c>
    </row>
    <row r="32" spans="1:19">
      <c r="A32" s="1164"/>
      <c r="B32" s="466" t="s">
        <v>360</v>
      </c>
      <c r="C32" s="459" t="s">
        <v>354</v>
      </c>
      <c r="D32" s="461"/>
      <c r="E32" s="461"/>
      <c r="F32" s="461"/>
      <c r="G32" s="462"/>
      <c r="H32" s="1146"/>
      <c r="I32" s="1147"/>
      <c r="J32" s="1147"/>
      <c r="K32" s="1147"/>
      <c r="L32" s="1147"/>
      <c r="M32" s="1147"/>
      <c r="N32" s="1147"/>
      <c r="O32" s="1147"/>
      <c r="P32" s="1148"/>
      <c r="S32" s="465" t="s">
        <v>474</v>
      </c>
    </row>
    <row r="33" spans="1:19">
      <c r="A33" s="1164"/>
      <c r="B33" s="467" t="s">
        <v>361</v>
      </c>
      <c r="C33" s="459" t="s">
        <v>354</v>
      </c>
      <c r="D33" s="461"/>
      <c r="E33" s="461"/>
      <c r="F33" s="461"/>
      <c r="G33" s="462"/>
      <c r="H33" s="1146"/>
      <c r="I33" s="1147"/>
      <c r="J33" s="1147"/>
      <c r="K33" s="1147"/>
      <c r="L33" s="1147"/>
      <c r="M33" s="1147"/>
      <c r="N33" s="1147"/>
      <c r="O33" s="1147"/>
      <c r="P33" s="1148"/>
      <c r="S33" s="465" t="s">
        <v>475</v>
      </c>
    </row>
    <row r="34" spans="1:19" ht="15" thickBot="1">
      <c r="A34" s="1165"/>
      <c r="B34" s="468" t="s">
        <v>362</v>
      </c>
      <c r="C34" s="469" t="s">
        <v>354</v>
      </c>
      <c r="D34" s="470"/>
      <c r="E34" s="470"/>
      <c r="F34" s="470"/>
      <c r="G34" s="591"/>
      <c r="H34" s="1146"/>
      <c r="I34" s="1147"/>
      <c r="J34" s="1147"/>
      <c r="K34" s="1147"/>
      <c r="L34" s="1147"/>
      <c r="M34" s="1147"/>
      <c r="N34" s="1147"/>
      <c r="O34" s="1147"/>
      <c r="P34" s="1148"/>
      <c r="S34" s="465" t="s">
        <v>476</v>
      </c>
    </row>
    <row r="35" spans="1:19">
      <c r="A35" s="1166" t="s">
        <v>363</v>
      </c>
      <c r="B35" s="471" t="s">
        <v>364</v>
      </c>
      <c r="C35" s="472"/>
      <c r="D35" s="473"/>
      <c r="E35" s="473"/>
      <c r="F35" s="473"/>
      <c r="G35" s="474"/>
      <c r="H35" s="1146"/>
      <c r="I35" s="1147"/>
      <c r="J35" s="1147"/>
      <c r="K35" s="1147"/>
      <c r="L35" s="1147"/>
      <c r="M35" s="1147"/>
      <c r="N35" s="1147"/>
      <c r="O35" s="1147"/>
      <c r="P35" s="1148"/>
      <c r="S35" s="465" t="s">
        <v>477</v>
      </c>
    </row>
    <row r="36" spans="1:19">
      <c r="A36" s="1164"/>
      <c r="B36" s="466" t="s">
        <v>22</v>
      </c>
      <c r="C36" s="459"/>
      <c r="D36" s="461"/>
      <c r="E36" s="461"/>
      <c r="F36" s="461"/>
      <c r="G36" s="475"/>
      <c r="H36" s="1146"/>
      <c r="I36" s="1147"/>
      <c r="J36" s="1147"/>
      <c r="K36" s="1147"/>
      <c r="L36" s="1147"/>
      <c r="M36" s="1147"/>
      <c r="N36" s="1147"/>
      <c r="O36" s="1147"/>
      <c r="P36" s="1148"/>
      <c r="S36" s="465" t="s">
        <v>478</v>
      </c>
    </row>
    <row r="37" spans="1:19">
      <c r="A37" s="1164"/>
      <c r="B37" s="466" t="s">
        <v>365</v>
      </c>
      <c r="C37" s="459"/>
      <c r="D37" s="461"/>
      <c r="E37" s="461"/>
      <c r="F37" s="461"/>
      <c r="G37" s="475"/>
      <c r="H37" s="1146"/>
      <c r="I37" s="1147"/>
      <c r="J37" s="1147"/>
      <c r="K37" s="1147"/>
      <c r="L37" s="1147"/>
      <c r="M37" s="1147"/>
      <c r="N37" s="1147"/>
      <c r="O37" s="1147"/>
      <c r="P37" s="1148"/>
    </row>
    <row r="38" spans="1:19">
      <c r="A38" s="1164"/>
      <c r="B38" s="466" t="s">
        <v>366</v>
      </c>
      <c r="C38" s="1167" t="s">
        <v>479</v>
      </c>
      <c r="D38" s="1168"/>
      <c r="E38" s="1168"/>
      <c r="F38" s="1169"/>
      <c r="G38" s="475"/>
      <c r="H38" s="1146"/>
      <c r="I38" s="1147"/>
      <c r="J38" s="1147"/>
      <c r="K38" s="1147"/>
      <c r="L38" s="1147"/>
      <c r="M38" s="1147"/>
      <c r="N38" s="1147"/>
      <c r="O38" s="1147"/>
      <c r="P38" s="1148"/>
    </row>
    <row r="39" spans="1:19">
      <c r="A39" s="1164"/>
      <c r="B39" s="466" t="s">
        <v>367</v>
      </c>
      <c r="C39" s="459"/>
      <c r="D39" s="461"/>
      <c r="E39" s="461"/>
      <c r="F39" s="461"/>
      <c r="G39" s="475"/>
      <c r="H39" s="1146"/>
      <c r="I39" s="1147"/>
      <c r="J39" s="1147"/>
      <c r="K39" s="1147"/>
      <c r="L39" s="1147"/>
      <c r="M39" s="1147"/>
      <c r="N39" s="1147"/>
      <c r="O39" s="1147"/>
      <c r="P39" s="1148"/>
    </row>
    <row r="40" spans="1:19" ht="15" thickBot="1">
      <c r="A40" s="1164"/>
      <c r="B40" s="466" t="s">
        <v>368</v>
      </c>
      <c r="C40" s="1167" t="s">
        <v>479</v>
      </c>
      <c r="D40" s="1168"/>
      <c r="E40" s="1168"/>
      <c r="F40" s="1169"/>
      <c r="G40" s="475"/>
      <c r="H40" s="1149"/>
      <c r="I40" s="1150"/>
      <c r="J40" s="1150"/>
      <c r="K40" s="1150"/>
      <c r="L40" s="1150"/>
      <c r="M40" s="1150"/>
      <c r="N40" s="1150"/>
      <c r="O40" s="1150"/>
      <c r="P40" s="1151"/>
    </row>
    <row r="41" spans="1:19" ht="15" thickBot="1">
      <c r="A41" s="1165"/>
      <c r="B41" s="468" t="s">
        <v>369</v>
      </c>
      <c r="C41" s="1170" t="s">
        <v>479</v>
      </c>
      <c r="D41" s="1171"/>
      <c r="E41" s="1171"/>
      <c r="F41" s="1172"/>
      <c r="G41" s="476"/>
      <c r="H41" s="477"/>
      <c r="I41" s="477"/>
      <c r="J41" s="477"/>
      <c r="K41" s="477"/>
      <c r="L41" s="477"/>
      <c r="M41" s="477"/>
      <c r="N41" s="477"/>
      <c r="O41" s="477"/>
      <c r="P41" s="477"/>
    </row>
    <row r="42" spans="1:19" ht="27.5" thickBot="1">
      <c r="A42" s="1176" t="s">
        <v>370</v>
      </c>
      <c r="B42" s="593"/>
      <c r="C42" s="589" t="s">
        <v>371</v>
      </c>
      <c r="D42" s="589" t="s">
        <v>372</v>
      </c>
      <c r="E42" s="589" t="s">
        <v>65</v>
      </c>
      <c r="F42" s="589" t="s">
        <v>8</v>
      </c>
      <c r="G42" s="589" t="s">
        <v>349</v>
      </c>
      <c r="H42" s="478"/>
      <c r="I42" s="1179" t="s">
        <v>373</v>
      </c>
      <c r="J42" s="1180"/>
      <c r="K42" s="479" t="s">
        <v>374</v>
      </c>
      <c r="L42" s="480" t="s">
        <v>375</v>
      </c>
      <c r="M42" s="480" t="s">
        <v>376</v>
      </c>
      <c r="N42" s="480" t="s">
        <v>377</v>
      </c>
      <c r="O42" s="480" t="s">
        <v>378</v>
      </c>
      <c r="P42" s="481" t="s">
        <v>379</v>
      </c>
    </row>
    <row r="43" spans="1:19">
      <c r="A43" s="1177"/>
      <c r="B43" s="482" t="s">
        <v>380</v>
      </c>
      <c r="C43" s="483"/>
      <c r="D43" s="483"/>
      <c r="E43" s="483">
        <v>2500</v>
      </c>
      <c r="F43" s="484"/>
      <c r="G43" s="462"/>
      <c r="H43" s="592"/>
      <c r="I43" s="485"/>
      <c r="J43" s="486"/>
      <c r="K43" s="487"/>
      <c r="L43" s="487"/>
      <c r="M43" s="487"/>
      <c r="N43" s="487"/>
      <c r="O43" s="488"/>
      <c r="P43" s="489"/>
    </row>
    <row r="44" spans="1:19" ht="15" thickBot="1">
      <c r="A44" s="1177"/>
      <c r="B44" s="466" t="s">
        <v>381</v>
      </c>
      <c r="C44" s="490"/>
      <c r="D44" s="490"/>
      <c r="E44" s="490">
        <v>400</v>
      </c>
      <c r="F44" s="491"/>
      <c r="G44" s="462"/>
      <c r="H44" s="492"/>
      <c r="I44" s="493" t="s">
        <v>382</v>
      </c>
      <c r="J44" s="494"/>
      <c r="K44" s="495"/>
      <c r="L44" s="494"/>
      <c r="M44" s="494"/>
      <c r="N44" s="494"/>
      <c r="O44" s="496"/>
      <c r="P44" s="497"/>
    </row>
    <row r="45" spans="1:19">
      <c r="A45" s="1177"/>
      <c r="B45" s="466" t="s">
        <v>383</v>
      </c>
      <c r="C45" s="490"/>
      <c r="D45" s="562"/>
      <c r="E45" s="562">
        <v>1000</v>
      </c>
      <c r="F45" s="563"/>
      <c r="G45" s="462"/>
      <c r="H45" s="1181" t="s">
        <v>384</v>
      </c>
      <c r="I45" s="1184" t="s">
        <v>480</v>
      </c>
      <c r="J45" s="1185"/>
      <c r="K45" s="498" t="s">
        <v>385</v>
      </c>
      <c r="L45" s="499"/>
      <c r="M45" s="500"/>
      <c r="N45" s="501"/>
      <c r="O45" s="1188" t="s">
        <v>481</v>
      </c>
      <c r="P45" s="502"/>
    </row>
    <row r="46" spans="1:19">
      <c r="A46" s="1177"/>
      <c r="B46" s="466" t="s">
        <v>386</v>
      </c>
      <c r="C46" s="490"/>
      <c r="D46" s="490"/>
      <c r="E46" s="490">
        <v>1000</v>
      </c>
      <c r="F46" s="491"/>
      <c r="G46" s="462"/>
      <c r="H46" s="1182"/>
      <c r="I46" s="1186"/>
      <c r="J46" s="1187"/>
      <c r="K46" s="503"/>
      <c r="L46" s="504"/>
      <c r="M46" s="505"/>
      <c r="N46" s="506"/>
      <c r="O46" s="1189"/>
      <c r="P46" s="507"/>
    </row>
    <row r="47" spans="1:19">
      <c r="A47" s="1177"/>
      <c r="B47" s="466" t="s">
        <v>387</v>
      </c>
      <c r="C47" s="490"/>
      <c r="D47" s="562"/>
      <c r="E47" s="562">
        <v>1000</v>
      </c>
      <c r="F47" s="563"/>
      <c r="G47" s="462"/>
      <c r="H47" s="1182"/>
      <c r="I47" s="1190" t="s">
        <v>482</v>
      </c>
      <c r="J47" s="1191"/>
      <c r="K47" s="498" t="s">
        <v>385</v>
      </c>
      <c r="L47" s="508"/>
      <c r="M47" s="509"/>
      <c r="N47" s="510"/>
      <c r="O47" s="1188" t="s">
        <v>483</v>
      </c>
      <c r="P47" s="511"/>
    </row>
    <row r="48" spans="1:19">
      <c r="A48" s="1177"/>
      <c r="B48" s="466" t="s">
        <v>388</v>
      </c>
      <c r="C48" s="490"/>
      <c r="D48" s="490"/>
      <c r="E48" s="490">
        <v>400</v>
      </c>
      <c r="F48" s="491"/>
      <c r="G48" s="462"/>
      <c r="H48" s="1182"/>
      <c r="I48" s="1186"/>
      <c r="J48" s="1187"/>
      <c r="K48" s="503"/>
      <c r="L48" s="504"/>
      <c r="M48" s="505"/>
      <c r="N48" s="506"/>
      <c r="O48" s="1189"/>
      <c r="P48" s="507"/>
    </row>
    <row r="49" spans="1:16" ht="15" thickBot="1">
      <c r="A49" s="1178"/>
      <c r="B49" s="468" t="s">
        <v>389</v>
      </c>
      <c r="C49" s="512"/>
      <c r="D49" s="512"/>
      <c r="E49" s="512">
        <v>1000</v>
      </c>
      <c r="F49" s="513"/>
      <c r="G49" s="591"/>
      <c r="H49" s="1182"/>
      <c r="I49" s="1190" t="s">
        <v>484</v>
      </c>
      <c r="J49" s="1191"/>
      <c r="K49" s="498" t="s">
        <v>385</v>
      </c>
      <c r="L49" s="508"/>
      <c r="M49" s="509"/>
      <c r="N49" s="510"/>
      <c r="O49" s="1173" t="s">
        <v>485</v>
      </c>
      <c r="P49" s="511"/>
    </row>
    <row r="50" spans="1:16" ht="15" thickBot="1">
      <c r="A50" s="444"/>
      <c r="B50" s="444"/>
      <c r="C50" s="514"/>
      <c r="D50" s="444"/>
      <c r="E50" s="444"/>
      <c r="F50" s="444"/>
      <c r="G50" s="444"/>
      <c r="H50" s="1182"/>
      <c r="I50" s="1186"/>
      <c r="J50" s="1187"/>
      <c r="K50" s="503"/>
      <c r="L50" s="504"/>
      <c r="M50" s="505"/>
      <c r="N50" s="506"/>
      <c r="O50" s="1192"/>
      <c r="P50" s="507"/>
    </row>
    <row r="51" spans="1:16">
      <c r="A51" s="1143" t="s">
        <v>486</v>
      </c>
      <c r="B51" s="1144"/>
      <c r="C51" s="1144"/>
      <c r="D51" s="1145"/>
      <c r="E51" s="1143" t="s">
        <v>390</v>
      </c>
      <c r="F51" s="1144"/>
      <c r="G51" s="1145"/>
      <c r="H51" s="1182"/>
      <c r="I51" s="1190" t="s">
        <v>487</v>
      </c>
      <c r="J51" s="1191"/>
      <c r="K51" s="498" t="s">
        <v>385</v>
      </c>
      <c r="L51" s="508"/>
      <c r="M51" s="509"/>
      <c r="N51" s="510"/>
      <c r="O51" s="1173" t="s">
        <v>391</v>
      </c>
      <c r="P51" s="511"/>
    </row>
    <row r="52" spans="1:16">
      <c r="A52" s="1146"/>
      <c r="B52" s="1147"/>
      <c r="C52" s="1147"/>
      <c r="D52" s="1148"/>
      <c r="E52" s="1146"/>
      <c r="F52" s="1147"/>
      <c r="G52" s="1148"/>
      <c r="H52" s="1182"/>
      <c r="I52" s="1186"/>
      <c r="J52" s="1187"/>
      <c r="K52" s="503"/>
      <c r="L52" s="504"/>
      <c r="M52" s="505"/>
      <c r="N52" s="506"/>
      <c r="O52" s="1192"/>
      <c r="P52" s="507"/>
    </row>
    <row r="53" spans="1:16">
      <c r="A53" s="1146"/>
      <c r="B53" s="1147"/>
      <c r="C53" s="1147"/>
      <c r="D53" s="1148"/>
      <c r="E53" s="1146"/>
      <c r="F53" s="1147"/>
      <c r="G53" s="1148"/>
      <c r="H53" s="1182"/>
      <c r="I53" s="1190" t="s">
        <v>488</v>
      </c>
      <c r="J53" s="1191"/>
      <c r="K53" s="498"/>
      <c r="L53" s="508"/>
      <c r="M53" s="509"/>
      <c r="N53" s="510" t="s">
        <v>385</v>
      </c>
      <c r="O53" s="1173" t="s">
        <v>198</v>
      </c>
      <c r="P53" s="511"/>
    </row>
    <row r="54" spans="1:16">
      <c r="A54" s="1146"/>
      <c r="B54" s="1147"/>
      <c r="C54" s="1147"/>
      <c r="D54" s="1148"/>
      <c r="E54" s="1146"/>
      <c r="F54" s="1147"/>
      <c r="G54" s="1148"/>
      <c r="H54" s="1182"/>
      <c r="I54" s="1186"/>
      <c r="J54" s="1187"/>
      <c r="K54" s="503"/>
      <c r="L54" s="504"/>
      <c r="M54" s="505"/>
      <c r="N54" s="506"/>
      <c r="O54" s="1192"/>
      <c r="P54" s="507"/>
    </row>
    <row r="55" spans="1:16">
      <c r="A55" s="1146"/>
      <c r="B55" s="1147"/>
      <c r="C55" s="1147"/>
      <c r="D55" s="1148"/>
      <c r="E55" s="1146"/>
      <c r="F55" s="1147"/>
      <c r="G55" s="1148"/>
      <c r="H55" s="1182"/>
      <c r="I55" s="1190" t="s">
        <v>489</v>
      </c>
      <c r="J55" s="1191"/>
      <c r="K55" s="498" t="s">
        <v>385</v>
      </c>
      <c r="L55" s="508"/>
      <c r="M55" s="509"/>
      <c r="N55" s="510"/>
      <c r="O55" s="1173" t="s">
        <v>392</v>
      </c>
      <c r="P55" s="511"/>
    </row>
    <row r="56" spans="1:16">
      <c r="A56" s="1146"/>
      <c r="B56" s="1147"/>
      <c r="C56" s="1147"/>
      <c r="D56" s="1148"/>
      <c r="E56" s="1146"/>
      <c r="F56" s="1147"/>
      <c r="G56" s="1148"/>
      <c r="H56" s="1182"/>
      <c r="I56" s="1186"/>
      <c r="J56" s="1187"/>
      <c r="K56" s="503"/>
      <c r="L56" s="504"/>
      <c r="M56" s="505"/>
      <c r="N56" s="506"/>
      <c r="O56" s="1192"/>
      <c r="P56" s="507"/>
    </row>
    <row r="57" spans="1:16">
      <c r="A57" s="1146"/>
      <c r="B57" s="1147"/>
      <c r="C57" s="1147"/>
      <c r="D57" s="1148"/>
      <c r="E57" s="1146"/>
      <c r="F57" s="1147"/>
      <c r="G57" s="1148"/>
      <c r="H57" s="1182"/>
      <c r="I57" s="1190" t="s">
        <v>490</v>
      </c>
      <c r="J57" s="1191"/>
      <c r="K57" s="498" t="s">
        <v>385</v>
      </c>
      <c r="L57" s="508"/>
      <c r="M57" s="509"/>
      <c r="N57" s="510"/>
      <c r="O57" s="1173" t="s">
        <v>396</v>
      </c>
      <c r="P57" s="511"/>
    </row>
    <row r="58" spans="1:16">
      <c r="A58" s="1146"/>
      <c r="B58" s="1147"/>
      <c r="C58" s="1147"/>
      <c r="D58" s="1148"/>
      <c r="E58" s="1146"/>
      <c r="F58" s="1147"/>
      <c r="G58" s="1148"/>
      <c r="H58" s="1182"/>
      <c r="I58" s="1193"/>
      <c r="J58" s="1194"/>
      <c r="K58" s="515"/>
      <c r="L58" s="516"/>
      <c r="M58" s="517"/>
      <c r="N58" s="518"/>
      <c r="O58" s="1174"/>
      <c r="P58" s="519"/>
    </row>
    <row r="59" spans="1:16" ht="15" thickBot="1">
      <c r="A59" s="1146"/>
      <c r="B59" s="1147"/>
      <c r="C59" s="1147"/>
      <c r="D59" s="1148"/>
      <c r="E59" s="1146"/>
      <c r="F59" s="1147"/>
      <c r="G59" s="1148"/>
      <c r="H59" s="1183"/>
      <c r="I59" s="1195"/>
      <c r="J59" s="1196"/>
      <c r="K59" s="520"/>
      <c r="L59" s="521"/>
      <c r="M59" s="522"/>
      <c r="N59" s="523"/>
      <c r="O59" s="1175"/>
      <c r="P59" s="524"/>
    </row>
    <row r="60" spans="1:16" ht="15" thickBot="1">
      <c r="A60" s="1146"/>
      <c r="B60" s="1147"/>
      <c r="C60" s="1147"/>
      <c r="D60" s="1148"/>
      <c r="E60" s="1146"/>
      <c r="F60" s="1147"/>
      <c r="G60" s="1148"/>
      <c r="H60" s="525"/>
      <c r="I60" s="525"/>
      <c r="J60" s="525"/>
      <c r="K60" s="525"/>
      <c r="L60" s="525"/>
      <c r="M60" s="525"/>
      <c r="N60" s="525"/>
      <c r="O60" s="525"/>
      <c r="P60" s="526"/>
    </row>
    <row r="61" spans="1:16">
      <c r="A61" s="1146"/>
      <c r="B61" s="1147"/>
      <c r="C61" s="1147"/>
      <c r="D61" s="1148"/>
      <c r="E61" s="1146"/>
      <c r="F61" s="1147"/>
      <c r="G61" s="1148"/>
      <c r="H61" s="527" t="s">
        <v>393</v>
      </c>
      <c r="I61" s="528"/>
      <c r="J61" s="528"/>
      <c r="K61" s="528"/>
      <c r="L61" s="528"/>
      <c r="M61" s="528"/>
      <c r="N61" s="528"/>
      <c r="O61" s="528"/>
      <c r="P61" s="529"/>
    </row>
    <row r="62" spans="1:16">
      <c r="A62" s="1146"/>
      <c r="B62" s="1147"/>
      <c r="C62" s="1147"/>
      <c r="D62" s="1148"/>
      <c r="E62" s="1146"/>
      <c r="F62" s="1147"/>
      <c r="G62" s="1148"/>
      <c r="H62" s="530" t="s">
        <v>394</v>
      </c>
      <c r="I62" s="531"/>
      <c r="J62" s="531"/>
      <c r="K62" s="531"/>
      <c r="L62" s="531"/>
      <c r="M62" s="531"/>
      <c r="N62" s="531"/>
      <c r="O62" s="531"/>
      <c r="P62" s="532"/>
    </row>
    <row r="63" spans="1:16">
      <c r="A63" s="1146"/>
      <c r="B63" s="1147"/>
      <c r="C63" s="1147"/>
      <c r="D63" s="1148"/>
      <c r="E63" s="1146"/>
      <c r="F63" s="1147"/>
      <c r="G63" s="1148"/>
      <c r="H63" s="533"/>
      <c r="I63" s="534"/>
      <c r="J63" s="534"/>
      <c r="K63" s="534"/>
      <c r="L63" s="534"/>
      <c r="M63" s="534"/>
      <c r="N63" s="534"/>
      <c r="O63" s="534"/>
      <c r="P63" s="535"/>
    </row>
    <row r="64" spans="1:16">
      <c r="A64" s="1146"/>
      <c r="B64" s="1147"/>
      <c r="C64" s="1147"/>
      <c r="D64" s="1148"/>
      <c r="E64" s="1146"/>
      <c r="F64" s="1147"/>
      <c r="G64" s="1148"/>
      <c r="H64" s="530" t="s">
        <v>395</v>
      </c>
      <c r="I64" s="531"/>
      <c r="J64" s="531"/>
      <c r="K64" s="531"/>
      <c r="L64" s="531"/>
      <c r="M64" s="531"/>
      <c r="N64" s="531"/>
      <c r="O64" s="531"/>
      <c r="P64" s="532"/>
    </row>
    <row r="65" spans="1:16" ht="15" thickBot="1">
      <c r="A65" s="1149"/>
      <c r="B65" s="1150"/>
      <c r="C65" s="1150"/>
      <c r="D65" s="1151"/>
      <c r="E65" s="1149"/>
      <c r="F65" s="1150"/>
      <c r="G65" s="1151"/>
      <c r="H65" s="536"/>
      <c r="I65" s="537"/>
      <c r="J65" s="537"/>
      <c r="K65" s="537"/>
      <c r="L65" s="537"/>
      <c r="M65" s="537"/>
      <c r="N65" s="537"/>
      <c r="O65" s="537"/>
      <c r="P65" s="538"/>
    </row>
    <row r="66" spans="1:16" ht="15" thickBot="1">
      <c r="A66" s="546"/>
      <c r="B66" s="546"/>
      <c r="C66" s="555"/>
      <c r="D66" s="546"/>
      <c r="E66" s="546"/>
      <c r="F66" s="546"/>
      <c r="G66" s="444"/>
      <c r="H66" s="444"/>
      <c r="I66" s="444"/>
      <c r="J66" s="444"/>
      <c r="K66" s="444"/>
      <c r="L66" s="444"/>
      <c r="M66" s="444"/>
      <c r="N66" s="444"/>
      <c r="O66" s="444"/>
      <c r="P66" s="444"/>
    </row>
    <row r="67" spans="1:16" ht="15" thickBot="1">
      <c r="A67" s="1198" t="s">
        <v>398</v>
      </c>
      <c r="B67" s="1199"/>
      <c r="C67" s="1200"/>
      <c r="D67" s="564"/>
      <c r="E67" s="564"/>
      <c r="F67" s="546"/>
      <c r="G67" s="444"/>
      <c r="H67" s="444"/>
      <c r="I67" s="1201" t="s">
        <v>413</v>
      </c>
      <c r="J67" s="1202"/>
      <c r="K67" s="564"/>
      <c r="L67" s="564"/>
      <c r="M67" s="564"/>
      <c r="N67" s="564"/>
      <c r="O67" s="546"/>
      <c r="P67" s="444"/>
    </row>
    <row r="68" spans="1:16">
      <c r="A68" s="544">
        <v>1</v>
      </c>
      <c r="B68" s="473" t="s">
        <v>399</v>
      </c>
      <c r="C68" s="539" t="s">
        <v>400</v>
      </c>
      <c r="D68" s="540"/>
      <c r="E68" s="540"/>
      <c r="F68" s="444"/>
      <c r="G68" s="444"/>
      <c r="H68" s="444"/>
      <c r="I68" s="541"/>
      <c r="J68" s="570"/>
      <c r="K68" s="540"/>
      <c r="L68" s="540"/>
      <c r="M68" s="540"/>
      <c r="N68" s="540"/>
      <c r="O68" s="546"/>
      <c r="P68" s="444"/>
    </row>
    <row r="69" spans="1:16">
      <c r="A69" s="544">
        <v>2</v>
      </c>
      <c r="B69" s="461" t="s">
        <v>491</v>
      </c>
      <c r="C69" s="542"/>
      <c r="D69" s="540"/>
      <c r="E69" s="543"/>
      <c r="F69" s="444"/>
      <c r="G69" s="444"/>
      <c r="H69" s="444"/>
      <c r="I69" s="541"/>
      <c r="J69" s="570"/>
      <c r="K69" s="540"/>
      <c r="L69" s="540"/>
      <c r="M69" s="540"/>
      <c r="N69" s="540"/>
      <c r="O69" s="546"/>
      <c r="P69" s="444"/>
    </row>
    <row r="70" spans="1:16">
      <c r="A70" s="544">
        <v>3</v>
      </c>
      <c r="B70" s="461" t="s">
        <v>492</v>
      </c>
      <c r="C70" s="542"/>
      <c r="D70" s="540"/>
      <c r="E70" s="543"/>
      <c r="F70" s="444"/>
      <c r="G70" s="444"/>
      <c r="H70" s="444"/>
      <c r="I70" s="541"/>
      <c r="J70" s="570"/>
      <c r="K70" s="540"/>
      <c r="L70" s="540"/>
      <c r="M70" s="540"/>
      <c r="N70" s="540"/>
      <c r="O70" s="546"/>
      <c r="P70" s="444"/>
    </row>
    <row r="71" spans="1:16">
      <c r="A71" s="544">
        <v>4</v>
      </c>
      <c r="B71" s="461" t="s">
        <v>401</v>
      </c>
      <c r="C71" s="542" t="s">
        <v>493</v>
      </c>
      <c r="D71" s="545"/>
      <c r="E71" s="543"/>
      <c r="F71" s="543"/>
      <c r="G71" s="444"/>
      <c r="H71" s="444"/>
      <c r="I71" s="548"/>
      <c r="J71" s="475"/>
      <c r="K71" s="546"/>
      <c r="L71" s="546"/>
      <c r="M71" s="546"/>
      <c r="N71" s="546"/>
      <c r="O71" s="546"/>
      <c r="P71" s="444"/>
    </row>
    <row r="72" spans="1:16">
      <c r="A72" s="544">
        <v>5</v>
      </c>
      <c r="B72" s="461" t="s">
        <v>402</v>
      </c>
      <c r="C72" s="542">
        <v>200</v>
      </c>
      <c r="D72" s="545"/>
      <c r="E72" s="543"/>
      <c r="F72" s="543"/>
      <c r="G72" s="444"/>
      <c r="H72" s="444"/>
      <c r="I72" s="567" t="s">
        <v>414</v>
      </c>
      <c r="J72" s="542">
        <v>30</v>
      </c>
      <c r="K72" s="545"/>
      <c r="L72" s="545"/>
      <c r="M72" s="546"/>
      <c r="N72" s="543"/>
      <c r="O72" s="546"/>
      <c r="P72" s="444"/>
    </row>
    <row r="73" spans="1:16">
      <c r="A73" s="544">
        <v>6</v>
      </c>
      <c r="B73" s="461" t="s">
        <v>403</v>
      </c>
      <c r="C73" s="542"/>
      <c r="D73" s="545"/>
      <c r="E73" s="543"/>
      <c r="F73" s="543"/>
      <c r="G73" s="444"/>
      <c r="H73" s="444"/>
      <c r="I73" s="567" t="s">
        <v>415</v>
      </c>
      <c r="J73" s="542">
        <v>10</v>
      </c>
      <c r="K73" s="545"/>
      <c r="L73" s="545"/>
      <c r="M73" s="546"/>
      <c r="N73" s="543"/>
      <c r="O73" s="546"/>
      <c r="P73" s="444"/>
    </row>
    <row r="74" spans="1:16">
      <c r="A74" s="544">
        <v>7</v>
      </c>
      <c r="B74" s="461" t="s">
        <v>404</v>
      </c>
      <c r="C74" s="542">
        <f>C72*C73</f>
        <v>0</v>
      </c>
      <c r="D74" s="545"/>
      <c r="E74" s="543"/>
      <c r="F74" s="543"/>
      <c r="G74" s="444"/>
      <c r="H74" s="444"/>
      <c r="I74" s="567" t="s">
        <v>416</v>
      </c>
      <c r="J74" s="542">
        <v>10</v>
      </c>
      <c r="K74" s="545"/>
      <c r="L74" s="545"/>
      <c r="M74" s="546"/>
      <c r="N74" s="543"/>
      <c r="O74" s="546"/>
      <c r="P74" s="444"/>
    </row>
    <row r="75" spans="1:16">
      <c r="A75" s="544">
        <v>8</v>
      </c>
      <c r="B75" s="461" t="s">
        <v>405</v>
      </c>
      <c r="C75" s="542">
        <v>3</v>
      </c>
      <c r="D75" s="545"/>
      <c r="E75" s="543"/>
      <c r="F75" s="543"/>
      <c r="G75" s="444"/>
      <c r="H75" s="444"/>
      <c r="I75" s="567" t="s">
        <v>417</v>
      </c>
      <c r="J75" s="542">
        <f>SUM(J72:J74)</f>
        <v>50</v>
      </c>
      <c r="K75" s="545"/>
      <c r="L75" s="545"/>
      <c r="M75" s="546"/>
      <c r="N75" s="543"/>
      <c r="O75" s="546"/>
      <c r="P75" s="444"/>
    </row>
    <row r="76" spans="1:16">
      <c r="A76" s="544">
        <v>9</v>
      </c>
      <c r="B76" s="461" t="s">
        <v>406</v>
      </c>
      <c r="C76" s="542"/>
      <c r="D76" s="545"/>
      <c r="E76" s="543"/>
      <c r="F76" s="543"/>
      <c r="G76" s="444"/>
      <c r="H76" s="444"/>
      <c r="I76" s="567"/>
      <c r="J76" s="571"/>
      <c r="K76" s="545"/>
      <c r="L76" s="545"/>
      <c r="M76" s="574"/>
      <c r="N76" s="575"/>
      <c r="O76" s="574"/>
      <c r="P76" s="444"/>
    </row>
    <row r="77" spans="1:16">
      <c r="A77" s="544">
        <v>10</v>
      </c>
      <c r="B77" s="461" t="s">
        <v>407</v>
      </c>
      <c r="C77" s="542">
        <f>C76*C75</f>
        <v>0</v>
      </c>
      <c r="D77" s="545"/>
      <c r="E77" s="543"/>
      <c r="F77" s="543"/>
      <c r="G77" s="444"/>
      <c r="H77" s="444"/>
      <c r="I77" s="572" t="s">
        <v>418</v>
      </c>
      <c r="J77" s="547">
        <f>(J75*150)/50</f>
        <v>150</v>
      </c>
      <c r="K77" s="545"/>
      <c r="L77" s="545"/>
      <c r="M77" s="574"/>
      <c r="N77" s="576"/>
      <c r="O77" s="574"/>
      <c r="P77" s="444"/>
    </row>
    <row r="78" spans="1:16">
      <c r="A78" s="544">
        <v>11</v>
      </c>
      <c r="B78" s="461" t="s">
        <v>408</v>
      </c>
      <c r="C78" s="542">
        <v>610</v>
      </c>
      <c r="D78" s="545"/>
      <c r="E78" s="543"/>
      <c r="F78" s="543"/>
      <c r="G78" s="444"/>
      <c r="H78" s="444"/>
      <c r="I78" s="567"/>
      <c r="J78" s="571"/>
      <c r="K78" s="545"/>
      <c r="L78" s="545"/>
      <c r="M78" s="574"/>
      <c r="N78" s="575"/>
      <c r="O78" s="574"/>
      <c r="P78" s="444"/>
    </row>
    <row r="79" spans="1:16">
      <c r="A79" s="544">
        <v>12</v>
      </c>
      <c r="B79" s="461" t="s">
        <v>409</v>
      </c>
      <c r="C79" s="542"/>
      <c r="D79" s="545"/>
      <c r="E79" s="543"/>
      <c r="F79" s="543"/>
      <c r="G79" s="444"/>
      <c r="H79" s="444"/>
      <c r="I79" s="567" t="s">
        <v>14</v>
      </c>
      <c r="J79" s="571"/>
      <c r="K79" s="545"/>
      <c r="L79" s="545"/>
      <c r="M79" s="574"/>
      <c r="N79" s="575"/>
      <c r="O79" s="574"/>
      <c r="P79" s="444"/>
    </row>
    <row r="80" spans="1:16">
      <c r="A80" s="544">
        <v>13</v>
      </c>
      <c r="B80" s="461" t="s">
        <v>410</v>
      </c>
      <c r="C80" s="542">
        <f>C79*C78</f>
        <v>0</v>
      </c>
      <c r="D80" s="545"/>
      <c r="E80" s="543"/>
      <c r="F80" s="543"/>
      <c r="G80" s="444"/>
      <c r="H80" s="444"/>
      <c r="I80" s="567" t="s">
        <v>419</v>
      </c>
      <c r="J80" s="571"/>
      <c r="K80" s="545"/>
      <c r="L80" s="545"/>
      <c r="M80" s="574"/>
      <c r="N80" s="575"/>
      <c r="O80" s="574"/>
      <c r="P80" s="444"/>
    </row>
    <row r="81" spans="1:16">
      <c r="A81" s="544">
        <v>14</v>
      </c>
      <c r="B81" s="461" t="s">
        <v>411</v>
      </c>
      <c r="C81" s="542">
        <v>0</v>
      </c>
      <c r="D81" s="545"/>
      <c r="E81" s="543"/>
      <c r="F81" s="543"/>
      <c r="G81" s="444"/>
      <c r="H81" s="444"/>
      <c r="I81" s="567" t="s">
        <v>420</v>
      </c>
      <c r="J81" s="542">
        <f>450*24</f>
        <v>10800</v>
      </c>
      <c r="K81" s="545"/>
      <c r="L81" s="545"/>
      <c r="M81" s="574"/>
      <c r="N81" s="577"/>
      <c r="O81" s="574"/>
      <c r="P81" s="444"/>
    </row>
    <row r="82" spans="1:16">
      <c r="A82" s="544">
        <v>15</v>
      </c>
      <c r="B82" s="461" t="s">
        <v>412</v>
      </c>
      <c r="C82" s="542">
        <v>0</v>
      </c>
      <c r="D82" s="545"/>
      <c r="E82" s="543"/>
      <c r="F82" s="543"/>
      <c r="G82" s="444"/>
      <c r="H82" s="444"/>
      <c r="I82" s="567"/>
      <c r="J82" s="571"/>
      <c r="K82" s="545"/>
      <c r="L82" s="545"/>
      <c r="M82" s="574"/>
      <c r="N82" s="575"/>
      <c r="O82" s="574"/>
      <c r="P82" s="444"/>
    </row>
    <row r="83" spans="1:16">
      <c r="A83" s="548"/>
      <c r="B83" s="450"/>
      <c r="C83" s="549"/>
      <c r="D83" s="546"/>
      <c r="E83" s="550"/>
      <c r="F83" s="550"/>
      <c r="G83" s="444"/>
      <c r="H83" s="444"/>
      <c r="I83" s="572" t="s">
        <v>421</v>
      </c>
      <c r="J83" s="547">
        <f>J81/50</f>
        <v>216</v>
      </c>
      <c r="K83" s="545"/>
      <c r="L83" s="545"/>
      <c r="M83" s="574"/>
      <c r="N83" s="576"/>
      <c r="O83" s="574"/>
      <c r="P83" s="444"/>
    </row>
    <row r="84" spans="1:16" ht="15" thickBot="1">
      <c r="A84" s="551"/>
      <c r="B84" s="552" t="s">
        <v>218</v>
      </c>
      <c r="C84" s="553">
        <f>C74+C77+C80+C81+C82</f>
        <v>0</v>
      </c>
      <c r="D84" s="546"/>
      <c r="E84" s="550"/>
      <c r="F84" s="550"/>
      <c r="G84" s="444"/>
      <c r="H84" s="444"/>
      <c r="I84" s="567"/>
      <c r="J84" s="475"/>
      <c r="K84" s="545"/>
      <c r="L84" s="545"/>
      <c r="M84" s="574"/>
      <c r="N84" s="574"/>
      <c r="O84" s="574"/>
      <c r="P84" s="444"/>
    </row>
    <row r="85" spans="1:16">
      <c r="A85" s="444"/>
      <c r="B85" s="444"/>
      <c r="C85" s="514"/>
      <c r="D85" s="444"/>
      <c r="E85" s="444"/>
      <c r="F85" s="550"/>
      <c r="G85" s="444"/>
      <c r="H85" s="444"/>
      <c r="I85" s="572" t="s">
        <v>422</v>
      </c>
      <c r="J85" s="475"/>
      <c r="K85" s="545"/>
      <c r="L85" s="545"/>
      <c r="M85" s="546"/>
      <c r="N85" s="546"/>
      <c r="O85" s="546"/>
      <c r="P85" s="444"/>
    </row>
    <row r="86" spans="1:16">
      <c r="A86" s="444"/>
      <c r="B86" s="444"/>
      <c r="C86" s="514"/>
      <c r="D86" s="444"/>
      <c r="E86" s="444"/>
      <c r="F86" s="444"/>
      <c r="G86" s="444"/>
      <c r="H86" s="444"/>
      <c r="I86" s="567"/>
      <c r="J86" s="475"/>
      <c r="K86" s="545"/>
      <c r="L86" s="545"/>
      <c r="M86" s="546"/>
      <c r="N86" s="546"/>
      <c r="O86" s="546"/>
      <c r="P86" s="444"/>
    </row>
    <row r="87" spans="1:16" ht="15" thickBot="1">
      <c r="A87" s="444"/>
      <c r="B87" s="1197"/>
      <c r="C87" s="1197"/>
      <c r="D87" s="1197"/>
      <c r="E87" s="1197"/>
      <c r="F87" s="444"/>
      <c r="G87" s="444"/>
      <c r="H87" s="444"/>
      <c r="I87" s="573" t="s">
        <v>423</v>
      </c>
      <c r="J87" s="476"/>
      <c r="K87" s="545"/>
      <c r="L87" s="545"/>
      <c r="M87" s="546"/>
      <c r="N87" s="546"/>
      <c r="O87" s="546"/>
      <c r="P87" s="444"/>
    </row>
    <row r="88" spans="1:16">
      <c r="A88" s="444"/>
      <c r="B88" s="554"/>
      <c r="C88" s="555"/>
      <c r="D88" s="546"/>
      <c r="E88" s="550"/>
      <c r="F88" s="444"/>
      <c r="G88" s="444"/>
      <c r="H88" s="444"/>
      <c r="I88" s="444"/>
      <c r="J88" s="444"/>
      <c r="K88" s="444"/>
      <c r="L88" s="546"/>
      <c r="M88" s="546"/>
      <c r="N88" s="546"/>
      <c r="O88" s="546"/>
      <c r="P88" s="444"/>
    </row>
    <row r="89" spans="1:16">
      <c r="A89" s="444"/>
      <c r="B89" s="554"/>
      <c r="C89" s="555"/>
      <c r="D89" s="546"/>
      <c r="E89" s="550"/>
      <c r="F89" s="444"/>
      <c r="G89" s="444"/>
      <c r="H89" s="444"/>
      <c r="I89" s="444"/>
      <c r="J89" s="444"/>
      <c r="K89" s="444"/>
      <c r="L89" s="444"/>
      <c r="M89" s="444"/>
      <c r="N89" s="444"/>
      <c r="O89" s="444"/>
      <c r="P89" s="444"/>
    </row>
    <row r="90" spans="1:16" ht="15" thickBot="1">
      <c r="A90" s="444"/>
      <c r="B90" s="554"/>
      <c r="C90" s="555"/>
      <c r="D90" s="546"/>
      <c r="E90" s="550"/>
      <c r="F90" s="444"/>
      <c r="G90" s="444"/>
      <c r="H90" s="444"/>
      <c r="I90" s="444"/>
      <c r="J90" s="444"/>
      <c r="K90" s="444"/>
      <c r="L90" s="444"/>
      <c r="M90" s="444"/>
      <c r="N90" s="444"/>
      <c r="O90" s="444"/>
      <c r="P90" s="444"/>
    </row>
    <row r="91" spans="1:16" ht="15" thickBot="1">
      <c r="A91" s="444"/>
      <c r="B91" s="1137" t="s">
        <v>494</v>
      </c>
      <c r="C91" s="1138"/>
      <c r="D91" s="1139"/>
      <c r="E91" s="444"/>
      <c r="F91" s="444"/>
      <c r="G91" s="444"/>
      <c r="H91" s="444"/>
      <c r="I91" s="444"/>
      <c r="J91" s="444"/>
      <c r="K91" s="444"/>
      <c r="L91" s="444"/>
      <c r="M91" s="444"/>
      <c r="N91" s="444"/>
      <c r="O91" s="444"/>
      <c r="P91" s="444"/>
    </row>
    <row r="92" spans="1:16">
      <c r="A92" s="444"/>
      <c r="B92" s="565" t="s">
        <v>495</v>
      </c>
      <c r="C92" s="556" t="s">
        <v>496</v>
      </c>
      <c r="D92" s="566" t="s">
        <v>399</v>
      </c>
      <c r="E92" s="444"/>
      <c r="F92" s="444"/>
      <c r="G92" s="444"/>
      <c r="H92" s="444"/>
      <c r="I92" s="444"/>
      <c r="J92" s="444"/>
      <c r="K92" s="444"/>
      <c r="L92" s="444"/>
      <c r="M92" s="444"/>
      <c r="N92" s="444"/>
      <c r="O92" s="444"/>
      <c r="P92" s="444"/>
    </row>
    <row r="93" spans="1:16">
      <c r="A93" s="444"/>
      <c r="B93" s="567" t="s">
        <v>497</v>
      </c>
      <c r="C93" s="459" t="s">
        <v>498</v>
      </c>
      <c r="D93" s="542" t="s">
        <v>499</v>
      </c>
      <c r="E93" s="444"/>
      <c r="F93" s="444"/>
      <c r="G93" s="444"/>
      <c r="H93" s="444"/>
      <c r="I93" s="444"/>
      <c r="J93" s="444"/>
      <c r="K93" s="444"/>
      <c r="L93" s="444"/>
      <c r="M93" s="444"/>
      <c r="N93" s="444"/>
      <c r="O93" s="444"/>
      <c r="P93" s="444"/>
    </row>
    <row r="94" spans="1:16">
      <c r="A94" s="444"/>
      <c r="B94" s="567" t="s">
        <v>497</v>
      </c>
      <c r="C94" s="459" t="s">
        <v>500</v>
      </c>
      <c r="D94" s="542" t="s">
        <v>400</v>
      </c>
      <c r="E94" s="444"/>
      <c r="F94" s="444"/>
      <c r="G94" s="444"/>
      <c r="H94" s="444"/>
      <c r="I94" s="444"/>
      <c r="J94" s="444"/>
      <c r="K94" s="444"/>
      <c r="L94" s="444"/>
      <c r="M94" s="444"/>
      <c r="N94" s="444"/>
      <c r="O94" s="444"/>
      <c r="P94" s="444"/>
    </row>
    <row r="95" spans="1:16" ht="15" thickBot="1">
      <c r="A95" s="444"/>
      <c r="B95" s="568" t="s">
        <v>501</v>
      </c>
      <c r="C95" s="469"/>
      <c r="D95" s="569" t="s">
        <v>400</v>
      </c>
      <c r="E95" s="444"/>
      <c r="F95" s="444"/>
      <c r="G95" s="444"/>
      <c r="H95" s="444"/>
      <c r="I95" s="444"/>
      <c r="J95" s="444"/>
      <c r="K95" s="444"/>
      <c r="L95" s="444"/>
      <c r="M95" s="444"/>
      <c r="N95" s="444"/>
      <c r="O95" s="444"/>
      <c r="P95" s="444"/>
    </row>
  </sheetData>
  <mergeCells count="41">
    <mergeCell ref="B91:D91"/>
    <mergeCell ref="E51:G65"/>
    <mergeCell ref="I51:J52"/>
    <mergeCell ref="I57:J59"/>
    <mergeCell ref="I55:J56"/>
    <mergeCell ref="A51:D65"/>
    <mergeCell ref="B87:E87"/>
    <mergeCell ref="A67:C67"/>
    <mergeCell ref="I67:J67"/>
    <mergeCell ref="C40:F40"/>
    <mergeCell ref="C41:F41"/>
    <mergeCell ref="O57:O59"/>
    <mergeCell ref="A42:A49"/>
    <mergeCell ref="I42:J42"/>
    <mergeCell ref="H45:H59"/>
    <mergeCell ref="I45:J46"/>
    <mergeCell ref="O45:O46"/>
    <mergeCell ref="I47:J48"/>
    <mergeCell ref="O47:O48"/>
    <mergeCell ref="I49:J50"/>
    <mergeCell ref="O49:O50"/>
    <mergeCell ref="O55:O56"/>
    <mergeCell ref="O51:O52"/>
    <mergeCell ref="I53:J54"/>
    <mergeCell ref="O53:O54"/>
    <mergeCell ref="A1:C1"/>
    <mergeCell ref="D1:G2"/>
    <mergeCell ref="H1:P1"/>
    <mergeCell ref="A2:C2"/>
    <mergeCell ref="H2:P40"/>
    <mergeCell ref="A3:C3"/>
    <mergeCell ref="D3:G5"/>
    <mergeCell ref="A4:C4"/>
    <mergeCell ref="A5:C5"/>
    <mergeCell ref="A7:A18"/>
    <mergeCell ref="C16:F16"/>
    <mergeCell ref="C17:F17"/>
    <mergeCell ref="C18:F18"/>
    <mergeCell ref="A20:A34"/>
    <mergeCell ref="A35:A41"/>
    <mergeCell ref="C38:F38"/>
  </mergeCells>
  <dataValidations count="2">
    <dataValidation type="list" allowBlank="1" showInputMessage="1" showErrorMessage="1" sqref="C25">
      <formula1>$S$27:$S$36</formula1>
    </dataValidation>
    <dataValidation type="list" allowBlank="1" showInputMessage="1" showErrorMessage="1" sqref="C26:C34 C20:C24">
      <formula1>"Manual,Automatic mc"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N217"/>
  <sheetViews>
    <sheetView topLeftCell="A31" zoomScaleNormal="100" workbookViewId="0">
      <selection activeCell="H45" sqref="H45"/>
    </sheetView>
  </sheetViews>
  <sheetFormatPr defaultColWidth="8.6640625" defaultRowHeight="10"/>
  <cols>
    <col min="2" max="2" width="30.6640625" bestFit="1" customWidth="1"/>
    <col min="3" max="3" width="20.6640625" customWidth="1"/>
    <col min="4" max="4" width="26.109375" customWidth="1"/>
    <col min="5" max="5" width="11" customWidth="1"/>
    <col min="6" max="6" width="14" customWidth="1"/>
    <col min="7" max="7" width="11.6640625" bestFit="1" customWidth="1"/>
    <col min="8" max="10" width="13.33203125" customWidth="1"/>
    <col min="12" max="12" width="31" bestFit="1" customWidth="1"/>
    <col min="16" max="16" width="13.33203125" customWidth="1"/>
    <col min="17" max="17" width="11.6640625" bestFit="1" customWidth="1"/>
    <col min="18" max="18" width="8.6640625" bestFit="1" customWidth="1"/>
    <col min="19" max="19" width="12" bestFit="1" customWidth="1"/>
    <col min="20" max="20" width="12.6640625" customWidth="1"/>
    <col min="22" max="22" width="31" bestFit="1" customWidth="1"/>
    <col min="24" max="24" width="9" customWidth="1"/>
    <col min="26" max="26" width="12.33203125" bestFit="1" customWidth="1"/>
    <col min="27" max="27" width="11.6640625" bestFit="1" customWidth="1"/>
    <col min="28" max="28" width="8.6640625" bestFit="1" customWidth="1"/>
    <col min="29" max="29" width="12" bestFit="1" customWidth="1"/>
    <col min="30" max="30" width="10.6640625" customWidth="1"/>
    <col min="32" max="32" width="31" bestFit="1" customWidth="1"/>
    <col min="35" max="35" width="9.44140625" bestFit="1" customWidth="1"/>
    <col min="36" max="36" width="12.33203125" bestFit="1" customWidth="1"/>
    <col min="37" max="37" width="11.6640625" bestFit="1" customWidth="1"/>
    <col min="38" max="38" width="8.6640625" bestFit="1" customWidth="1"/>
    <col min="39" max="39" width="12" bestFit="1" customWidth="1"/>
    <col min="40" max="40" width="12.33203125" customWidth="1"/>
  </cols>
  <sheetData>
    <row r="1" spans="1:39" ht="11.25" customHeight="1">
      <c r="A1" s="1203" t="s">
        <v>285</v>
      </c>
      <c r="B1" s="1203"/>
      <c r="C1" s="1203"/>
      <c r="D1" s="1203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203"/>
      <c r="Q1" s="1203"/>
      <c r="R1" s="1203"/>
      <c r="S1" s="1203"/>
      <c r="T1" s="1203"/>
      <c r="U1" s="1203"/>
      <c r="V1" s="1203"/>
      <c r="W1" s="1203"/>
      <c r="X1" s="1203"/>
      <c r="Y1" s="1203"/>
      <c r="Z1" s="1203"/>
      <c r="AA1" s="1203"/>
      <c r="AB1" s="1203"/>
      <c r="AC1" s="1203"/>
      <c r="AD1" s="1203"/>
      <c r="AE1" s="1203"/>
      <c r="AF1" s="1203"/>
      <c r="AG1" s="1203"/>
      <c r="AH1" s="1203"/>
      <c r="AI1" s="1203"/>
      <c r="AJ1" s="1203"/>
      <c r="AK1" s="1203"/>
      <c r="AL1" s="1203"/>
      <c r="AM1" s="1204"/>
    </row>
    <row r="2" spans="1:39" ht="11.25" customHeight="1">
      <c r="A2" s="1203"/>
      <c r="B2" s="1203"/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3"/>
      <c r="O2" s="1203"/>
      <c r="P2" s="1203"/>
      <c r="Q2" s="1203"/>
      <c r="R2" s="1203"/>
      <c r="S2" s="1203"/>
      <c r="T2" s="1203"/>
      <c r="U2" s="1203"/>
      <c r="V2" s="1203"/>
      <c r="W2" s="1203"/>
      <c r="X2" s="1203"/>
      <c r="Y2" s="1203"/>
      <c r="Z2" s="1203"/>
      <c r="AA2" s="1203"/>
      <c r="AB2" s="1203"/>
      <c r="AC2" s="1203"/>
      <c r="AD2" s="1203"/>
      <c r="AE2" s="1203"/>
      <c r="AF2" s="1203"/>
      <c r="AG2" s="1203"/>
      <c r="AH2" s="1203"/>
      <c r="AI2" s="1203"/>
      <c r="AJ2" s="1203"/>
      <c r="AK2" s="1203"/>
      <c r="AL2" s="1203"/>
      <c r="AM2" s="1204"/>
    </row>
    <row r="3" spans="1:39" ht="11.25" customHeight="1">
      <c r="A3" s="1203"/>
      <c r="B3" s="1203"/>
      <c r="C3" s="1203"/>
      <c r="D3" s="1203"/>
      <c r="E3" s="1203"/>
      <c r="F3" s="1203"/>
      <c r="G3" s="1203"/>
      <c r="H3" s="1203"/>
      <c r="I3" s="1203"/>
      <c r="J3" s="1203"/>
      <c r="K3" s="1203"/>
      <c r="L3" s="1203"/>
      <c r="M3" s="1203"/>
      <c r="N3" s="1203"/>
      <c r="O3" s="1203"/>
      <c r="P3" s="1203"/>
      <c r="Q3" s="1203"/>
      <c r="R3" s="1203"/>
      <c r="S3" s="1203"/>
      <c r="T3" s="1203"/>
      <c r="U3" s="1203"/>
      <c r="V3" s="1203"/>
      <c r="W3" s="1203"/>
      <c r="X3" s="1203"/>
      <c r="Y3" s="1203"/>
      <c r="Z3" s="1203"/>
      <c r="AA3" s="1203"/>
      <c r="AB3" s="1203"/>
      <c r="AC3" s="1203"/>
      <c r="AD3" s="1203"/>
      <c r="AE3" s="1203"/>
      <c r="AF3" s="1203"/>
      <c r="AG3" s="1203"/>
      <c r="AH3" s="1203"/>
      <c r="AI3" s="1203"/>
      <c r="AJ3" s="1203"/>
      <c r="AK3" s="1203"/>
      <c r="AL3" s="1203"/>
      <c r="AM3" s="1204"/>
    </row>
    <row r="4" spans="1:39" ht="12" customHeight="1" thickBot="1">
      <c r="A4" s="1203"/>
      <c r="B4" s="1203"/>
      <c r="C4" s="1203"/>
      <c r="D4" s="1203"/>
      <c r="E4" s="1203"/>
      <c r="F4" s="1203"/>
      <c r="G4" s="1203"/>
      <c r="H4" s="1203"/>
      <c r="I4" s="1203"/>
      <c r="J4" s="1203"/>
      <c r="K4" s="1203"/>
      <c r="L4" s="1203"/>
      <c r="M4" s="1203"/>
      <c r="N4" s="1203"/>
      <c r="O4" s="1203"/>
      <c r="P4" s="1203"/>
      <c r="Q4" s="1203"/>
      <c r="R4" s="1203"/>
      <c r="S4" s="1203"/>
      <c r="T4" s="1203"/>
      <c r="U4" s="1203"/>
      <c r="V4" s="1203"/>
      <c r="W4" s="1203"/>
      <c r="X4" s="1203"/>
      <c r="Y4" s="1203"/>
      <c r="Z4" s="1203"/>
      <c r="AA4" s="1203"/>
      <c r="AB4" s="1203"/>
      <c r="AC4" s="1203"/>
      <c r="AD4" s="1203"/>
      <c r="AE4" s="1203"/>
      <c r="AF4" s="1203"/>
      <c r="AG4" s="1203"/>
      <c r="AH4" s="1203"/>
      <c r="AI4" s="1203"/>
      <c r="AJ4" s="1203"/>
      <c r="AK4" s="1203"/>
      <c r="AL4" s="1203"/>
      <c r="AM4" s="1204"/>
    </row>
    <row r="5" spans="1:39" ht="16" thickBot="1">
      <c r="B5" s="1349" t="s">
        <v>550</v>
      </c>
      <c r="C5" s="1210"/>
      <c r="D5" s="1210"/>
      <c r="E5" s="1210"/>
      <c r="F5" s="1210"/>
      <c r="G5" s="1210"/>
      <c r="H5" s="1210"/>
      <c r="I5" s="1211"/>
      <c r="J5" s="784"/>
      <c r="K5" s="1350"/>
      <c r="L5" s="1350"/>
      <c r="M5" s="1350"/>
      <c r="N5" s="1350"/>
      <c r="O5" s="1350"/>
      <c r="P5" s="1350"/>
      <c r="Q5" s="1350"/>
      <c r="R5" s="1350"/>
      <c r="S5" s="1350"/>
      <c r="T5" s="784"/>
      <c r="U5" s="160"/>
      <c r="V5" s="1351"/>
      <c r="W5" s="1351"/>
      <c r="X5" s="1350"/>
      <c r="Y5" s="1350"/>
      <c r="Z5" s="1350"/>
      <c r="AA5" s="1350"/>
      <c r="AB5" s="1350"/>
      <c r="AC5" s="1350"/>
      <c r="AD5" s="784"/>
      <c r="AE5" s="160"/>
      <c r="AF5" s="1351"/>
      <c r="AG5" s="1351"/>
      <c r="AH5" s="1350"/>
      <c r="AI5" s="1350"/>
      <c r="AJ5" s="1350"/>
      <c r="AK5" s="1350"/>
      <c r="AL5" s="1350"/>
      <c r="AM5" s="1350"/>
    </row>
    <row r="6" spans="1:39" ht="16" thickBot="1">
      <c r="B6" s="715" t="s">
        <v>219</v>
      </c>
      <c r="C6" s="1207"/>
      <c r="D6" s="1212"/>
      <c r="E6" s="1212"/>
      <c r="F6" s="1212"/>
      <c r="G6" s="1212"/>
      <c r="H6" s="1212"/>
      <c r="I6" s="1213"/>
      <c r="J6" s="784"/>
      <c r="K6" s="796"/>
      <c r="L6" s="1351"/>
      <c r="M6" s="1351"/>
      <c r="N6" s="1351"/>
      <c r="O6" s="1351"/>
      <c r="P6" s="1351"/>
      <c r="Q6" s="1351"/>
      <c r="R6" s="1351"/>
      <c r="S6" s="1351"/>
      <c r="T6" s="784"/>
      <c r="U6" s="160"/>
      <c r="V6" s="806"/>
      <c r="W6" s="806"/>
      <c r="X6" s="807"/>
      <c r="Y6" s="807"/>
      <c r="Z6" s="807"/>
      <c r="AA6" s="807"/>
      <c r="AB6" s="807"/>
      <c r="AC6" s="807"/>
      <c r="AD6" s="784"/>
      <c r="AE6" s="160"/>
      <c r="AF6" s="806"/>
      <c r="AG6" s="806"/>
      <c r="AH6" s="807"/>
      <c r="AI6" s="807"/>
      <c r="AJ6" s="807"/>
      <c r="AK6" s="807"/>
      <c r="AL6" s="807"/>
      <c r="AM6" s="807"/>
    </row>
    <row r="7" spans="1:39" ht="181.25" customHeight="1" thickBot="1">
      <c r="B7" s="203" t="s">
        <v>551</v>
      </c>
      <c r="C7" s="1207"/>
      <c r="D7" s="1212"/>
      <c r="E7" s="1212"/>
      <c r="F7" s="1212"/>
      <c r="G7" s="1212"/>
      <c r="H7" s="1212"/>
      <c r="I7" s="1213"/>
      <c r="J7" s="784"/>
      <c r="K7" s="808"/>
      <c r="L7" s="1351"/>
      <c r="M7" s="1351"/>
      <c r="N7" s="1351"/>
      <c r="O7" s="1351"/>
      <c r="P7" s="1351"/>
      <c r="Q7" s="1351"/>
      <c r="R7" s="1351"/>
      <c r="S7" s="1351"/>
      <c r="T7" s="784"/>
      <c r="U7" s="808"/>
      <c r="V7" s="1351"/>
      <c r="W7" s="1351"/>
      <c r="X7" s="1351"/>
      <c r="Y7" s="1351"/>
      <c r="Z7" s="1351"/>
      <c r="AA7" s="1351"/>
      <c r="AB7" s="1351"/>
      <c r="AC7" s="1351"/>
      <c r="AD7" s="784"/>
      <c r="AE7" s="808"/>
      <c r="AF7" s="1351"/>
      <c r="AG7" s="1351"/>
      <c r="AH7" s="1351"/>
      <c r="AI7" s="1351"/>
      <c r="AJ7" s="1351"/>
      <c r="AK7" s="1351"/>
      <c r="AL7" s="1351"/>
      <c r="AM7" s="1351"/>
    </row>
    <row r="8" spans="1:39" ht="16" thickBot="1">
      <c r="B8" s="202" t="s">
        <v>552</v>
      </c>
      <c r="C8" s="1299"/>
      <c r="D8" s="1215"/>
      <c r="E8" s="1215"/>
      <c r="F8" s="1215"/>
      <c r="G8" s="1215"/>
      <c r="H8" s="1215"/>
      <c r="I8" s="1216"/>
      <c r="J8" s="784"/>
      <c r="K8" s="808"/>
      <c r="L8" s="1351"/>
      <c r="M8" s="1351"/>
      <c r="N8" s="1351"/>
      <c r="O8" s="1351"/>
      <c r="P8" s="1351"/>
      <c r="Q8" s="1351"/>
      <c r="R8" s="1351"/>
      <c r="S8" s="1351"/>
      <c r="T8" s="784"/>
      <c r="U8" s="808"/>
      <c r="V8" s="1351"/>
      <c r="W8" s="1351"/>
      <c r="X8" s="1351"/>
      <c r="Y8" s="1351"/>
      <c r="Z8" s="1351"/>
      <c r="AA8" s="1351"/>
      <c r="AB8" s="1351"/>
      <c r="AC8" s="1351"/>
      <c r="AD8" s="784"/>
      <c r="AE8" s="808"/>
      <c r="AF8" s="1351"/>
      <c r="AG8" s="1351"/>
      <c r="AH8" s="1351"/>
      <c r="AI8" s="1351"/>
      <c r="AJ8" s="1351"/>
      <c r="AK8" s="1351"/>
      <c r="AL8" s="1351"/>
      <c r="AM8" s="1351"/>
    </row>
    <row r="9" spans="1:39" ht="21" customHeight="1" thickBot="1">
      <c r="B9" s="835" t="s">
        <v>73</v>
      </c>
      <c r="C9" s="1218"/>
      <c r="D9" s="1218"/>
      <c r="E9" s="1218"/>
      <c r="F9" s="1218"/>
      <c r="G9" s="1218"/>
      <c r="H9" s="1218"/>
      <c r="I9" s="1219"/>
      <c r="J9" s="784"/>
      <c r="K9" s="1352"/>
      <c r="L9" s="1352"/>
      <c r="M9" s="1352"/>
      <c r="N9" s="1352"/>
      <c r="O9" s="1352"/>
      <c r="P9" s="1352"/>
      <c r="Q9" s="1352"/>
      <c r="R9" s="1352"/>
      <c r="S9" s="1352"/>
      <c r="T9" s="784"/>
      <c r="U9" s="1352"/>
      <c r="V9" s="1352"/>
      <c r="W9" s="1352"/>
      <c r="X9" s="1352"/>
      <c r="Y9" s="1352"/>
      <c r="Z9" s="1352"/>
      <c r="AA9" s="1352"/>
      <c r="AB9" s="1352"/>
      <c r="AC9" s="1352"/>
      <c r="AD9" s="784"/>
      <c r="AE9" s="1352"/>
      <c r="AF9" s="1352"/>
      <c r="AG9" s="1352"/>
      <c r="AH9" s="1352"/>
      <c r="AI9" s="1352"/>
      <c r="AJ9" s="1352"/>
      <c r="AK9" s="1352"/>
      <c r="AL9" s="1352"/>
      <c r="AM9" s="1352"/>
    </row>
    <row r="10" spans="1:39" ht="24.65" customHeight="1">
      <c r="B10" s="716" t="s">
        <v>220</v>
      </c>
      <c r="C10" s="1353" t="s">
        <v>553</v>
      </c>
      <c r="D10" s="1353"/>
      <c r="E10" s="717"/>
      <c r="F10" s="717"/>
      <c r="G10" s="717"/>
      <c r="H10" s="717"/>
      <c r="I10" s="717"/>
      <c r="J10" s="784"/>
      <c r="K10" s="163"/>
      <c r="L10" s="1354"/>
      <c r="M10" s="1354"/>
      <c r="N10" s="1354"/>
      <c r="O10" s="1354"/>
      <c r="P10" s="1354"/>
      <c r="Q10" s="1354"/>
      <c r="R10" s="1354"/>
      <c r="S10" s="1354"/>
      <c r="T10" s="784"/>
      <c r="U10" s="163"/>
      <c r="V10" s="1355"/>
      <c r="W10" s="1355"/>
      <c r="X10" s="1355"/>
      <c r="Y10" s="1355"/>
      <c r="Z10" s="1355"/>
      <c r="AA10" s="1355"/>
      <c r="AB10" s="1355"/>
      <c r="AC10" s="1355"/>
      <c r="AD10" s="784"/>
      <c r="AE10" s="163"/>
      <c r="AF10" s="1355"/>
      <c r="AG10" s="1355"/>
      <c r="AH10" s="1355"/>
      <c r="AI10" s="1355"/>
      <c r="AJ10" s="1355"/>
      <c r="AK10" s="1355"/>
      <c r="AL10" s="1355"/>
      <c r="AM10" s="1355"/>
    </row>
    <row r="11" spans="1:39" ht="24.65" customHeight="1">
      <c r="B11" s="718" t="s">
        <v>72</v>
      </c>
      <c r="C11" s="1356"/>
      <c r="D11" s="1356"/>
      <c r="E11" s="719"/>
      <c r="F11" s="719"/>
      <c r="G11" s="719"/>
      <c r="H11" s="719"/>
      <c r="I11" s="719"/>
      <c r="J11" s="784"/>
      <c r="K11" s="163"/>
      <c r="L11" s="720"/>
      <c r="M11" s="720"/>
      <c r="N11" s="720"/>
      <c r="O11" s="720"/>
      <c r="P11" s="720"/>
      <c r="Q11" s="720"/>
      <c r="R11" s="720"/>
      <c r="S11" s="720"/>
      <c r="T11" s="784"/>
      <c r="U11" s="163"/>
      <c r="V11" s="795"/>
      <c r="W11" s="795"/>
      <c r="X11" s="795"/>
      <c r="Y11" s="795"/>
      <c r="Z11" s="795"/>
      <c r="AA11" s="795"/>
      <c r="AB11" s="795"/>
      <c r="AC11" s="795"/>
      <c r="AD11" s="784"/>
      <c r="AE11" s="163"/>
      <c r="AF11" s="795"/>
      <c r="AG11" s="795"/>
      <c r="AH11" s="795"/>
      <c r="AI11" s="795"/>
      <c r="AJ11" s="795"/>
      <c r="AK11" s="795"/>
      <c r="AL11" s="795"/>
      <c r="AM11" s="795"/>
    </row>
    <row r="12" spans="1:39" ht="24.65" customHeight="1">
      <c r="B12" s="718" t="s">
        <v>554</v>
      </c>
      <c r="C12" s="1356">
        <v>7.85</v>
      </c>
      <c r="D12" s="1356"/>
      <c r="E12" s="719"/>
      <c r="F12" s="719"/>
      <c r="G12" s="719"/>
      <c r="H12" s="719"/>
      <c r="I12" s="719"/>
      <c r="J12" s="784"/>
      <c r="K12" s="163"/>
      <c r="L12" s="720"/>
      <c r="M12" s="720"/>
      <c r="N12" s="720"/>
      <c r="O12" s="720"/>
      <c r="P12" s="720"/>
      <c r="Q12" s="720"/>
      <c r="R12" s="720"/>
      <c r="S12" s="720"/>
      <c r="T12" s="784"/>
      <c r="U12" s="163"/>
      <c r="V12" s="795"/>
      <c r="W12" s="795"/>
      <c r="X12" s="795"/>
      <c r="Y12" s="795"/>
      <c r="Z12" s="795"/>
      <c r="AA12" s="795"/>
      <c r="AB12" s="795"/>
      <c r="AC12" s="795"/>
      <c r="AD12" s="784"/>
      <c r="AE12" s="163"/>
      <c r="AF12" s="795"/>
      <c r="AG12" s="795"/>
      <c r="AH12" s="795"/>
      <c r="AI12" s="795"/>
      <c r="AJ12" s="795"/>
      <c r="AK12" s="795"/>
      <c r="AL12" s="795"/>
      <c r="AM12" s="795"/>
    </row>
    <row r="13" spans="1:39" ht="13">
      <c r="B13" s="718" t="s">
        <v>555</v>
      </c>
      <c r="C13" s="1356">
        <v>100</v>
      </c>
      <c r="D13" s="1356"/>
      <c r="E13" s="720"/>
      <c r="F13" s="719"/>
      <c r="G13" s="719"/>
      <c r="H13" s="719"/>
      <c r="I13" s="719"/>
      <c r="J13" s="784"/>
      <c r="K13" s="163"/>
      <c r="L13" s="720"/>
      <c r="M13" s="720"/>
      <c r="N13" s="720"/>
      <c r="O13" s="720"/>
      <c r="P13" s="720"/>
      <c r="Q13" s="720"/>
      <c r="R13" s="720"/>
      <c r="S13" s="720"/>
      <c r="T13" s="784"/>
      <c r="U13" s="163"/>
      <c r="V13" s="795"/>
      <c r="W13" s="795"/>
      <c r="X13" s="795"/>
      <c r="Y13" s="795"/>
      <c r="Z13" s="795"/>
      <c r="AA13" s="795"/>
      <c r="AB13" s="795"/>
      <c r="AC13" s="795"/>
      <c r="AD13" s="784"/>
      <c r="AE13" s="163"/>
      <c r="AF13" s="795"/>
      <c r="AG13" s="795"/>
      <c r="AH13" s="795"/>
      <c r="AI13" s="795"/>
      <c r="AJ13" s="795"/>
      <c r="AK13" s="795"/>
      <c r="AL13" s="795"/>
      <c r="AM13" s="795"/>
    </row>
    <row r="14" spans="1:39" ht="13">
      <c r="B14" s="718" t="s">
        <v>556</v>
      </c>
      <c r="C14" s="1356">
        <v>150</v>
      </c>
      <c r="D14" s="1356"/>
      <c r="E14" s="720"/>
      <c r="F14" s="719"/>
      <c r="G14" s="719"/>
      <c r="H14" s="719"/>
      <c r="I14" s="719"/>
      <c r="J14" s="784"/>
      <c r="K14" s="163"/>
      <c r="L14" s="720"/>
      <c r="M14" s="720"/>
      <c r="N14" s="720"/>
      <c r="O14" s="720"/>
      <c r="P14" s="720"/>
      <c r="Q14" s="720"/>
      <c r="R14" s="720"/>
      <c r="S14" s="720"/>
      <c r="T14" s="784"/>
      <c r="U14" s="163"/>
      <c r="V14" s="795"/>
      <c r="W14" s="795"/>
      <c r="X14" s="795"/>
      <c r="Y14" s="795"/>
      <c r="Z14" s="795"/>
      <c r="AA14" s="795"/>
      <c r="AB14" s="795"/>
      <c r="AC14" s="795"/>
      <c r="AD14" s="784"/>
      <c r="AE14" s="163"/>
      <c r="AF14" s="795"/>
      <c r="AG14" s="795"/>
      <c r="AH14" s="795"/>
      <c r="AI14" s="795"/>
      <c r="AJ14" s="795"/>
      <c r="AK14" s="795"/>
      <c r="AL14" s="795"/>
      <c r="AM14" s="795"/>
    </row>
    <row r="15" spans="1:39" ht="13">
      <c r="B15" s="718" t="s">
        <v>557</v>
      </c>
      <c r="C15" s="1356">
        <v>0</v>
      </c>
      <c r="D15" s="1356"/>
      <c r="E15" s="720"/>
      <c r="F15" s="719"/>
      <c r="G15" s="719"/>
      <c r="H15" s="719"/>
      <c r="I15" s="719"/>
      <c r="J15" s="784"/>
      <c r="K15" s="163"/>
      <c r="L15" s="720"/>
      <c r="M15" s="720"/>
      <c r="N15" s="720"/>
      <c r="O15" s="720"/>
      <c r="P15" s="720"/>
      <c r="Q15" s="720"/>
      <c r="R15" s="720"/>
      <c r="S15" s="720"/>
      <c r="T15" s="784"/>
      <c r="U15" s="163"/>
      <c r="V15" s="795"/>
      <c r="W15" s="795"/>
      <c r="X15" s="795"/>
      <c r="Y15" s="795"/>
      <c r="Z15" s="795"/>
      <c r="AA15" s="795"/>
      <c r="AB15" s="795"/>
      <c r="AC15" s="795"/>
      <c r="AD15" s="784"/>
      <c r="AE15" s="163"/>
      <c r="AF15" s="795"/>
      <c r="AG15" s="795"/>
      <c r="AH15" s="795"/>
      <c r="AI15" s="795"/>
      <c r="AJ15" s="795"/>
      <c r="AK15" s="795"/>
      <c r="AL15" s="795"/>
      <c r="AM15" s="795"/>
    </row>
    <row r="16" spans="1:39" ht="13.5" thickBot="1">
      <c r="B16" s="721" t="s">
        <v>558</v>
      </c>
      <c r="C16" s="1356">
        <v>3.5</v>
      </c>
      <c r="D16" s="1356"/>
      <c r="E16" s="720"/>
      <c r="F16" s="719"/>
      <c r="G16" s="719"/>
      <c r="H16" s="719"/>
      <c r="I16" s="719"/>
      <c r="J16" s="784"/>
      <c r="K16" s="163"/>
      <c r="L16" s="720"/>
      <c r="M16" s="720"/>
      <c r="N16" s="720"/>
      <c r="O16" s="720"/>
      <c r="P16" s="720"/>
      <c r="Q16" s="720"/>
      <c r="R16" s="720"/>
      <c r="S16" s="720"/>
      <c r="T16" s="784"/>
      <c r="U16" s="163"/>
      <c r="V16" s="795"/>
      <c r="W16" s="795"/>
      <c r="X16" s="795"/>
      <c r="Y16" s="795"/>
      <c r="Z16" s="795"/>
      <c r="AA16" s="795"/>
      <c r="AB16" s="795"/>
      <c r="AC16" s="795"/>
      <c r="AD16" s="784"/>
      <c r="AE16" s="163"/>
      <c r="AF16" s="795"/>
      <c r="AG16" s="795"/>
      <c r="AH16" s="795"/>
      <c r="AI16" s="795"/>
      <c r="AJ16" s="795"/>
      <c r="AK16" s="795"/>
      <c r="AL16" s="795"/>
      <c r="AM16" s="795"/>
    </row>
    <row r="17" spans="2:39" ht="12" customHeight="1">
      <c r="B17" s="722" t="s">
        <v>68</v>
      </c>
      <c r="C17" s="723">
        <f>C13+(C15*1.5)+(2*C16)</f>
        <v>107</v>
      </c>
      <c r="D17" s="724">
        <f>C14+(C15*1.5)+(2*C16)</f>
        <v>157</v>
      </c>
      <c r="E17" s="725"/>
      <c r="F17" s="726"/>
      <c r="G17" s="726"/>
      <c r="H17" s="727"/>
      <c r="I17" s="727"/>
      <c r="J17" s="784"/>
      <c r="K17" s="809"/>
      <c r="L17" s="810"/>
      <c r="M17" s="810"/>
      <c r="N17" s="811"/>
      <c r="O17" s="811"/>
      <c r="P17" s="811"/>
      <c r="Q17" s="812"/>
      <c r="R17" s="813"/>
      <c r="S17" s="813"/>
      <c r="T17" s="784"/>
      <c r="U17" s="809"/>
      <c r="V17" s="810"/>
      <c r="W17" s="810"/>
      <c r="X17" s="811"/>
      <c r="Y17" s="811"/>
      <c r="Z17" s="811"/>
      <c r="AA17" s="812"/>
      <c r="AB17" s="813"/>
      <c r="AC17" s="813"/>
      <c r="AD17" s="784"/>
      <c r="AE17" s="809"/>
      <c r="AF17" s="810"/>
      <c r="AG17" s="810"/>
      <c r="AH17" s="811"/>
      <c r="AI17" s="811"/>
      <c r="AJ17" s="811"/>
      <c r="AK17" s="812"/>
      <c r="AL17" s="813"/>
      <c r="AM17" s="813"/>
    </row>
    <row r="18" spans="2:39" ht="14.5">
      <c r="B18" s="728" t="s">
        <v>559</v>
      </c>
      <c r="C18" s="723">
        <v>1250</v>
      </c>
      <c r="D18" s="724">
        <v>2500</v>
      </c>
      <c r="E18" s="725"/>
      <c r="F18" s="726"/>
      <c r="G18" s="726"/>
      <c r="H18" s="727"/>
      <c r="I18" s="727"/>
      <c r="J18" s="784"/>
      <c r="K18" s="809"/>
      <c r="L18" s="810"/>
      <c r="M18" s="810"/>
      <c r="N18" s="811"/>
      <c r="O18" s="811"/>
      <c r="P18" s="811"/>
      <c r="Q18" s="812"/>
      <c r="R18" s="813"/>
      <c r="S18" s="813"/>
      <c r="T18" s="784"/>
      <c r="U18" s="809"/>
      <c r="V18" s="810"/>
      <c r="W18" s="810"/>
      <c r="X18" s="811"/>
      <c r="Y18" s="811"/>
      <c r="Z18" s="811"/>
      <c r="AA18" s="812"/>
      <c r="AB18" s="813"/>
      <c r="AC18" s="813"/>
      <c r="AD18" s="784"/>
      <c r="AE18" s="809"/>
      <c r="AF18" s="810"/>
      <c r="AG18" s="810"/>
      <c r="AH18" s="811"/>
      <c r="AI18" s="811"/>
      <c r="AJ18" s="811"/>
      <c r="AK18" s="812"/>
      <c r="AL18" s="813"/>
      <c r="AM18" s="813"/>
    </row>
    <row r="19" spans="2:39" ht="15" thickBot="1">
      <c r="B19" s="728" t="s">
        <v>560</v>
      </c>
      <c r="C19" s="1357">
        <f>((C18/10)*(D18/10)*(C16/10)*C12)/1000</f>
        <v>85.859375</v>
      </c>
      <c r="D19" s="1358"/>
      <c r="E19" s="725"/>
      <c r="F19" s="726"/>
      <c r="G19" s="726"/>
      <c r="H19" s="727"/>
      <c r="I19" s="727"/>
      <c r="J19" s="784"/>
      <c r="K19" s="809"/>
      <c r="L19" s="810"/>
      <c r="M19" s="810"/>
      <c r="N19" s="811"/>
      <c r="O19" s="811"/>
      <c r="P19" s="811"/>
      <c r="Q19" s="812"/>
      <c r="R19" s="813"/>
      <c r="S19" s="813"/>
      <c r="T19" s="784"/>
      <c r="U19" s="809"/>
      <c r="V19" s="810"/>
      <c r="W19" s="810"/>
      <c r="X19" s="811"/>
      <c r="Y19" s="811"/>
      <c r="Z19" s="811"/>
      <c r="AA19" s="812"/>
      <c r="AB19" s="813"/>
      <c r="AC19" s="813"/>
      <c r="AD19" s="784"/>
      <c r="AE19" s="809"/>
      <c r="AF19" s="810"/>
      <c r="AG19" s="810"/>
      <c r="AH19" s="811"/>
      <c r="AI19" s="811"/>
      <c r="AJ19" s="811"/>
      <c r="AK19" s="812"/>
      <c r="AL19" s="813"/>
      <c r="AM19" s="813"/>
    </row>
    <row r="20" spans="2:39" ht="14.5">
      <c r="B20" s="728" t="s">
        <v>561</v>
      </c>
      <c r="C20" s="729">
        <f>ROUNDDOWN(C18/C17,0)</f>
        <v>11</v>
      </c>
      <c r="D20" s="836">
        <f>ROUNDDOWN(D18/D17,0)</f>
        <v>15</v>
      </c>
      <c r="E20" s="181">
        <f>C20*D20</f>
        <v>165</v>
      </c>
      <c r="F20" s="838" t="s">
        <v>562</v>
      </c>
      <c r="G20" s="726"/>
      <c r="H20" s="727"/>
      <c r="I20" s="727"/>
      <c r="J20" s="784"/>
      <c r="K20" s="809"/>
      <c r="L20" s="810"/>
      <c r="M20" s="810"/>
      <c r="N20" s="811"/>
      <c r="O20" s="811"/>
      <c r="P20" s="811"/>
      <c r="Q20" s="812"/>
      <c r="R20" s="813"/>
      <c r="S20" s="813"/>
      <c r="T20" s="784"/>
      <c r="U20" s="809"/>
      <c r="V20" s="810"/>
      <c r="W20" s="810"/>
      <c r="X20" s="811"/>
      <c r="Y20" s="811"/>
      <c r="Z20" s="811"/>
      <c r="AA20" s="812"/>
      <c r="AB20" s="813"/>
      <c r="AC20" s="813"/>
      <c r="AD20" s="784"/>
      <c r="AE20" s="809"/>
      <c r="AF20" s="810"/>
      <c r="AG20" s="810"/>
      <c r="AH20" s="811"/>
      <c r="AI20" s="811"/>
      <c r="AJ20" s="811"/>
      <c r="AK20" s="812"/>
      <c r="AL20" s="813"/>
      <c r="AM20" s="813"/>
    </row>
    <row r="21" spans="2:39" ht="15" thickBot="1">
      <c r="B21" s="728" t="s">
        <v>563</v>
      </c>
      <c r="C21" s="729">
        <f>ROUNDDOWN(C18/D17,0)</f>
        <v>7</v>
      </c>
      <c r="D21" s="836">
        <f>ROUNDDOWN(D18/C17,0)</f>
        <v>23</v>
      </c>
      <c r="E21" s="839">
        <f>C21*D21</f>
        <v>161</v>
      </c>
      <c r="F21" s="840" t="s">
        <v>564</v>
      </c>
      <c r="G21" s="726"/>
      <c r="H21" s="727"/>
      <c r="I21" s="727"/>
      <c r="J21" s="784"/>
      <c r="K21" s="809"/>
      <c r="L21" s="810"/>
      <c r="M21" s="810"/>
      <c r="N21" s="811"/>
      <c r="O21" s="811"/>
      <c r="P21" s="811"/>
      <c r="Q21" s="812"/>
      <c r="R21" s="813"/>
      <c r="S21" s="813"/>
      <c r="T21" s="784"/>
      <c r="U21" s="809"/>
      <c r="V21" s="810"/>
      <c r="W21" s="810"/>
      <c r="X21" s="811"/>
      <c r="Y21" s="811"/>
      <c r="Z21" s="811"/>
      <c r="AA21" s="812"/>
      <c r="AB21" s="813"/>
      <c r="AC21" s="813"/>
      <c r="AD21" s="784"/>
      <c r="AE21" s="809"/>
      <c r="AF21" s="810"/>
      <c r="AG21" s="810"/>
      <c r="AH21" s="811"/>
      <c r="AI21" s="811"/>
      <c r="AJ21" s="811"/>
      <c r="AK21" s="812"/>
      <c r="AL21" s="813"/>
      <c r="AM21" s="813"/>
    </row>
    <row r="22" spans="2:39" ht="10.5">
      <c r="B22" s="730" t="s">
        <v>226</v>
      </c>
      <c r="C22" s="1359">
        <v>165</v>
      </c>
      <c r="D22" s="1359"/>
      <c r="E22" s="837"/>
      <c r="F22" s="731"/>
      <c r="G22" s="732"/>
      <c r="H22" s="733"/>
      <c r="I22" s="733"/>
      <c r="J22" s="784"/>
      <c r="K22" s="814"/>
      <c r="L22" s="1360"/>
      <c r="M22" s="1360"/>
      <c r="N22" s="732"/>
      <c r="O22" s="732"/>
      <c r="P22" s="732"/>
      <c r="Q22" s="815"/>
      <c r="R22" s="815"/>
      <c r="S22" s="815"/>
      <c r="T22" s="784"/>
      <c r="U22" s="814"/>
      <c r="V22" s="1360"/>
      <c r="W22" s="1360"/>
      <c r="X22" s="732"/>
      <c r="Y22" s="732"/>
      <c r="Z22" s="732"/>
      <c r="AA22" s="815"/>
      <c r="AB22" s="815"/>
      <c r="AC22" s="815"/>
      <c r="AD22" s="784"/>
      <c r="AE22" s="814"/>
      <c r="AF22" s="1360"/>
      <c r="AG22" s="1360"/>
      <c r="AH22" s="732"/>
      <c r="AI22" s="732"/>
      <c r="AJ22" s="732"/>
      <c r="AK22" s="815"/>
      <c r="AL22" s="815"/>
      <c r="AM22" s="815"/>
    </row>
    <row r="23" spans="2:39">
      <c r="B23" s="269" t="s">
        <v>565</v>
      </c>
      <c r="C23" s="1361">
        <f>C19/C22</f>
        <v>0.52035984848484851</v>
      </c>
      <c r="D23" s="1361"/>
      <c r="E23" s="144"/>
      <c r="F23" s="144"/>
      <c r="G23" s="144"/>
      <c r="H23" s="144"/>
      <c r="I23" s="144"/>
      <c r="J23" s="784"/>
      <c r="K23" s="800"/>
      <c r="L23" s="1362"/>
      <c r="M23" s="1362"/>
      <c r="N23" s="160"/>
      <c r="O23" s="160"/>
      <c r="P23" s="160"/>
      <c r="Q23" s="160"/>
      <c r="R23" s="160"/>
      <c r="S23" s="160"/>
      <c r="T23" s="784"/>
      <c r="U23" s="800"/>
      <c r="V23" s="1362"/>
      <c r="W23" s="1362"/>
      <c r="X23" s="160"/>
      <c r="Y23" s="160"/>
      <c r="Z23" s="160"/>
      <c r="AA23" s="160"/>
      <c r="AB23" s="160"/>
      <c r="AC23" s="160"/>
      <c r="AD23" s="784"/>
      <c r="AE23" s="800"/>
      <c r="AF23" s="1362"/>
      <c r="AG23" s="1362"/>
      <c r="AH23" s="160"/>
      <c r="AI23" s="160"/>
      <c r="AJ23" s="160"/>
      <c r="AK23" s="160"/>
      <c r="AL23" s="160"/>
      <c r="AM23" s="160"/>
    </row>
    <row r="24" spans="2:39" ht="10.5">
      <c r="B24" s="734" t="s">
        <v>566</v>
      </c>
      <c r="C24" s="1363" t="s">
        <v>567</v>
      </c>
      <c r="D24" s="1363"/>
      <c r="E24" s="148"/>
      <c r="F24" s="735"/>
      <c r="G24" s="736"/>
      <c r="H24" s="737"/>
      <c r="I24" s="737"/>
      <c r="J24" s="784"/>
      <c r="K24" s="800"/>
      <c r="L24" s="1362"/>
      <c r="M24" s="1362"/>
      <c r="N24" s="796"/>
      <c r="O24" s="735"/>
      <c r="P24" s="736"/>
      <c r="Q24" s="797"/>
      <c r="R24" s="737"/>
      <c r="S24" s="737"/>
      <c r="T24" s="784"/>
      <c r="U24" s="800"/>
      <c r="V24" s="1362"/>
      <c r="W24" s="1362"/>
      <c r="X24" s="796"/>
      <c r="Y24" s="735"/>
      <c r="Z24" s="736"/>
      <c r="AA24" s="797"/>
      <c r="AB24" s="737"/>
      <c r="AC24" s="737"/>
      <c r="AD24" s="784"/>
      <c r="AE24" s="800"/>
      <c r="AF24" s="1362"/>
      <c r="AG24" s="1362"/>
      <c r="AH24" s="796"/>
      <c r="AI24" s="735"/>
      <c r="AJ24" s="736"/>
      <c r="AK24" s="797"/>
      <c r="AL24" s="737"/>
      <c r="AM24" s="737"/>
    </row>
    <row r="25" spans="2:39" ht="10.5">
      <c r="B25" s="734" t="s">
        <v>568</v>
      </c>
      <c r="C25" s="1364" t="s">
        <v>569</v>
      </c>
      <c r="D25" s="1365"/>
      <c r="E25" s="148"/>
      <c r="F25" s="735"/>
      <c r="G25" s="736"/>
      <c r="H25" s="737"/>
      <c r="I25" s="737"/>
      <c r="J25" s="784"/>
      <c r="K25" s="800"/>
      <c r="L25" s="816"/>
      <c r="M25" s="816"/>
      <c r="N25" s="796"/>
      <c r="O25" s="735"/>
      <c r="P25" s="736"/>
      <c r="Q25" s="797"/>
      <c r="R25" s="737"/>
      <c r="S25" s="737"/>
      <c r="T25" s="784"/>
      <c r="U25" s="800"/>
      <c r="V25" s="816"/>
      <c r="W25" s="816"/>
      <c r="X25" s="796"/>
      <c r="Y25" s="735"/>
      <c r="Z25" s="736"/>
      <c r="AA25" s="797"/>
      <c r="AB25" s="737"/>
      <c r="AC25" s="737"/>
      <c r="AD25" s="784"/>
      <c r="AE25" s="800"/>
      <c r="AF25" s="816"/>
      <c r="AG25" s="816"/>
      <c r="AH25" s="796"/>
      <c r="AI25" s="735"/>
      <c r="AJ25" s="736"/>
      <c r="AK25" s="797"/>
      <c r="AL25" s="737"/>
      <c r="AM25" s="737"/>
    </row>
    <row r="26" spans="2:39" ht="14.5">
      <c r="B26" s="734" t="s">
        <v>231</v>
      </c>
      <c r="C26" s="1361" t="e">
        <f>C24-C23</f>
        <v>#VALUE!</v>
      </c>
      <c r="D26" s="1361"/>
      <c r="E26" s="144"/>
      <c r="F26" s="1366"/>
      <c r="G26" s="1366"/>
      <c r="H26" s="1366"/>
      <c r="I26" s="1366"/>
      <c r="J26" s="784"/>
      <c r="K26" s="800"/>
      <c r="L26" s="1362"/>
      <c r="M26" s="1362"/>
      <c r="N26" s="160"/>
      <c r="O26" s="1366"/>
      <c r="P26" s="1366"/>
      <c r="Q26" s="1366"/>
      <c r="R26" s="1366"/>
      <c r="S26" s="1366"/>
      <c r="T26" s="784"/>
      <c r="U26" s="800"/>
      <c r="V26" s="1362"/>
      <c r="W26" s="1362"/>
      <c r="X26" s="160"/>
      <c r="Y26" s="1366"/>
      <c r="Z26" s="1366"/>
      <c r="AA26" s="1366"/>
      <c r="AB26" s="1366"/>
      <c r="AC26" s="1366"/>
      <c r="AD26" s="784"/>
      <c r="AE26" s="800"/>
      <c r="AF26" s="1362"/>
      <c r="AG26" s="1362"/>
      <c r="AH26" s="160"/>
      <c r="AI26" s="1366"/>
      <c r="AJ26" s="1366"/>
      <c r="AK26" s="1366"/>
      <c r="AL26" s="1366"/>
      <c r="AM26" s="1366"/>
    </row>
    <row r="27" spans="2:39" ht="10.5">
      <c r="B27" s="734" t="s">
        <v>232</v>
      </c>
      <c r="C27" s="1367" t="s">
        <v>567</v>
      </c>
      <c r="D27" s="1367"/>
      <c r="E27" s="144"/>
      <c r="F27" s="738"/>
      <c r="G27" s="738"/>
      <c r="H27" s="739"/>
      <c r="I27" s="818"/>
      <c r="J27" s="784"/>
      <c r="K27" s="800"/>
      <c r="L27" s="1368"/>
      <c r="M27" s="1368"/>
      <c r="N27" s="160"/>
      <c r="O27" s="738"/>
      <c r="P27" s="738"/>
      <c r="Q27" s="817"/>
      <c r="R27" s="739"/>
      <c r="S27" s="818"/>
      <c r="T27" s="784"/>
      <c r="U27" s="800"/>
      <c r="V27" s="1368"/>
      <c r="W27" s="1368"/>
      <c r="X27" s="160"/>
      <c r="Y27" s="738"/>
      <c r="Z27" s="738"/>
      <c r="AA27" s="817"/>
      <c r="AB27" s="739"/>
      <c r="AC27" s="818"/>
      <c r="AD27" s="784"/>
      <c r="AE27" s="800"/>
      <c r="AF27" s="1368"/>
      <c r="AG27" s="1368"/>
      <c r="AH27" s="160"/>
      <c r="AI27" s="738"/>
      <c r="AJ27" s="738"/>
      <c r="AK27" s="817"/>
      <c r="AL27" s="739"/>
      <c r="AM27" s="818"/>
    </row>
    <row r="28" spans="2:39">
      <c r="B28" s="734" t="s">
        <v>233</v>
      </c>
      <c r="C28" s="1369" t="s">
        <v>567</v>
      </c>
      <c r="D28" s="1369"/>
      <c r="E28" s="144"/>
      <c r="F28" s="740"/>
      <c r="G28" s="741"/>
      <c r="H28" s="740"/>
      <c r="I28" s="819"/>
      <c r="J28" s="784"/>
      <c r="K28" s="800"/>
      <c r="L28" s="1370"/>
      <c r="M28" s="1370"/>
      <c r="N28" s="160"/>
      <c r="O28" s="740"/>
      <c r="P28" s="741"/>
      <c r="Q28" s="741"/>
      <c r="R28" s="740"/>
      <c r="S28" s="819"/>
      <c r="T28" s="784"/>
      <c r="U28" s="800"/>
      <c r="V28" s="1370"/>
      <c r="W28" s="1370"/>
      <c r="X28" s="160"/>
      <c r="Y28" s="740"/>
      <c r="Z28" s="740"/>
      <c r="AA28" s="741"/>
      <c r="AB28" s="740"/>
      <c r="AC28" s="819"/>
      <c r="AD28" s="784"/>
      <c r="AE28" s="800"/>
      <c r="AF28" s="1370"/>
      <c r="AG28" s="1370"/>
      <c r="AH28" s="160"/>
      <c r="AI28" s="740"/>
      <c r="AJ28" s="740"/>
      <c r="AK28" s="741"/>
      <c r="AL28" s="740"/>
      <c r="AM28" s="819"/>
    </row>
    <row r="29" spans="2:39" ht="23.25" customHeight="1">
      <c r="B29" s="734" t="s">
        <v>234</v>
      </c>
      <c r="C29" s="1371" t="e">
        <f>C23*C27-C26*C28</f>
        <v>#VALUE!</v>
      </c>
      <c r="D29" s="1371"/>
      <c r="E29" s="144"/>
      <c r="F29" s="740"/>
      <c r="G29" s="740"/>
      <c r="H29" s="740"/>
      <c r="I29" s="819"/>
      <c r="J29" s="784"/>
      <c r="K29" s="800"/>
      <c r="L29" s="1370"/>
      <c r="M29" s="1370"/>
      <c r="N29" s="160"/>
      <c r="O29" s="740"/>
      <c r="P29" s="740"/>
      <c r="Q29" s="740"/>
      <c r="R29" s="740"/>
      <c r="S29" s="819"/>
      <c r="T29" s="784"/>
      <c r="U29" s="800"/>
      <c r="V29" s="1370"/>
      <c r="W29" s="1370"/>
      <c r="X29" s="160"/>
      <c r="Y29" s="740"/>
      <c r="Z29" s="740"/>
      <c r="AA29" s="740"/>
      <c r="AB29" s="740"/>
      <c r="AC29" s="819"/>
      <c r="AD29" s="784"/>
      <c r="AE29" s="800"/>
      <c r="AF29" s="1370"/>
      <c r="AG29" s="1370"/>
      <c r="AH29" s="160"/>
      <c r="AI29" s="740"/>
      <c r="AJ29" s="740"/>
      <c r="AK29" s="740"/>
      <c r="AL29" s="740"/>
      <c r="AM29" s="819"/>
    </row>
    <row r="30" spans="2:39">
      <c r="B30" s="734"/>
      <c r="C30" s="1372"/>
      <c r="D30" s="1372"/>
      <c r="E30" s="144"/>
      <c r="F30" s="740"/>
      <c r="G30" s="740"/>
      <c r="H30" s="740"/>
      <c r="I30" s="819"/>
      <c r="J30" s="784"/>
      <c r="K30" s="800"/>
      <c r="L30" s="1373"/>
      <c r="M30" s="1373"/>
      <c r="N30" s="160"/>
      <c r="O30" s="740"/>
      <c r="P30" s="740"/>
      <c r="Q30" s="740"/>
      <c r="R30" s="740"/>
      <c r="S30" s="819"/>
      <c r="T30" s="784"/>
      <c r="U30" s="800"/>
      <c r="V30" s="1373"/>
      <c r="W30" s="1373"/>
      <c r="X30" s="160"/>
      <c r="Y30" s="740"/>
      <c r="Z30" s="740"/>
      <c r="AA30" s="740"/>
      <c r="AB30" s="740"/>
      <c r="AC30" s="819"/>
      <c r="AD30" s="784"/>
      <c r="AE30" s="800"/>
      <c r="AF30" s="1373"/>
      <c r="AG30" s="1373"/>
      <c r="AH30" s="160"/>
      <c r="AI30" s="740"/>
      <c r="AJ30" s="740"/>
      <c r="AK30" s="740"/>
      <c r="AL30" s="740"/>
      <c r="AM30" s="819"/>
    </row>
    <row r="31" spans="2:39">
      <c r="B31" s="734" t="s">
        <v>235</v>
      </c>
      <c r="C31" s="1371" t="e">
        <f>C29</f>
        <v>#VALUE!</v>
      </c>
      <c r="D31" s="1371"/>
      <c r="E31" s="144"/>
      <c r="F31" s="740"/>
      <c r="G31" s="740"/>
      <c r="H31" s="740"/>
      <c r="I31" s="819"/>
      <c r="J31" s="784"/>
      <c r="K31" s="800"/>
      <c r="L31" s="1370"/>
      <c r="M31" s="1370"/>
      <c r="N31" s="160"/>
      <c r="O31" s="740"/>
      <c r="P31" s="740"/>
      <c r="Q31" s="740"/>
      <c r="R31" s="740"/>
      <c r="S31" s="819"/>
      <c r="T31" s="784"/>
      <c r="U31" s="800"/>
      <c r="V31" s="1370"/>
      <c r="W31" s="1370"/>
      <c r="X31" s="160"/>
      <c r="Y31" s="740"/>
      <c r="Z31" s="740"/>
      <c r="AA31" s="740"/>
      <c r="AB31" s="740"/>
      <c r="AC31" s="819"/>
      <c r="AD31" s="784"/>
      <c r="AE31" s="800"/>
      <c r="AF31" s="1370"/>
      <c r="AG31" s="1370"/>
      <c r="AH31" s="160"/>
      <c r="AI31" s="740"/>
      <c r="AJ31" s="740"/>
      <c r="AK31" s="740"/>
      <c r="AL31" s="740"/>
      <c r="AM31" s="819"/>
    </row>
    <row r="32" spans="2:39" ht="11.5">
      <c r="B32" s="1374"/>
      <c r="C32" s="1375"/>
      <c r="D32" s="742"/>
      <c r="E32" s="270"/>
      <c r="F32" s="144"/>
      <c r="G32" s="144"/>
      <c r="H32" s="144"/>
      <c r="I32" s="144"/>
      <c r="J32" s="784"/>
      <c r="K32" s="800"/>
      <c r="L32" s="798"/>
      <c r="M32" s="798"/>
      <c r="N32" s="160"/>
      <c r="O32" s="740"/>
      <c r="P32" s="740"/>
      <c r="Q32" s="740"/>
      <c r="R32" s="740"/>
      <c r="S32" s="819"/>
      <c r="T32" s="784"/>
      <c r="U32" s="800"/>
      <c r="V32" s="798"/>
      <c r="W32" s="798"/>
      <c r="X32" s="160"/>
      <c r="Y32" s="740"/>
      <c r="Z32" s="740"/>
      <c r="AA32" s="740"/>
      <c r="AB32" s="740"/>
      <c r="AC32" s="819"/>
      <c r="AD32" s="784"/>
      <c r="AE32" s="800"/>
      <c r="AF32" s="798"/>
      <c r="AG32" s="798"/>
      <c r="AH32" s="160"/>
      <c r="AI32" s="740"/>
      <c r="AJ32" s="740"/>
      <c r="AK32" s="740"/>
      <c r="AL32" s="740"/>
      <c r="AM32" s="819"/>
    </row>
    <row r="33" spans="2:39" ht="13.5" thickBot="1">
      <c r="B33" s="743"/>
      <c r="C33" s="744"/>
      <c r="D33" s="155"/>
      <c r="E33" s="144"/>
      <c r="F33" s="144"/>
      <c r="G33" s="144"/>
      <c r="H33" s="144"/>
      <c r="I33" s="144"/>
      <c r="J33" s="784"/>
      <c r="K33" s="800"/>
      <c r="L33" s="1376"/>
      <c r="M33" s="1376"/>
      <c r="N33" s="160"/>
      <c r="O33" s="1377"/>
      <c r="P33" s="1377"/>
      <c r="Q33" s="1378"/>
      <c r="R33" s="1378"/>
      <c r="S33" s="1378"/>
      <c r="T33" s="784"/>
      <c r="U33" s="800"/>
      <c r="V33" s="1376"/>
      <c r="W33" s="1376"/>
      <c r="X33" s="160"/>
      <c r="Y33" s="1377"/>
      <c r="Z33" s="1377"/>
      <c r="AA33" s="1378"/>
      <c r="AB33" s="1378"/>
      <c r="AC33" s="1378"/>
      <c r="AD33" s="784"/>
      <c r="AE33" s="800"/>
      <c r="AF33" s="1376"/>
      <c r="AG33" s="1376"/>
      <c r="AH33" s="160"/>
      <c r="AI33" s="1377"/>
      <c r="AJ33" s="1377"/>
      <c r="AK33" s="1378"/>
      <c r="AL33" s="1378"/>
      <c r="AM33" s="1378"/>
    </row>
    <row r="34" spans="2:39" ht="13.5" thickBot="1">
      <c r="B34" s="1306" t="s">
        <v>237</v>
      </c>
      <c r="C34" s="1340"/>
      <c r="D34" s="144"/>
      <c r="E34" s="144"/>
      <c r="F34" s="144"/>
      <c r="G34" s="144"/>
      <c r="H34" s="144"/>
      <c r="I34" s="144"/>
      <c r="J34" s="784"/>
      <c r="K34" s="1379"/>
      <c r="L34" s="1379"/>
      <c r="M34" s="799"/>
      <c r="N34" s="800"/>
      <c r="O34" s="160"/>
      <c r="P34" s="160"/>
      <c r="Q34" s="160"/>
      <c r="R34" s="160"/>
      <c r="S34" s="160"/>
      <c r="T34" s="784"/>
      <c r="U34" s="1379"/>
      <c r="V34" s="1379"/>
      <c r="W34" s="799"/>
      <c r="X34" s="800"/>
      <c r="Y34" s="160"/>
      <c r="Z34" s="160"/>
      <c r="AA34" s="160"/>
      <c r="AB34" s="160"/>
      <c r="AC34" s="160"/>
      <c r="AD34" s="784"/>
      <c r="AE34" s="1379"/>
      <c r="AF34" s="1379"/>
      <c r="AG34" s="799"/>
      <c r="AH34" s="800"/>
      <c r="AI34" s="160"/>
      <c r="AJ34" s="160"/>
      <c r="AK34" s="160"/>
      <c r="AL34" s="160"/>
      <c r="AM34" s="160"/>
    </row>
    <row r="35" spans="2:39" ht="14.5" thickBot="1">
      <c r="B35" s="156"/>
      <c r="C35" s="157"/>
      <c r="D35" s="157"/>
      <c r="E35" s="144"/>
      <c r="F35" s="144"/>
      <c r="G35" s="144"/>
      <c r="H35" s="1380"/>
      <c r="I35" s="1380"/>
      <c r="J35" s="784"/>
      <c r="K35" s="163"/>
      <c r="L35" s="801"/>
      <c r="M35" s="801"/>
      <c r="N35" s="160"/>
      <c r="O35" s="160"/>
      <c r="P35" s="160"/>
      <c r="Q35" s="160"/>
      <c r="R35" s="160"/>
      <c r="S35" s="160"/>
      <c r="T35" s="784"/>
      <c r="U35" s="163"/>
      <c r="V35" s="801"/>
      <c r="W35" s="801"/>
      <c r="X35" s="160"/>
      <c r="Y35" s="160"/>
      <c r="Z35" s="160"/>
      <c r="AA35" s="160"/>
      <c r="AB35" s="160"/>
      <c r="AC35" s="160"/>
      <c r="AD35" s="784"/>
      <c r="AE35" s="163"/>
      <c r="AF35" s="801"/>
      <c r="AG35" s="801"/>
      <c r="AH35" s="160"/>
      <c r="AI35" s="160"/>
      <c r="AJ35" s="160"/>
      <c r="AK35" s="160"/>
      <c r="AL35" s="160"/>
      <c r="AM35" s="160"/>
    </row>
    <row r="36" spans="2:39" ht="21.5" thickBot="1">
      <c r="B36" s="745" t="s">
        <v>238</v>
      </c>
      <c r="C36" s="1381" t="s">
        <v>239</v>
      </c>
      <c r="D36" s="1381"/>
      <c r="E36" s="746" t="s">
        <v>570</v>
      </c>
      <c r="F36" s="747" t="s">
        <v>241</v>
      </c>
      <c r="G36" s="748" t="s">
        <v>242</v>
      </c>
      <c r="H36" s="841"/>
      <c r="I36" s="841"/>
      <c r="J36" s="784"/>
      <c r="K36" s="1355"/>
      <c r="L36" s="1355"/>
      <c r="M36" s="160"/>
      <c r="N36" s="160"/>
      <c r="O36" s="160"/>
      <c r="P36" s="160"/>
      <c r="Q36" s="160"/>
      <c r="R36" s="160"/>
      <c r="S36" s="160"/>
      <c r="T36" s="784"/>
      <c r="U36" s="1355"/>
      <c r="V36" s="1355"/>
      <c r="W36" s="160"/>
      <c r="X36" s="160"/>
      <c r="Y36" s="160"/>
      <c r="Z36" s="160"/>
      <c r="AA36" s="160"/>
      <c r="AB36" s="160"/>
      <c r="AC36" s="160"/>
      <c r="AD36" s="784"/>
      <c r="AE36" s="1355"/>
      <c r="AF36" s="1355"/>
      <c r="AG36" s="160"/>
      <c r="AH36" s="160"/>
      <c r="AI36" s="160"/>
      <c r="AJ36" s="160"/>
      <c r="AK36" s="160"/>
      <c r="AL36" s="160"/>
      <c r="AM36" s="160"/>
    </row>
    <row r="37" spans="2:39" ht="13">
      <c r="B37" s="749" t="s">
        <v>571</v>
      </c>
      <c r="C37" s="1382"/>
      <c r="D37" s="1382"/>
      <c r="E37" s="750"/>
      <c r="F37" s="751"/>
      <c r="G37" s="752">
        <f>F37*E37</f>
        <v>0</v>
      </c>
      <c r="H37" s="153"/>
      <c r="I37" s="153"/>
      <c r="J37" s="784"/>
      <c r="K37" s="160"/>
      <c r="L37" s="784"/>
      <c r="M37" s="784"/>
      <c r="N37" s="160"/>
      <c r="O37" s="160"/>
      <c r="P37" s="160"/>
      <c r="Q37" s="1380"/>
      <c r="R37" s="1380"/>
      <c r="S37" s="1380"/>
      <c r="T37" s="784"/>
      <c r="U37" s="160"/>
      <c r="V37" s="784"/>
      <c r="W37" s="784"/>
      <c r="X37" s="160"/>
      <c r="Y37" s="160"/>
      <c r="Z37" s="160"/>
      <c r="AA37" s="1380"/>
      <c r="AB37" s="1380"/>
      <c r="AC37" s="1380"/>
      <c r="AD37" s="784"/>
      <c r="AE37" s="160"/>
      <c r="AF37" s="784"/>
      <c r="AG37" s="784"/>
      <c r="AH37" s="160"/>
      <c r="AI37" s="160"/>
      <c r="AJ37" s="160"/>
      <c r="AK37" s="1380"/>
      <c r="AL37" s="1380"/>
      <c r="AM37" s="1380"/>
    </row>
    <row r="38" spans="2:39" ht="13">
      <c r="B38" s="753" t="s">
        <v>572</v>
      </c>
      <c r="C38" s="1308" t="s">
        <v>239</v>
      </c>
      <c r="D38" s="1309"/>
      <c r="E38" s="754">
        <v>30</v>
      </c>
      <c r="F38" s="755"/>
      <c r="G38" s="756">
        <f>F38*E38</f>
        <v>0</v>
      </c>
      <c r="H38" s="153"/>
      <c r="I38" s="153"/>
      <c r="J38" s="784"/>
      <c r="K38" s="820"/>
      <c r="L38" s="1383"/>
      <c r="M38" s="1383"/>
      <c r="N38" s="821"/>
      <c r="O38" s="822"/>
      <c r="P38" s="738"/>
      <c r="Q38" s="821"/>
      <c r="R38" s="823"/>
      <c r="S38" s="823"/>
      <c r="T38" s="784"/>
      <c r="U38" s="820"/>
      <c r="V38" s="1383"/>
      <c r="W38" s="1383"/>
      <c r="X38" s="821"/>
      <c r="Y38" s="822"/>
      <c r="Z38" s="738"/>
      <c r="AA38" s="821"/>
      <c r="AB38" s="823"/>
      <c r="AC38" s="823"/>
      <c r="AD38" s="784"/>
      <c r="AE38" s="820"/>
      <c r="AF38" s="1383"/>
      <c r="AG38" s="1383"/>
      <c r="AH38" s="821"/>
      <c r="AI38" s="822"/>
      <c r="AJ38" s="738"/>
      <c r="AK38" s="821"/>
      <c r="AL38" s="823"/>
      <c r="AM38" s="823"/>
    </row>
    <row r="39" spans="2:39" ht="10.5">
      <c r="B39" s="753" t="s">
        <v>573</v>
      </c>
      <c r="C39" s="1308" t="s">
        <v>239</v>
      </c>
      <c r="D39" s="1309"/>
      <c r="E39" s="754">
        <v>30</v>
      </c>
      <c r="F39" s="755"/>
      <c r="G39" s="756">
        <f>F39*E39</f>
        <v>0</v>
      </c>
      <c r="H39" s="153"/>
      <c r="I39" s="153"/>
      <c r="J39" s="784"/>
      <c r="K39" s="824"/>
      <c r="L39" s="1384"/>
      <c r="M39" s="1384"/>
      <c r="N39" s="825"/>
      <c r="O39" s="735"/>
      <c r="P39" s="826"/>
      <c r="Q39" s="784"/>
      <c r="R39" s="799"/>
      <c r="S39" s="799"/>
      <c r="T39" s="784"/>
      <c r="U39" s="824"/>
      <c r="V39" s="1384"/>
      <c r="W39" s="1384"/>
      <c r="X39" s="825"/>
      <c r="Y39" s="735"/>
      <c r="Z39" s="826"/>
      <c r="AA39" s="784"/>
      <c r="AB39" s="799"/>
      <c r="AC39" s="799"/>
      <c r="AD39" s="784"/>
      <c r="AE39" s="824"/>
      <c r="AF39" s="1384"/>
      <c r="AG39" s="1384"/>
      <c r="AH39" s="825"/>
      <c r="AI39" s="735"/>
      <c r="AJ39" s="826"/>
      <c r="AK39" s="784"/>
      <c r="AL39" s="799"/>
      <c r="AM39" s="799"/>
    </row>
    <row r="40" spans="2:39" ht="10.5">
      <c r="B40" s="753" t="s">
        <v>574</v>
      </c>
      <c r="C40" s="1308" t="s">
        <v>239</v>
      </c>
      <c r="D40" s="1309"/>
      <c r="E40" s="754">
        <v>30</v>
      </c>
      <c r="F40" s="755"/>
      <c r="G40" s="756">
        <f t="shared" ref="G40:G45" si="0">F40*E40</f>
        <v>0</v>
      </c>
      <c r="H40" s="153"/>
      <c r="I40" s="153"/>
      <c r="J40" s="784"/>
      <c r="K40" s="824"/>
      <c r="L40" s="1384"/>
      <c r="M40" s="1384"/>
      <c r="N40" s="827"/>
      <c r="O40" s="826"/>
      <c r="P40" s="826"/>
      <c r="Q40" s="784"/>
      <c r="R40" s="799"/>
      <c r="S40" s="799"/>
      <c r="T40" s="784"/>
      <c r="U40" s="824"/>
      <c r="V40" s="1384"/>
      <c r="W40" s="1384"/>
      <c r="X40" s="827"/>
      <c r="Y40" s="826"/>
      <c r="Z40" s="826"/>
      <c r="AA40" s="784"/>
      <c r="AB40" s="799"/>
      <c r="AC40" s="799"/>
      <c r="AD40" s="784"/>
      <c r="AE40" s="824"/>
      <c r="AF40" s="1384"/>
      <c r="AG40" s="1384"/>
      <c r="AH40" s="827"/>
      <c r="AI40" s="826"/>
      <c r="AJ40" s="826"/>
      <c r="AK40" s="784"/>
      <c r="AL40" s="799"/>
      <c r="AM40" s="799"/>
    </row>
    <row r="41" spans="2:39" ht="10.5">
      <c r="B41" s="753" t="s">
        <v>575</v>
      </c>
      <c r="C41" s="1308" t="s">
        <v>239</v>
      </c>
      <c r="D41" s="1309"/>
      <c r="E41" s="754">
        <v>30</v>
      </c>
      <c r="F41" s="755"/>
      <c r="G41" s="756">
        <f t="shared" si="0"/>
        <v>0</v>
      </c>
      <c r="H41" s="153"/>
      <c r="I41" s="153"/>
      <c r="J41" s="784"/>
      <c r="K41" s="824"/>
      <c r="L41" s="735"/>
      <c r="M41" s="735"/>
      <c r="N41" s="827"/>
      <c r="O41" s="826"/>
      <c r="P41" s="826"/>
      <c r="Q41" s="784"/>
      <c r="R41" s="799"/>
      <c r="S41" s="799"/>
      <c r="T41" s="784"/>
      <c r="U41" s="824"/>
      <c r="V41" s="1384"/>
      <c r="W41" s="1384"/>
      <c r="X41" s="827"/>
      <c r="Y41" s="826"/>
      <c r="Z41" s="826"/>
      <c r="AA41" s="784"/>
      <c r="AB41" s="799"/>
      <c r="AC41" s="799"/>
      <c r="AD41" s="784"/>
      <c r="AE41" s="824"/>
      <c r="AF41" s="1384"/>
      <c r="AG41" s="1384"/>
      <c r="AH41" s="827"/>
      <c r="AI41" s="826"/>
      <c r="AJ41" s="826"/>
      <c r="AK41" s="784"/>
      <c r="AL41" s="799"/>
      <c r="AM41" s="799"/>
    </row>
    <row r="42" spans="2:39" ht="10.5">
      <c r="B42" s="753" t="s">
        <v>576</v>
      </c>
      <c r="C42" s="1308" t="s">
        <v>239</v>
      </c>
      <c r="D42" s="1309"/>
      <c r="E42" s="754">
        <v>30</v>
      </c>
      <c r="F42" s="755"/>
      <c r="G42" s="756">
        <f t="shared" si="0"/>
        <v>0</v>
      </c>
      <c r="H42" s="153"/>
      <c r="I42" s="153"/>
      <c r="J42" s="784"/>
      <c r="K42" s="824"/>
      <c r="L42" s="735"/>
      <c r="M42" s="735"/>
      <c r="N42" s="827"/>
      <c r="O42" s="826"/>
      <c r="P42" s="826"/>
      <c r="Q42" s="784"/>
      <c r="R42" s="799"/>
      <c r="S42" s="799"/>
      <c r="T42" s="784"/>
      <c r="U42" s="824"/>
      <c r="V42" s="735"/>
      <c r="W42" s="735"/>
      <c r="X42" s="827"/>
      <c r="Y42" s="826"/>
      <c r="Z42" s="826"/>
      <c r="AA42" s="784"/>
      <c r="AB42" s="799"/>
      <c r="AC42" s="799"/>
      <c r="AD42" s="784"/>
      <c r="AE42" s="824"/>
      <c r="AF42" s="735"/>
      <c r="AG42" s="735"/>
      <c r="AH42" s="827"/>
      <c r="AI42" s="826"/>
      <c r="AJ42" s="826"/>
      <c r="AK42" s="784"/>
      <c r="AL42" s="799"/>
      <c r="AM42" s="799"/>
    </row>
    <row r="43" spans="2:39" ht="10.5">
      <c r="B43" s="753" t="s">
        <v>577</v>
      </c>
      <c r="C43" s="1308" t="s">
        <v>239</v>
      </c>
      <c r="D43" s="1309"/>
      <c r="E43" s="754">
        <v>30</v>
      </c>
      <c r="F43" s="755"/>
      <c r="G43" s="756">
        <f t="shared" si="0"/>
        <v>0</v>
      </c>
      <c r="H43" s="153"/>
      <c r="I43" s="153"/>
      <c r="J43" s="784"/>
      <c r="K43" s="824"/>
      <c r="L43" s="735"/>
      <c r="M43" s="735"/>
      <c r="N43" s="827"/>
      <c r="O43" s="826"/>
      <c r="P43" s="826"/>
      <c r="Q43" s="784"/>
      <c r="R43" s="799"/>
      <c r="S43" s="799"/>
      <c r="T43" s="784"/>
      <c r="U43" s="824"/>
      <c r="V43" s="735"/>
      <c r="W43" s="735"/>
      <c r="X43" s="827"/>
      <c r="Y43" s="826"/>
      <c r="Z43" s="826"/>
      <c r="AA43" s="784"/>
      <c r="AB43" s="799"/>
      <c r="AC43" s="799"/>
      <c r="AD43" s="784"/>
      <c r="AE43" s="824"/>
      <c r="AF43" s="735"/>
      <c r="AG43" s="735"/>
      <c r="AH43" s="827"/>
      <c r="AI43" s="826"/>
      <c r="AJ43" s="826"/>
      <c r="AK43" s="784"/>
      <c r="AL43" s="799"/>
      <c r="AM43" s="799"/>
    </row>
    <row r="44" spans="2:39" ht="10.5">
      <c r="B44" s="753" t="s">
        <v>578</v>
      </c>
      <c r="C44" s="1308" t="s">
        <v>239</v>
      </c>
      <c r="D44" s="1309"/>
      <c r="E44" s="754">
        <v>30</v>
      </c>
      <c r="F44" s="755"/>
      <c r="G44" s="756">
        <f t="shared" si="0"/>
        <v>0</v>
      </c>
      <c r="H44" s="153"/>
      <c r="I44" s="153"/>
      <c r="J44" s="784"/>
      <c r="K44" s="824"/>
      <c r="L44" s="735"/>
      <c r="M44" s="735"/>
      <c r="N44" s="827"/>
      <c r="O44" s="826"/>
      <c r="P44" s="826"/>
      <c r="Q44" s="784"/>
      <c r="R44" s="799"/>
      <c r="S44" s="799"/>
      <c r="T44" s="784"/>
      <c r="U44" s="824"/>
      <c r="V44" s="735"/>
      <c r="W44" s="735"/>
      <c r="X44" s="827"/>
      <c r="Y44" s="826"/>
      <c r="Z44" s="826"/>
      <c r="AA44" s="784"/>
      <c r="AB44" s="799"/>
      <c r="AC44" s="799"/>
      <c r="AD44" s="784"/>
      <c r="AE44" s="824"/>
      <c r="AF44" s="735"/>
      <c r="AG44" s="735"/>
      <c r="AH44" s="827"/>
      <c r="AI44" s="826"/>
      <c r="AJ44" s="826"/>
      <c r="AK44" s="784"/>
      <c r="AL44" s="799"/>
      <c r="AM44" s="799"/>
    </row>
    <row r="45" spans="2:39" ht="10.5">
      <c r="B45" s="753" t="s">
        <v>579</v>
      </c>
      <c r="C45" s="1308" t="s">
        <v>239</v>
      </c>
      <c r="D45" s="1309"/>
      <c r="E45" s="754">
        <v>20</v>
      </c>
      <c r="F45" s="755"/>
      <c r="G45" s="756">
        <f t="shared" si="0"/>
        <v>0</v>
      </c>
      <c r="H45" s="153"/>
      <c r="I45" s="153"/>
      <c r="J45" s="784"/>
      <c r="K45" s="824"/>
      <c r="L45" s="735"/>
      <c r="M45" s="735"/>
      <c r="N45" s="827"/>
      <c r="O45" s="826"/>
      <c r="P45" s="826"/>
      <c r="Q45" s="784"/>
      <c r="R45" s="799"/>
      <c r="S45" s="799"/>
      <c r="T45" s="784"/>
      <c r="U45" s="824"/>
      <c r="V45" s="735"/>
      <c r="W45" s="735"/>
      <c r="X45" s="827"/>
      <c r="Y45" s="826"/>
      <c r="Z45" s="826"/>
      <c r="AA45" s="784"/>
      <c r="AB45" s="799"/>
      <c r="AC45" s="799"/>
      <c r="AD45" s="784"/>
      <c r="AE45" s="824"/>
      <c r="AF45" s="735"/>
      <c r="AG45" s="735"/>
      <c r="AH45" s="827"/>
      <c r="AI45" s="826"/>
      <c r="AJ45" s="826"/>
      <c r="AK45" s="784"/>
      <c r="AL45" s="799"/>
      <c r="AM45" s="799"/>
    </row>
    <row r="46" spans="2:39" ht="10.5">
      <c r="B46" s="753" t="s">
        <v>580</v>
      </c>
      <c r="C46" s="762"/>
      <c r="D46" s="762"/>
      <c r="E46" s="754"/>
      <c r="F46" s="755"/>
      <c r="G46" s="756">
        <f>F46*E46</f>
        <v>0</v>
      </c>
      <c r="H46" s="153"/>
      <c r="I46" s="153"/>
      <c r="J46" s="784"/>
      <c r="K46" s="824"/>
      <c r="L46" s="735"/>
      <c r="M46" s="735"/>
      <c r="N46" s="827"/>
      <c r="O46" s="826"/>
      <c r="P46" s="826"/>
      <c r="Q46" s="784"/>
      <c r="R46" s="799"/>
      <c r="S46" s="799"/>
      <c r="T46" s="784"/>
      <c r="U46" s="824"/>
      <c r="V46" s="735"/>
      <c r="W46" s="735"/>
      <c r="X46" s="827"/>
      <c r="Y46" s="826"/>
      <c r="Z46" s="826"/>
      <c r="AA46" s="784"/>
      <c r="AB46" s="799"/>
      <c r="AC46" s="799"/>
      <c r="AD46" s="784"/>
      <c r="AE46" s="824"/>
      <c r="AF46" s="735"/>
      <c r="AG46" s="735"/>
      <c r="AH46" s="827"/>
      <c r="AI46" s="826"/>
      <c r="AJ46" s="826"/>
      <c r="AK46" s="784"/>
      <c r="AL46" s="799"/>
      <c r="AM46" s="799"/>
    </row>
    <row r="47" spans="2:39" ht="10.5">
      <c r="B47" s="763" t="s">
        <v>581</v>
      </c>
      <c r="C47" s="761"/>
      <c r="D47" s="761"/>
      <c r="E47" s="764">
        <f>C23</f>
        <v>0.52035984848484851</v>
      </c>
      <c r="F47" s="765"/>
      <c r="G47" s="766">
        <f>E47*F47</f>
        <v>0</v>
      </c>
      <c r="H47" s="157"/>
      <c r="I47" s="157"/>
      <c r="J47" s="784"/>
      <c r="K47" s="160"/>
      <c r="L47" s="784"/>
      <c r="M47" s="784"/>
      <c r="N47" s="160"/>
      <c r="O47" s="160"/>
      <c r="P47" s="784"/>
      <c r="Q47" s="784"/>
      <c r="R47" s="799"/>
      <c r="S47" s="799"/>
      <c r="T47" s="784"/>
      <c r="U47" s="160"/>
      <c r="V47" s="784"/>
      <c r="W47" s="784"/>
      <c r="X47" s="160"/>
      <c r="Y47" s="160"/>
      <c r="Z47" s="784"/>
      <c r="AA47" s="784"/>
      <c r="AB47" s="799"/>
      <c r="AC47" s="799"/>
      <c r="AD47" s="784"/>
      <c r="AE47" s="160"/>
      <c r="AF47" s="784"/>
      <c r="AG47" s="784"/>
      <c r="AH47" s="160"/>
      <c r="AI47" s="160"/>
      <c r="AJ47" s="784"/>
      <c r="AK47" s="784"/>
      <c r="AL47" s="799"/>
      <c r="AM47" s="799"/>
    </row>
    <row r="48" spans="2:39" ht="10.5">
      <c r="B48" s="763" t="s">
        <v>582</v>
      </c>
      <c r="C48" s="761"/>
      <c r="D48" s="761"/>
      <c r="E48" s="764">
        <f>C23</f>
        <v>0.52035984848484851</v>
      </c>
      <c r="F48" s="765"/>
      <c r="G48" s="766">
        <v>0.1</v>
      </c>
      <c r="H48" s="157"/>
      <c r="I48" s="157"/>
      <c r="J48" s="784"/>
      <c r="K48" s="725"/>
      <c r="L48" s="821"/>
      <c r="M48" s="821"/>
      <c r="N48" s="821"/>
      <c r="O48" s="822"/>
      <c r="P48" s="738"/>
      <c r="Q48" s="160"/>
      <c r="R48" s="784"/>
      <c r="S48" s="784"/>
      <c r="T48" s="784"/>
      <c r="U48" s="725"/>
      <c r="V48" s="821"/>
      <c r="W48" s="821"/>
      <c r="X48" s="821"/>
      <c r="Y48" s="822"/>
      <c r="Z48" s="738"/>
      <c r="AA48" s="160"/>
      <c r="AB48" s="784"/>
      <c r="AC48" s="784"/>
      <c r="AD48" s="784"/>
      <c r="AE48" s="725"/>
      <c r="AF48" s="821"/>
      <c r="AG48" s="821"/>
      <c r="AH48" s="821"/>
      <c r="AI48" s="822"/>
      <c r="AJ48" s="738"/>
      <c r="AK48" s="160"/>
      <c r="AL48" s="784"/>
      <c r="AM48" s="784"/>
    </row>
    <row r="49" spans="1:40" ht="10.5">
      <c r="B49" s="767" t="s">
        <v>583</v>
      </c>
      <c r="C49" s="768"/>
      <c r="D49" s="768"/>
      <c r="E49" s="769"/>
      <c r="F49" s="770"/>
      <c r="G49" s="771"/>
      <c r="H49" s="157"/>
      <c r="I49" s="157"/>
      <c r="J49" s="784"/>
      <c r="K49" s="725"/>
      <c r="L49" s="821"/>
      <c r="M49" s="821"/>
      <c r="N49" s="821"/>
      <c r="O49" s="822"/>
      <c r="P49" s="738"/>
      <c r="Q49" s="160"/>
      <c r="R49" s="784"/>
      <c r="S49" s="784"/>
      <c r="T49" s="784"/>
      <c r="U49" s="725"/>
      <c r="V49" s="821"/>
      <c r="W49" s="821"/>
      <c r="X49" s="821"/>
      <c r="Y49" s="822"/>
      <c r="Z49" s="738"/>
      <c r="AA49" s="160"/>
      <c r="AB49" s="784"/>
      <c r="AC49" s="784"/>
      <c r="AD49" s="784"/>
      <c r="AE49" s="725"/>
      <c r="AF49" s="821"/>
      <c r="AG49" s="821"/>
      <c r="AH49" s="821"/>
      <c r="AI49" s="822"/>
      <c r="AJ49" s="738"/>
      <c r="AK49" s="160"/>
      <c r="AL49" s="784"/>
      <c r="AM49" s="784"/>
    </row>
    <row r="50" spans="1:40" ht="11" thickBot="1">
      <c r="B50" s="183" t="s">
        <v>246</v>
      </c>
      <c r="C50" s="772"/>
      <c r="D50" s="772"/>
      <c r="E50" s="773"/>
      <c r="F50" s="774"/>
      <c r="G50" s="775">
        <f>SUM(G37:G48)</f>
        <v>0.1</v>
      </c>
      <c r="H50" s="157"/>
      <c r="I50" s="157"/>
      <c r="J50" s="784"/>
      <c r="K50" s="800"/>
      <c r="L50" s="735"/>
      <c r="M50" s="735"/>
      <c r="N50" s="826"/>
      <c r="O50" s="826"/>
      <c r="P50" s="817"/>
      <c r="Q50" s="160"/>
      <c r="R50" s="784"/>
      <c r="S50" s="784"/>
      <c r="T50" s="784"/>
      <c r="U50" s="800"/>
      <c r="V50" s="735"/>
      <c r="W50" s="735"/>
      <c r="X50" s="826"/>
      <c r="Y50" s="826"/>
      <c r="Z50" s="817"/>
      <c r="AA50" s="160"/>
      <c r="AB50" s="784"/>
      <c r="AC50" s="784"/>
      <c r="AD50" s="784"/>
      <c r="AE50" s="800"/>
      <c r="AF50" s="735"/>
      <c r="AG50" s="735"/>
      <c r="AH50" s="826"/>
      <c r="AI50" s="826"/>
      <c r="AJ50" s="817"/>
      <c r="AK50" s="160"/>
      <c r="AL50" s="784"/>
      <c r="AM50" s="784"/>
    </row>
    <row r="51" spans="1:40" ht="11" thickBot="1">
      <c r="B51" s="191"/>
      <c r="C51" s="157"/>
      <c r="D51" s="157"/>
      <c r="E51" s="144"/>
      <c r="F51" s="160"/>
      <c r="G51" s="157"/>
      <c r="H51" s="157"/>
      <c r="I51" s="157"/>
      <c r="J51" s="784"/>
      <c r="K51" s="800"/>
      <c r="L51" s="735"/>
      <c r="M51" s="735"/>
      <c r="N51" s="826"/>
      <c r="O51" s="826"/>
      <c r="P51" s="817"/>
      <c r="Q51" s="160"/>
      <c r="R51" s="784"/>
      <c r="S51" s="784"/>
      <c r="T51" s="784"/>
      <c r="U51" s="800"/>
      <c r="V51" s="735"/>
      <c r="W51" s="735"/>
      <c r="X51" s="826"/>
      <c r="Y51" s="826"/>
      <c r="Z51" s="817"/>
      <c r="AA51" s="160"/>
      <c r="AB51" s="784"/>
      <c r="AC51" s="784"/>
      <c r="AD51" s="784"/>
      <c r="AE51" s="800"/>
      <c r="AF51" s="735"/>
      <c r="AG51" s="735"/>
      <c r="AH51" s="826"/>
      <c r="AI51" s="826"/>
      <c r="AJ51" s="817"/>
      <c r="AK51" s="160"/>
      <c r="AL51" s="784"/>
      <c r="AM51" s="784"/>
    </row>
    <row r="52" spans="1:40" ht="14">
      <c r="B52" s="188" t="s">
        <v>247</v>
      </c>
      <c r="C52" s="776"/>
      <c r="D52" s="189" t="e">
        <f>+C31</f>
        <v>#VALUE!</v>
      </c>
      <c r="E52" s="162"/>
      <c r="F52" s="144"/>
      <c r="G52" s="160"/>
      <c r="H52" s="157"/>
      <c r="I52" s="157"/>
      <c r="J52" s="784"/>
      <c r="K52" s="784"/>
      <c r="L52" s="808"/>
      <c r="M52" s="735"/>
      <c r="N52" s="735"/>
      <c r="O52" s="824"/>
      <c r="P52" s="824"/>
      <c r="Q52" s="828"/>
      <c r="R52" s="802"/>
      <c r="S52" s="784"/>
      <c r="T52" s="784"/>
      <c r="U52" s="784"/>
      <c r="V52" s="808"/>
      <c r="W52" s="735"/>
      <c r="X52" s="735"/>
      <c r="Y52" s="824"/>
      <c r="Z52" s="824"/>
      <c r="AA52" s="828"/>
      <c r="AB52" s="802"/>
      <c r="AC52" s="784"/>
      <c r="AD52" s="784"/>
      <c r="AE52" s="784"/>
      <c r="AF52" s="808"/>
      <c r="AG52" s="735"/>
      <c r="AH52" s="735"/>
      <c r="AI52" s="824"/>
      <c r="AJ52" s="824"/>
      <c r="AK52" s="828"/>
      <c r="AL52" s="802"/>
      <c r="AM52" s="784"/>
      <c r="AN52" s="161"/>
    </row>
    <row r="53" spans="1:40" ht="15.5">
      <c r="B53" s="777" t="s">
        <v>248</v>
      </c>
      <c r="C53" s="778"/>
      <c r="D53" s="779" t="e">
        <f>(G50+#REF!)</f>
        <v>#REF!</v>
      </c>
      <c r="E53" s="162"/>
      <c r="F53" s="144"/>
      <c r="G53" s="163"/>
      <c r="H53" s="780"/>
      <c r="I53" s="785"/>
      <c r="J53" s="783"/>
      <c r="K53" s="784"/>
      <c r="L53" s="829"/>
      <c r="M53" s="784"/>
      <c r="N53" s="784"/>
      <c r="O53" s="160"/>
      <c r="P53" s="160"/>
      <c r="Q53" s="784"/>
      <c r="R53" s="160"/>
      <c r="S53" s="784"/>
      <c r="T53" s="784"/>
      <c r="U53" s="784"/>
      <c r="V53" s="829"/>
      <c r="W53" s="784"/>
      <c r="X53" s="784"/>
      <c r="Y53" s="160"/>
      <c r="Z53" s="160"/>
      <c r="AA53" s="784"/>
      <c r="AB53" s="160"/>
      <c r="AC53" s="784"/>
      <c r="AD53" s="784"/>
      <c r="AE53" s="784"/>
      <c r="AF53" s="829"/>
      <c r="AG53" s="784"/>
      <c r="AH53" s="784"/>
      <c r="AI53" s="160"/>
      <c r="AJ53" s="160"/>
      <c r="AK53" s="784"/>
      <c r="AL53" s="160"/>
      <c r="AM53" s="784"/>
      <c r="AN53" s="161"/>
    </row>
    <row r="54" spans="1:40" ht="15.5">
      <c r="B54" s="777" t="s">
        <v>584</v>
      </c>
      <c r="C54" s="781"/>
      <c r="D54" s="779" t="e">
        <f>D52/100*1.5</f>
        <v>#VALUE!</v>
      </c>
      <c r="E54" s="162"/>
      <c r="F54" s="160"/>
      <c r="G54" s="782"/>
      <c r="H54" s="783"/>
      <c r="I54" s="157"/>
      <c r="J54" s="784"/>
      <c r="K54" s="784"/>
      <c r="L54" s="830"/>
      <c r="M54" s="803"/>
      <c r="N54" s="803"/>
      <c r="O54" s="160"/>
      <c r="P54" s="160"/>
      <c r="Q54" s="784"/>
      <c r="R54" s="160"/>
      <c r="S54" s="784"/>
      <c r="T54" s="784"/>
      <c r="U54" s="784"/>
      <c r="V54" s="830"/>
      <c r="W54" s="803"/>
      <c r="X54" s="803"/>
      <c r="Y54" s="160"/>
      <c r="Z54" s="160"/>
      <c r="AA54" s="784"/>
      <c r="AB54" s="160"/>
      <c r="AC54" s="784"/>
      <c r="AD54" s="784"/>
      <c r="AE54" s="784"/>
      <c r="AF54" s="830"/>
      <c r="AG54" s="803"/>
      <c r="AH54" s="803"/>
      <c r="AI54" s="160"/>
      <c r="AJ54" s="160"/>
      <c r="AK54" s="784"/>
      <c r="AL54" s="160"/>
      <c r="AM54" s="784"/>
      <c r="AN54" s="161"/>
    </row>
    <row r="55" spans="1:40" ht="15.5">
      <c r="B55" s="777" t="s">
        <v>284</v>
      </c>
      <c r="C55" s="778"/>
      <c r="D55" s="779" t="e">
        <f>#REF!</f>
        <v>#REF!</v>
      </c>
      <c r="E55" s="162"/>
      <c r="F55" s="160"/>
      <c r="G55" s="163"/>
      <c r="H55" s="784"/>
      <c r="I55" s="157"/>
      <c r="J55" s="784"/>
      <c r="K55" s="784"/>
      <c r="L55" s="831"/>
      <c r="M55" s="803"/>
      <c r="N55" s="803"/>
      <c r="O55" s="160"/>
      <c r="P55" s="163"/>
      <c r="Q55" s="783"/>
      <c r="R55" s="160"/>
      <c r="S55" s="785"/>
      <c r="T55" s="783"/>
      <c r="U55" s="784"/>
      <c r="V55" s="831"/>
      <c r="W55" s="803"/>
      <c r="X55" s="803"/>
      <c r="Y55" s="160"/>
      <c r="Z55" s="163"/>
      <c r="AA55" s="784"/>
      <c r="AB55" s="160"/>
      <c r="AC55" s="784"/>
      <c r="AD55" s="784"/>
      <c r="AE55" s="784"/>
      <c r="AF55" s="831"/>
      <c r="AG55" s="803"/>
      <c r="AH55" s="803"/>
      <c r="AI55" s="160"/>
      <c r="AJ55" s="163"/>
      <c r="AK55" s="784"/>
      <c r="AL55" s="160"/>
      <c r="AM55" s="784"/>
      <c r="AN55" s="161"/>
    </row>
    <row r="56" spans="1:40" ht="15.5">
      <c r="B56" s="777" t="s">
        <v>250</v>
      </c>
      <c r="C56" s="778"/>
      <c r="D56" s="779" t="e">
        <f>(D52+D53)/100*2</f>
        <v>#VALUE!</v>
      </c>
      <c r="E56" s="162"/>
      <c r="F56" s="144"/>
      <c r="G56" s="782"/>
      <c r="H56" s="157"/>
      <c r="I56" s="157"/>
      <c r="J56" s="784"/>
      <c r="K56" s="784"/>
      <c r="L56" s="831"/>
      <c r="M56" s="803"/>
      <c r="N56" s="803"/>
      <c r="O56" s="160"/>
      <c r="P56" s="782"/>
      <c r="Q56" s="783"/>
      <c r="R56" s="160"/>
      <c r="S56" s="784"/>
      <c r="T56" s="784"/>
      <c r="U56" s="784"/>
      <c r="V56" s="831"/>
      <c r="W56" s="803"/>
      <c r="X56" s="803"/>
      <c r="Y56" s="160"/>
      <c r="Z56" s="163"/>
      <c r="AA56" s="784"/>
      <c r="AB56" s="160"/>
      <c r="AC56" s="784"/>
      <c r="AD56" s="784"/>
      <c r="AE56" s="784"/>
      <c r="AF56" s="831"/>
      <c r="AG56" s="803"/>
      <c r="AH56" s="803"/>
      <c r="AI56" s="160"/>
      <c r="AJ56" s="163"/>
      <c r="AK56" s="784"/>
      <c r="AL56" s="160"/>
      <c r="AM56" s="784"/>
      <c r="AN56" s="161"/>
    </row>
    <row r="57" spans="1:40" ht="15.5">
      <c r="B57" s="786" t="s">
        <v>251</v>
      </c>
      <c r="C57" s="787"/>
      <c r="D57" s="779" t="e">
        <f>D53*5%</f>
        <v>#REF!</v>
      </c>
      <c r="E57" s="162"/>
      <c r="F57" s="144"/>
      <c r="G57" s="782"/>
      <c r="H57" s="157"/>
      <c r="I57" s="157"/>
      <c r="J57" s="784"/>
      <c r="K57" s="784"/>
      <c r="L57" s="831"/>
      <c r="M57" s="803"/>
      <c r="N57" s="803"/>
      <c r="O57" s="160"/>
      <c r="P57" s="163"/>
      <c r="Q57" s="784"/>
      <c r="R57" s="160"/>
      <c r="S57" s="784"/>
      <c r="T57" s="784"/>
      <c r="U57" s="784"/>
      <c r="V57" s="831"/>
      <c r="W57" s="803"/>
      <c r="X57" s="803"/>
      <c r="Y57" s="160"/>
      <c r="Z57" s="163"/>
      <c r="AA57" s="784"/>
      <c r="AB57" s="160"/>
      <c r="AC57" s="784"/>
      <c r="AD57" s="784"/>
      <c r="AE57" s="784"/>
      <c r="AF57" s="831"/>
      <c r="AG57" s="803"/>
      <c r="AH57" s="803"/>
      <c r="AI57" s="160"/>
      <c r="AJ57" s="163"/>
      <c r="AK57" s="784"/>
      <c r="AL57" s="160"/>
      <c r="AM57" s="784"/>
      <c r="AN57" s="161"/>
    </row>
    <row r="58" spans="1:40" ht="15.5">
      <c r="B58" s="786" t="s">
        <v>252</v>
      </c>
      <c r="C58" s="787"/>
      <c r="D58" s="779" t="e">
        <f>(D53+D52)*10%</f>
        <v>#REF!</v>
      </c>
      <c r="E58" s="162"/>
      <c r="F58" s="144"/>
      <c r="G58" s="782"/>
      <c r="H58" s="157"/>
      <c r="I58" s="157"/>
      <c r="J58" s="784"/>
      <c r="K58" s="784"/>
      <c r="L58" s="831"/>
      <c r="M58" s="803"/>
      <c r="N58" s="803"/>
      <c r="O58" s="160"/>
      <c r="P58" s="782"/>
      <c r="Q58" s="784"/>
      <c r="R58" s="160"/>
      <c r="S58" s="784"/>
      <c r="T58" s="784"/>
      <c r="U58" s="784"/>
      <c r="V58" s="831"/>
      <c r="W58" s="803"/>
      <c r="X58" s="803"/>
      <c r="Y58" s="160"/>
      <c r="Z58" s="163"/>
      <c r="AA58" s="784"/>
      <c r="AB58" s="160"/>
      <c r="AC58" s="784"/>
      <c r="AD58" s="784"/>
      <c r="AE58" s="784"/>
      <c r="AF58" s="831"/>
      <c r="AG58" s="803"/>
      <c r="AH58" s="803"/>
      <c r="AI58" s="160"/>
      <c r="AJ58" s="163"/>
      <c r="AK58" s="784"/>
      <c r="AL58" s="160"/>
      <c r="AM58" s="784"/>
      <c r="AN58" s="161"/>
    </row>
    <row r="59" spans="1:40" ht="17.5" thickBot="1">
      <c r="B59" s="173" t="s">
        <v>246</v>
      </c>
      <c r="C59" s="788"/>
      <c r="D59" s="789" t="e">
        <f>SUM(D52:D58)</f>
        <v>#VALUE!</v>
      </c>
      <c r="E59" s="162"/>
      <c r="F59" s="160"/>
      <c r="G59" s="782"/>
      <c r="H59" s="157"/>
      <c r="I59" s="157"/>
      <c r="J59" s="784"/>
      <c r="K59" s="784"/>
      <c r="L59" s="831"/>
      <c r="M59" s="803"/>
      <c r="N59" s="803"/>
      <c r="O59" s="160"/>
      <c r="P59" s="782"/>
      <c r="Q59" s="784"/>
      <c r="R59" s="160"/>
      <c r="S59" s="784"/>
      <c r="T59" s="784"/>
      <c r="U59" s="784"/>
      <c r="V59" s="831"/>
      <c r="W59" s="803"/>
      <c r="X59" s="803"/>
      <c r="Y59" s="160"/>
      <c r="Z59" s="163"/>
      <c r="AA59" s="784"/>
      <c r="AB59" s="160"/>
      <c r="AC59" s="784"/>
      <c r="AD59" s="784"/>
      <c r="AE59" s="784"/>
      <c r="AF59" s="831"/>
      <c r="AG59" s="803"/>
      <c r="AH59" s="803"/>
      <c r="AI59" s="160"/>
      <c r="AJ59" s="163"/>
      <c r="AK59" s="784"/>
      <c r="AL59" s="160"/>
      <c r="AM59" s="784"/>
      <c r="AN59" s="161"/>
    </row>
    <row r="60" spans="1:40" ht="15.5">
      <c r="B60" s="696"/>
      <c r="C60" s="696"/>
      <c r="D60" s="696"/>
      <c r="E60" s="790"/>
      <c r="F60" s="144"/>
      <c r="G60" s="782"/>
      <c r="H60" s="157"/>
      <c r="I60" s="157"/>
      <c r="J60" s="784"/>
      <c r="K60" s="784"/>
      <c r="L60" s="831"/>
      <c r="M60" s="803"/>
      <c r="N60" s="803"/>
      <c r="O60" s="160"/>
      <c r="P60" s="782"/>
      <c r="Q60" s="784"/>
      <c r="R60" s="160"/>
      <c r="S60" s="784"/>
      <c r="T60" s="784"/>
      <c r="U60" s="784"/>
      <c r="V60" s="831"/>
      <c r="W60" s="803"/>
      <c r="X60" s="803"/>
      <c r="Y60" s="160"/>
      <c r="Z60" s="163"/>
      <c r="AA60" s="784"/>
      <c r="AB60" s="160"/>
      <c r="AC60" s="784"/>
      <c r="AD60" s="784"/>
      <c r="AE60" s="784"/>
      <c r="AF60" s="831"/>
      <c r="AG60" s="803"/>
      <c r="AH60" s="803"/>
      <c r="AI60" s="160"/>
      <c r="AJ60" s="163"/>
      <c r="AK60" s="784"/>
      <c r="AL60" s="160"/>
      <c r="AM60" s="784"/>
      <c r="AN60" s="161"/>
    </row>
    <row r="61" spans="1:40" ht="15.5">
      <c r="B61" s="695"/>
      <c r="C61" s="695"/>
      <c r="D61" s="695"/>
      <c r="E61" s="791"/>
      <c r="F61" s="144"/>
      <c r="G61" s="782"/>
      <c r="H61" s="157"/>
      <c r="I61" s="157"/>
      <c r="J61" s="784"/>
      <c r="K61" s="784"/>
      <c r="L61" s="831"/>
      <c r="M61" s="803"/>
      <c r="N61" s="803"/>
      <c r="O61" s="160"/>
      <c r="P61" s="782"/>
      <c r="Q61" s="784"/>
      <c r="R61" s="160"/>
      <c r="S61" s="784"/>
      <c r="T61" s="784"/>
      <c r="U61" s="784"/>
      <c r="V61" s="831"/>
      <c r="W61" s="803"/>
      <c r="X61" s="803"/>
      <c r="Y61" s="160"/>
      <c r="Z61" s="163"/>
      <c r="AA61" s="784"/>
      <c r="AB61" s="160"/>
      <c r="AC61" s="784"/>
      <c r="AD61" s="784"/>
      <c r="AE61" s="784"/>
      <c r="AF61" s="831"/>
      <c r="AG61" s="803"/>
      <c r="AH61" s="803"/>
      <c r="AI61" s="160"/>
      <c r="AJ61" s="163"/>
      <c r="AK61" s="784"/>
      <c r="AL61" s="160"/>
      <c r="AM61" s="784"/>
      <c r="AN61" s="161"/>
    </row>
    <row r="62" spans="1:40" ht="28">
      <c r="A62" s="144"/>
      <c r="B62" s="792"/>
      <c r="C62" s="792"/>
      <c r="D62" s="792"/>
      <c r="E62" s="162"/>
      <c r="F62" s="168"/>
      <c r="G62" s="794"/>
      <c r="H62" s="157"/>
      <c r="I62" s="157"/>
      <c r="J62" s="784"/>
      <c r="K62" s="784"/>
      <c r="L62" s="830"/>
      <c r="M62" s="803"/>
      <c r="N62" s="804"/>
      <c r="O62" s="160"/>
      <c r="P62" s="782"/>
      <c r="Q62" s="784"/>
      <c r="R62" s="160"/>
      <c r="S62" s="784"/>
      <c r="T62" s="784"/>
      <c r="U62" s="784"/>
      <c r="V62" s="830"/>
      <c r="W62" s="803"/>
      <c r="X62" s="803"/>
      <c r="Y62" s="160"/>
      <c r="Z62" s="160"/>
      <c r="AA62" s="784"/>
      <c r="AB62" s="160"/>
      <c r="AC62" s="784"/>
      <c r="AD62" s="784"/>
      <c r="AE62" s="784"/>
      <c r="AF62" s="830"/>
      <c r="AG62" s="803"/>
      <c r="AH62" s="803"/>
      <c r="AI62" s="160"/>
      <c r="AJ62" s="160"/>
      <c r="AK62" s="784"/>
      <c r="AL62" s="160"/>
      <c r="AM62" s="784"/>
      <c r="AN62" s="161"/>
    </row>
    <row r="63" spans="1:40" ht="28">
      <c r="A63" s="160"/>
      <c r="B63" s="792"/>
      <c r="C63" s="792"/>
      <c r="D63" s="792"/>
      <c r="E63" s="784"/>
      <c r="F63" s="784"/>
      <c r="G63" s="784"/>
      <c r="H63" s="784"/>
      <c r="I63" s="784"/>
      <c r="J63" s="784"/>
      <c r="K63" s="830"/>
      <c r="L63" s="803"/>
      <c r="M63" s="805"/>
      <c r="N63" s="160"/>
      <c r="O63" s="832"/>
      <c r="P63" s="784"/>
      <c r="Q63" s="160"/>
      <c r="R63" s="784"/>
      <c r="S63" s="784"/>
      <c r="T63" s="784"/>
      <c r="U63" s="830"/>
      <c r="V63" s="803"/>
      <c r="W63" s="803"/>
      <c r="X63" s="160"/>
      <c r="Y63" s="160"/>
      <c r="Z63" s="784"/>
      <c r="AA63" s="160"/>
      <c r="AB63" s="784"/>
      <c r="AC63" s="784"/>
      <c r="AD63" s="784"/>
      <c r="AE63" s="830"/>
      <c r="AF63" s="803"/>
      <c r="AG63" s="803"/>
      <c r="AH63" s="160"/>
      <c r="AI63" s="160"/>
      <c r="AJ63" s="784"/>
      <c r="AK63" s="160"/>
      <c r="AL63" s="784"/>
      <c r="AM63" s="784"/>
    </row>
    <row r="64" spans="1:40" ht="28">
      <c r="A64" s="160"/>
      <c r="B64" s="792"/>
      <c r="C64" s="792"/>
      <c r="D64" s="792"/>
      <c r="E64" s="784"/>
      <c r="F64" s="784"/>
      <c r="G64" s="784"/>
      <c r="H64" s="784"/>
      <c r="I64" s="784"/>
      <c r="J64" s="784"/>
      <c r="K64" s="833"/>
      <c r="L64" s="803"/>
      <c r="M64" s="803"/>
      <c r="N64" s="834"/>
      <c r="O64" s="832"/>
      <c r="P64" s="784"/>
      <c r="Q64" s="160"/>
      <c r="R64" s="784"/>
      <c r="S64" s="784"/>
      <c r="T64" s="784"/>
      <c r="U64" s="833"/>
      <c r="V64" s="803"/>
      <c r="W64" s="803"/>
      <c r="X64" s="834"/>
      <c r="Y64" s="834"/>
      <c r="Z64" s="784"/>
      <c r="AA64" s="160"/>
      <c r="AB64" s="784"/>
      <c r="AC64" s="784"/>
      <c r="AD64" s="784"/>
      <c r="AE64" s="833"/>
      <c r="AF64" s="803"/>
      <c r="AG64" s="803"/>
      <c r="AH64" s="834"/>
      <c r="AI64" s="834"/>
      <c r="AJ64" s="784"/>
      <c r="AK64" s="160"/>
      <c r="AL64" s="784"/>
      <c r="AM64" s="784"/>
    </row>
    <row r="65" spans="1:40" ht="11.25" customHeight="1">
      <c r="A65" s="1203" t="s">
        <v>286</v>
      </c>
      <c r="B65" s="1203"/>
      <c r="C65" s="1203"/>
      <c r="D65" s="1203"/>
      <c r="E65" s="1203"/>
      <c r="F65" s="1203"/>
      <c r="G65" s="1203"/>
      <c r="H65" s="1203"/>
      <c r="I65" s="1203"/>
      <c r="J65" s="1203"/>
      <c r="K65" s="1203"/>
      <c r="L65" s="1203"/>
      <c r="M65" s="1203"/>
      <c r="N65" s="1203"/>
      <c r="O65" s="1203"/>
      <c r="P65" s="1203"/>
      <c r="Q65" s="1203"/>
      <c r="R65" s="1203"/>
      <c r="S65" s="1203"/>
      <c r="T65" s="1203"/>
      <c r="U65" s="1203"/>
      <c r="V65" s="1203"/>
      <c r="W65" s="1203"/>
      <c r="X65" s="1203"/>
      <c r="Y65" s="1203"/>
      <c r="Z65" s="1203"/>
      <c r="AA65" s="1203"/>
      <c r="AB65" s="1203"/>
      <c r="AC65" s="1203"/>
      <c r="AD65" s="1203"/>
      <c r="AE65" s="1203"/>
      <c r="AF65" s="1203"/>
      <c r="AG65" s="1203"/>
      <c r="AH65" s="1203"/>
      <c r="AI65" s="1203"/>
      <c r="AJ65" s="1203"/>
      <c r="AK65" s="1203"/>
      <c r="AL65" s="1203"/>
      <c r="AM65" s="1203"/>
      <c r="AN65" s="1204"/>
    </row>
    <row r="66" spans="1:40" ht="11.25" customHeight="1">
      <c r="A66" s="1203"/>
      <c r="B66" s="1203"/>
      <c r="C66" s="1203"/>
      <c r="D66" s="1203"/>
      <c r="E66" s="1203"/>
      <c r="F66" s="1203"/>
      <c r="G66" s="1203"/>
      <c r="H66" s="1203"/>
      <c r="I66" s="1203"/>
      <c r="J66" s="1203"/>
      <c r="K66" s="1203"/>
      <c r="L66" s="1203"/>
      <c r="M66" s="1203"/>
      <c r="N66" s="1203"/>
      <c r="O66" s="1203"/>
      <c r="P66" s="1203"/>
      <c r="Q66" s="1203"/>
      <c r="R66" s="1203"/>
      <c r="S66" s="1203"/>
      <c r="T66" s="1203"/>
      <c r="U66" s="1203"/>
      <c r="V66" s="1203"/>
      <c r="W66" s="1203"/>
      <c r="X66" s="1203"/>
      <c r="Y66" s="1203"/>
      <c r="Z66" s="1203"/>
      <c r="AA66" s="1203"/>
      <c r="AB66" s="1203"/>
      <c r="AC66" s="1203"/>
      <c r="AD66" s="1203"/>
      <c r="AE66" s="1203"/>
      <c r="AF66" s="1203"/>
      <c r="AG66" s="1203"/>
      <c r="AH66" s="1203"/>
      <c r="AI66" s="1203"/>
      <c r="AJ66" s="1203"/>
      <c r="AK66" s="1203"/>
      <c r="AL66" s="1203"/>
      <c r="AM66" s="1203"/>
      <c r="AN66" s="1204"/>
    </row>
    <row r="67" spans="1:40" ht="11.25" customHeight="1">
      <c r="A67" s="1203"/>
      <c r="B67" s="1203"/>
      <c r="C67" s="1203"/>
      <c r="D67" s="1203"/>
      <c r="E67" s="1203"/>
      <c r="F67" s="1203"/>
      <c r="G67" s="1203"/>
      <c r="H67" s="1203"/>
      <c r="I67" s="1203"/>
      <c r="J67" s="1203"/>
      <c r="K67" s="1203"/>
      <c r="L67" s="1203"/>
      <c r="M67" s="1203"/>
      <c r="N67" s="1203"/>
      <c r="O67" s="1203"/>
      <c r="P67" s="1203"/>
      <c r="Q67" s="1203"/>
      <c r="R67" s="1203"/>
      <c r="S67" s="1203"/>
      <c r="T67" s="1203"/>
      <c r="U67" s="1203"/>
      <c r="V67" s="1203"/>
      <c r="W67" s="1203"/>
      <c r="X67" s="1203"/>
      <c r="Y67" s="1203"/>
      <c r="Z67" s="1203"/>
      <c r="AA67" s="1203"/>
      <c r="AB67" s="1203"/>
      <c r="AC67" s="1203"/>
      <c r="AD67" s="1203"/>
      <c r="AE67" s="1203"/>
      <c r="AF67" s="1203"/>
      <c r="AG67" s="1203"/>
      <c r="AH67" s="1203"/>
      <c r="AI67" s="1203"/>
      <c r="AJ67" s="1203"/>
      <c r="AK67" s="1203"/>
      <c r="AL67" s="1203"/>
      <c r="AM67" s="1203"/>
      <c r="AN67" s="1204"/>
    </row>
    <row r="68" spans="1:40" ht="11.25" customHeight="1" thickBot="1">
      <c r="A68" s="1203"/>
      <c r="B68" s="1203"/>
      <c r="C68" s="1203"/>
      <c r="D68" s="1203"/>
      <c r="E68" s="1203"/>
      <c r="F68" s="1203"/>
      <c r="G68" s="1203"/>
      <c r="H68" s="1203"/>
      <c r="I68" s="1203"/>
      <c r="J68" s="1203"/>
      <c r="K68" s="1203"/>
      <c r="L68" s="1203"/>
      <c r="M68" s="1203"/>
      <c r="N68" s="1203"/>
      <c r="O68" s="1203"/>
      <c r="P68" s="1203"/>
      <c r="Q68" s="1203"/>
      <c r="R68" s="1203"/>
      <c r="S68" s="1203"/>
      <c r="T68" s="1203"/>
      <c r="U68" s="1203"/>
      <c r="V68" s="1203"/>
      <c r="W68" s="1203"/>
      <c r="X68" s="1203"/>
      <c r="Y68" s="1203"/>
      <c r="Z68" s="1203"/>
      <c r="AA68" s="1203"/>
      <c r="AB68" s="1203"/>
      <c r="AC68" s="1203"/>
      <c r="AD68" s="1203"/>
      <c r="AE68" s="1203"/>
      <c r="AF68" s="1203"/>
      <c r="AG68" s="1203"/>
      <c r="AH68" s="1203"/>
      <c r="AI68" s="1203"/>
      <c r="AJ68" s="1203"/>
      <c r="AK68" s="1203"/>
      <c r="AL68" s="1203"/>
      <c r="AM68" s="1203"/>
      <c r="AN68" s="1204"/>
    </row>
    <row r="69" spans="1:40" ht="15" thickBot="1">
      <c r="A69" s="1206"/>
      <c r="B69" s="1320" t="s">
        <v>594</v>
      </c>
      <c r="C69" s="1321"/>
      <c r="D69" s="1321"/>
      <c r="E69" s="1321"/>
      <c r="F69" s="1321"/>
      <c r="G69" s="1321"/>
      <c r="H69" s="1321"/>
      <c r="I69" s="1321"/>
      <c r="J69" s="1322"/>
      <c r="K69" s="1275"/>
      <c r="L69" s="1320"/>
      <c r="M69" s="1321"/>
      <c r="N69" s="1321"/>
      <c r="O69" s="1321"/>
      <c r="P69" s="1321"/>
      <c r="Q69" s="1321"/>
      <c r="R69" s="1321"/>
      <c r="S69" s="1321"/>
      <c r="T69" s="1322"/>
      <c r="U69" s="1275"/>
      <c r="V69" s="1320"/>
      <c r="W69" s="1321"/>
      <c r="X69" s="1321"/>
      <c r="Y69" s="1321"/>
      <c r="Z69" s="1321"/>
      <c r="AA69" s="1321"/>
      <c r="AB69" s="1321"/>
      <c r="AC69" s="1321"/>
      <c r="AD69" s="1322"/>
      <c r="AE69" s="1275"/>
      <c r="AF69" s="1320"/>
      <c r="AG69" s="1321"/>
      <c r="AH69" s="1321"/>
      <c r="AI69" s="1321"/>
      <c r="AJ69" s="1321"/>
      <c r="AK69" s="1321"/>
      <c r="AL69" s="1321"/>
      <c r="AM69" s="1321"/>
      <c r="AN69" s="1322"/>
    </row>
    <row r="70" spans="1:40" ht="77.400000000000006" customHeight="1" thickBot="1">
      <c r="A70" s="1206"/>
      <c r="B70" s="854" t="s">
        <v>593</v>
      </c>
      <c r="C70" s="1335" t="s">
        <v>585</v>
      </c>
      <c r="D70" s="1336"/>
      <c r="E70" s="1336"/>
      <c r="F70" s="1336"/>
      <c r="G70" s="1336"/>
      <c r="H70" s="1336"/>
      <c r="I70" s="1336"/>
      <c r="J70" s="1337"/>
      <c r="K70" s="1276"/>
      <c r="L70" s="203"/>
      <c r="M70" s="1207"/>
      <c r="N70" s="1212"/>
      <c r="O70" s="1212"/>
      <c r="P70" s="1212"/>
      <c r="Q70" s="1212"/>
      <c r="R70" s="1212"/>
      <c r="S70" s="1212"/>
      <c r="T70" s="1213"/>
      <c r="U70" s="1276"/>
      <c r="V70" s="203"/>
      <c r="W70" s="1207"/>
      <c r="X70" s="1212"/>
      <c r="Y70" s="1212"/>
      <c r="Z70" s="1212"/>
      <c r="AA70" s="1212"/>
      <c r="AB70" s="1212"/>
      <c r="AC70" s="1212"/>
      <c r="AD70" s="1213"/>
      <c r="AE70" s="1276"/>
      <c r="AF70" s="203"/>
      <c r="AG70" s="1207"/>
      <c r="AH70" s="1212"/>
      <c r="AI70" s="1212"/>
      <c r="AJ70" s="1212"/>
      <c r="AK70" s="1212"/>
      <c r="AL70" s="1212"/>
      <c r="AM70" s="1212"/>
      <c r="AN70" s="1213"/>
    </row>
    <row r="71" spans="1:40" ht="16" thickBot="1">
      <c r="A71" s="1206"/>
      <c r="B71" s="835" t="s">
        <v>283</v>
      </c>
      <c r="C71" s="903"/>
      <c r="D71" s="901"/>
      <c r="E71" s="901"/>
      <c r="F71" s="901"/>
      <c r="G71" s="901"/>
      <c r="H71" s="901"/>
      <c r="I71" s="901"/>
      <c r="J71" s="902"/>
      <c r="K71" s="1276"/>
      <c r="L71" s="203"/>
      <c r="M71" s="1207"/>
      <c r="N71" s="1212"/>
      <c r="O71" s="1212"/>
      <c r="P71" s="1212"/>
      <c r="Q71" s="1212"/>
      <c r="R71" s="1212"/>
      <c r="S71" s="1212"/>
      <c r="T71" s="1213"/>
      <c r="U71" s="1276"/>
      <c r="V71" s="203"/>
      <c r="W71" s="1207"/>
      <c r="X71" s="1212"/>
      <c r="Y71" s="1212"/>
      <c r="Z71" s="1212"/>
      <c r="AA71" s="1212"/>
      <c r="AB71" s="1212"/>
      <c r="AC71" s="1212"/>
      <c r="AD71" s="1213"/>
      <c r="AE71" s="1276"/>
      <c r="AF71" s="203"/>
      <c r="AG71" s="1207"/>
      <c r="AH71" s="1212"/>
      <c r="AI71" s="1212"/>
      <c r="AJ71" s="1212"/>
      <c r="AK71" s="1212"/>
      <c r="AL71" s="1212"/>
      <c r="AM71" s="1212"/>
      <c r="AN71" s="1213"/>
    </row>
    <row r="72" spans="1:40" ht="11" thickBot="1">
      <c r="A72" s="1206"/>
      <c r="B72" s="1217" t="s">
        <v>73</v>
      </c>
      <c r="C72" s="1218"/>
      <c r="D72" s="1218"/>
      <c r="E72" s="1218"/>
      <c r="F72" s="1218"/>
      <c r="G72" s="1218"/>
      <c r="H72" s="1218"/>
      <c r="I72" s="1218"/>
      <c r="J72" s="1219"/>
      <c r="K72" s="1276"/>
      <c r="L72" s="1217"/>
      <c r="M72" s="1218"/>
      <c r="N72" s="1218"/>
      <c r="O72" s="1218"/>
      <c r="P72" s="1218"/>
      <c r="Q72" s="1218"/>
      <c r="R72" s="1218"/>
      <c r="S72" s="1218"/>
      <c r="T72" s="1219"/>
      <c r="U72" s="1276"/>
      <c r="V72" s="1217"/>
      <c r="W72" s="1218"/>
      <c r="X72" s="1218"/>
      <c r="Y72" s="1218"/>
      <c r="Z72" s="1218"/>
      <c r="AA72" s="1218"/>
      <c r="AB72" s="1218"/>
      <c r="AC72" s="1218"/>
      <c r="AD72" s="1219"/>
      <c r="AE72" s="1276"/>
      <c r="AF72" s="1217"/>
      <c r="AG72" s="1218"/>
      <c r="AH72" s="1218"/>
      <c r="AI72" s="1218"/>
      <c r="AJ72" s="1218"/>
      <c r="AK72" s="1218"/>
      <c r="AL72" s="1218"/>
      <c r="AM72" s="1218"/>
      <c r="AN72" s="1219"/>
    </row>
    <row r="73" spans="1:40" ht="16" thickBot="1">
      <c r="A73" s="1206"/>
      <c r="B73" s="851" t="s">
        <v>72</v>
      </c>
      <c r="C73" s="1222"/>
      <c r="D73" s="1213"/>
      <c r="E73" s="850" t="s">
        <v>71</v>
      </c>
      <c r="F73" s="1207"/>
      <c r="G73" s="1212"/>
      <c r="H73" s="1212"/>
      <c r="I73" s="1212"/>
      <c r="J73" s="1213"/>
      <c r="K73" s="1276"/>
      <c r="L73" s="274"/>
      <c r="M73" s="1220"/>
      <c r="N73" s="1221"/>
      <c r="O73" s="275"/>
      <c r="P73" s="1299"/>
      <c r="Q73" s="1215"/>
      <c r="R73" s="1215"/>
      <c r="S73" s="1215"/>
      <c r="T73" s="1216"/>
      <c r="U73" s="1276"/>
      <c r="V73" s="274"/>
      <c r="W73" s="1220"/>
      <c r="X73" s="1221"/>
      <c r="Y73" s="275"/>
      <c r="Z73" s="1299"/>
      <c r="AA73" s="1215"/>
      <c r="AB73" s="1215"/>
      <c r="AC73" s="1215"/>
      <c r="AD73" s="1216"/>
      <c r="AE73" s="1276"/>
      <c r="AF73" s="274"/>
      <c r="AG73" s="1220"/>
      <c r="AH73" s="1221"/>
      <c r="AI73" s="275"/>
      <c r="AJ73" s="1299"/>
      <c r="AK73" s="1215"/>
      <c r="AL73" s="1215"/>
      <c r="AM73" s="1215"/>
      <c r="AN73" s="1216"/>
    </row>
    <row r="74" spans="1:40" ht="16" thickBot="1">
      <c r="A74" s="1206"/>
      <c r="B74" s="1385"/>
      <c r="C74" s="1386"/>
      <c r="D74" s="1386"/>
      <c r="E74" s="1386"/>
      <c r="F74" s="1386"/>
      <c r="G74" s="1386"/>
      <c r="H74" s="1386"/>
      <c r="I74" s="1386"/>
      <c r="J74" s="1387"/>
      <c r="K74" s="1206"/>
      <c r="L74" s="852"/>
      <c r="M74" s="694"/>
      <c r="N74" s="853"/>
      <c r="O74" s="849"/>
      <c r="P74" s="694"/>
      <c r="Q74" s="692"/>
      <c r="R74" s="692"/>
      <c r="S74" s="692"/>
      <c r="T74" s="693"/>
      <c r="U74" s="1276"/>
      <c r="V74" s="852"/>
      <c r="W74" s="694"/>
      <c r="X74" s="853"/>
      <c r="Y74" s="849"/>
      <c r="Z74" s="694"/>
      <c r="AA74" s="692"/>
      <c r="AB74" s="692"/>
      <c r="AC74" s="692"/>
      <c r="AD74" s="693"/>
      <c r="AE74" s="1276"/>
      <c r="AF74" s="852"/>
      <c r="AG74" s="694"/>
      <c r="AH74" s="853"/>
      <c r="AI74" s="849"/>
      <c r="AJ74" s="694"/>
      <c r="AK74" s="692"/>
      <c r="AL74" s="692"/>
      <c r="AM74" s="692"/>
      <c r="AN74" s="693"/>
    </row>
    <row r="75" spans="1:40" ht="15" thickBot="1">
      <c r="A75" s="1206"/>
      <c r="B75" s="894" t="s">
        <v>68</v>
      </c>
      <c r="C75" s="899"/>
      <c r="D75" s="868"/>
      <c r="E75" s="868"/>
      <c r="F75" s="869"/>
      <c r="G75" s="869"/>
      <c r="H75" s="869"/>
      <c r="I75" s="869"/>
      <c r="J75" s="870"/>
      <c r="K75" s="1206"/>
      <c r="L75" s="250"/>
      <c r="M75" s="214"/>
      <c r="N75" s="214"/>
      <c r="O75" s="214"/>
      <c r="P75" s="215"/>
      <c r="Q75" s="215"/>
      <c r="R75" s="215"/>
      <c r="S75" s="215"/>
      <c r="T75" s="175"/>
      <c r="U75" s="1276"/>
      <c r="V75" s="250"/>
      <c r="W75" s="214"/>
      <c r="X75" s="214"/>
      <c r="Y75" s="214"/>
      <c r="Z75" s="215"/>
      <c r="AA75" s="215"/>
      <c r="AB75" s="215"/>
      <c r="AC75" s="215"/>
      <c r="AD75" s="175"/>
      <c r="AE75" s="1276"/>
      <c r="AF75" s="250"/>
      <c r="AG75" s="214"/>
      <c r="AH75" s="214"/>
      <c r="AI75" s="214"/>
      <c r="AJ75" s="215"/>
      <c r="AK75" s="215"/>
      <c r="AL75" s="215"/>
      <c r="AM75" s="215"/>
      <c r="AN75" s="175"/>
    </row>
    <row r="76" spans="1:40" ht="14.5">
      <c r="A76" s="1315"/>
      <c r="B76" s="904" t="s">
        <v>586</v>
      </c>
      <c r="C76" s="846"/>
      <c r="D76" s="868"/>
      <c r="E76" s="868"/>
      <c r="F76" s="869"/>
      <c r="G76" s="869"/>
      <c r="H76" s="869"/>
      <c r="I76" s="869"/>
      <c r="J76" s="870"/>
      <c r="K76" s="1206"/>
      <c r="L76" s="842"/>
      <c r="M76" s="843"/>
      <c r="N76" s="843"/>
      <c r="O76" s="843"/>
      <c r="P76" s="844"/>
      <c r="Q76" s="844"/>
      <c r="R76" s="844"/>
      <c r="S76" s="844"/>
      <c r="T76" s="845"/>
      <c r="U76" s="1276"/>
      <c r="V76" s="842"/>
      <c r="W76" s="843"/>
      <c r="X76" s="843"/>
      <c r="Y76" s="843"/>
      <c r="Z76" s="844"/>
      <c r="AA76" s="844"/>
      <c r="AB76" s="844"/>
      <c r="AC76" s="844"/>
      <c r="AD76" s="845"/>
      <c r="AE76" s="1276"/>
      <c r="AF76" s="842"/>
      <c r="AG76" s="843"/>
      <c r="AH76" s="843"/>
      <c r="AI76" s="843"/>
      <c r="AJ76" s="844"/>
      <c r="AK76" s="844"/>
      <c r="AL76" s="844"/>
      <c r="AM76" s="844"/>
      <c r="AN76" s="845"/>
    </row>
    <row r="77" spans="1:40" ht="14.5">
      <c r="A77" s="1315"/>
      <c r="B77" s="905" t="s">
        <v>587</v>
      </c>
      <c r="C77" s="847"/>
      <c r="D77" s="868"/>
      <c r="E77" s="868"/>
      <c r="F77" s="869"/>
      <c r="G77" s="869"/>
      <c r="H77" s="869"/>
      <c r="I77" s="869"/>
      <c r="J77" s="870"/>
      <c r="K77" s="1206"/>
      <c r="L77" s="842"/>
      <c r="M77" s="843"/>
      <c r="N77" s="843"/>
      <c r="O77" s="843"/>
      <c r="P77" s="844"/>
      <c r="Q77" s="844"/>
      <c r="R77" s="844"/>
      <c r="S77" s="844"/>
      <c r="T77" s="845"/>
      <c r="U77" s="1276"/>
      <c r="V77" s="842"/>
      <c r="W77" s="843"/>
      <c r="X77" s="843"/>
      <c r="Y77" s="843"/>
      <c r="Z77" s="844"/>
      <c r="AA77" s="844"/>
      <c r="AB77" s="844"/>
      <c r="AC77" s="844"/>
      <c r="AD77" s="845"/>
      <c r="AE77" s="1276"/>
      <c r="AF77" s="842"/>
      <c r="AG77" s="843"/>
      <c r="AH77" s="843"/>
      <c r="AI77" s="843"/>
      <c r="AJ77" s="844"/>
      <c r="AK77" s="844"/>
      <c r="AL77" s="844"/>
      <c r="AM77" s="844"/>
      <c r="AN77" s="845"/>
    </row>
    <row r="78" spans="1:40" ht="14.5">
      <c r="A78" s="1315"/>
      <c r="B78" s="905" t="s">
        <v>588</v>
      </c>
      <c r="C78" s="847"/>
      <c r="D78" s="868"/>
      <c r="E78" s="868"/>
      <c r="F78" s="869"/>
      <c r="G78" s="869"/>
      <c r="H78" s="869"/>
      <c r="I78" s="869"/>
      <c r="J78" s="870"/>
      <c r="K78" s="1206"/>
      <c r="L78" s="842"/>
      <c r="M78" s="843"/>
      <c r="N78" s="843"/>
      <c r="O78" s="843"/>
      <c r="P78" s="844"/>
      <c r="Q78" s="844"/>
      <c r="R78" s="844"/>
      <c r="S78" s="844"/>
      <c r="T78" s="845"/>
      <c r="U78" s="1276"/>
      <c r="V78" s="842"/>
      <c r="W78" s="843"/>
      <c r="X78" s="843"/>
      <c r="Y78" s="843"/>
      <c r="Z78" s="844"/>
      <c r="AA78" s="844"/>
      <c r="AB78" s="844"/>
      <c r="AC78" s="844"/>
      <c r="AD78" s="845"/>
      <c r="AE78" s="1276"/>
      <c r="AF78" s="842"/>
      <c r="AG78" s="843"/>
      <c r="AH78" s="843"/>
      <c r="AI78" s="843"/>
      <c r="AJ78" s="844"/>
      <c r="AK78" s="844"/>
      <c r="AL78" s="844"/>
      <c r="AM78" s="844"/>
      <c r="AN78" s="845"/>
    </row>
    <row r="79" spans="1:40" ht="14.5">
      <c r="A79" s="1315"/>
      <c r="B79" s="905" t="s">
        <v>589</v>
      </c>
      <c r="C79" s="848"/>
      <c r="D79" s="868"/>
      <c r="E79" s="868"/>
      <c r="F79" s="869"/>
      <c r="G79" s="869"/>
      <c r="H79" s="869"/>
      <c r="I79" s="869"/>
      <c r="J79" s="870"/>
      <c r="K79" s="1206"/>
      <c r="L79" s="842"/>
      <c r="M79" s="843"/>
      <c r="N79" s="843"/>
      <c r="O79" s="843"/>
      <c r="P79" s="844"/>
      <c r="Q79" s="844"/>
      <c r="R79" s="844"/>
      <c r="S79" s="844"/>
      <c r="T79" s="845"/>
      <c r="U79" s="1276"/>
      <c r="V79" s="842"/>
      <c r="W79" s="843"/>
      <c r="X79" s="843"/>
      <c r="Y79" s="843"/>
      <c r="Z79" s="844"/>
      <c r="AA79" s="844"/>
      <c r="AB79" s="844"/>
      <c r="AC79" s="844"/>
      <c r="AD79" s="845"/>
      <c r="AE79" s="1276"/>
      <c r="AF79" s="842"/>
      <c r="AG79" s="843"/>
      <c r="AH79" s="843"/>
      <c r="AI79" s="843"/>
      <c r="AJ79" s="844"/>
      <c r="AK79" s="844"/>
      <c r="AL79" s="844"/>
      <c r="AM79" s="844"/>
      <c r="AN79" s="845"/>
    </row>
    <row r="80" spans="1:40" ht="14.5">
      <c r="A80" s="1315"/>
      <c r="B80" s="905" t="s">
        <v>590</v>
      </c>
      <c r="C80" s="847"/>
      <c r="D80" s="868"/>
      <c r="E80" s="868"/>
      <c r="F80" s="869"/>
      <c r="G80" s="869"/>
      <c r="H80" s="869"/>
      <c r="I80" s="869"/>
      <c r="J80" s="870"/>
      <c r="K80" s="1206"/>
      <c r="L80" s="842"/>
      <c r="M80" s="843"/>
      <c r="N80" s="843"/>
      <c r="O80" s="843"/>
      <c r="P80" s="844"/>
      <c r="Q80" s="844"/>
      <c r="R80" s="844"/>
      <c r="S80" s="844"/>
      <c r="T80" s="845"/>
      <c r="U80" s="1276"/>
      <c r="V80" s="842"/>
      <c r="W80" s="843"/>
      <c r="X80" s="843"/>
      <c r="Y80" s="843"/>
      <c r="Z80" s="844"/>
      <c r="AA80" s="844"/>
      <c r="AB80" s="844"/>
      <c r="AC80" s="844"/>
      <c r="AD80" s="845"/>
      <c r="AE80" s="1276"/>
      <c r="AF80" s="842"/>
      <c r="AG80" s="843"/>
      <c r="AH80" s="843"/>
      <c r="AI80" s="843"/>
      <c r="AJ80" s="844"/>
      <c r="AK80" s="844"/>
      <c r="AL80" s="844"/>
      <c r="AM80" s="844"/>
      <c r="AN80" s="845"/>
    </row>
    <row r="81" spans="1:40" ht="14.5">
      <c r="A81" s="1315"/>
      <c r="B81" s="906" t="s">
        <v>591</v>
      </c>
      <c r="C81" s="848"/>
      <c r="D81" s="868"/>
      <c r="E81" s="868"/>
      <c r="F81" s="869"/>
      <c r="G81" s="869"/>
      <c r="H81" s="869"/>
      <c r="I81" s="869"/>
      <c r="J81" s="870"/>
      <c r="K81" s="1206"/>
      <c r="L81" s="842"/>
      <c r="M81" s="843"/>
      <c r="N81" s="843"/>
      <c r="O81" s="843"/>
      <c r="P81" s="844"/>
      <c r="Q81" s="844"/>
      <c r="R81" s="844"/>
      <c r="S81" s="844"/>
      <c r="T81" s="845"/>
      <c r="U81" s="1276"/>
      <c r="V81" s="842"/>
      <c r="W81" s="843"/>
      <c r="X81" s="843"/>
      <c r="Y81" s="843"/>
      <c r="Z81" s="844"/>
      <c r="AA81" s="844"/>
      <c r="AB81" s="844"/>
      <c r="AC81" s="844"/>
      <c r="AD81" s="845"/>
      <c r="AE81" s="1276"/>
      <c r="AF81" s="842"/>
      <c r="AG81" s="843"/>
      <c r="AH81" s="843"/>
      <c r="AI81" s="843"/>
      <c r="AJ81" s="844"/>
      <c r="AK81" s="844"/>
      <c r="AL81" s="844"/>
      <c r="AM81" s="844"/>
      <c r="AN81" s="845"/>
    </row>
    <row r="82" spans="1:40" ht="15" thickBot="1">
      <c r="A82" s="1315"/>
      <c r="B82" s="907" t="s">
        <v>592</v>
      </c>
      <c r="C82" s="855"/>
      <c r="D82" s="871"/>
      <c r="E82" s="868"/>
      <c r="F82" s="869"/>
      <c r="G82" s="869"/>
      <c r="H82" s="869"/>
      <c r="I82" s="869"/>
      <c r="J82" s="870"/>
      <c r="K82" s="1276"/>
      <c r="L82" s="842"/>
      <c r="M82" s="843"/>
      <c r="N82" s="843"/>
      <c r="O82" s="843"/>
      <c r="P82" s="844"/>
      <c r="Q82" s="844"/>
      <c r="R82" s="844"/>
      <c r="S82" s="844"/>
      <c r="T82" s="845"/>
      <c r="U82" s="1276"/>
      <c r="V82" s="842"/>
      <c r="W82" s="843"/>
      <c r="X82" s="843"/>
      <c r="Y82" s="843"/>
      <c r="Z82" s="844"/>
      <c r="AA82" s="844"/>
      <c r="AB82" s="844"/>
      <c r="AC82" s="844"/>
      <c r="AD82" s="845"/>
      <c r="AE82" s="1276"/>
      <c r="AF82" s="842"/>
      <c r="AG82" s="843"/>
      <c r="AH82" s="843"/>
      <c r="AI82" s="843"/>
      <c r="AJ82" s="844"/>
      <c r="AK82" s="844"/>
      <c r="AL82" s="844"/>
      <c r="AM82" s="844"/>
      <c r="AN82" s="845"/>
    </row>
    <row r="83" spans="1:40" ht="10.5" thickBot="1">
      <c r="A83" s="1315"/>
      <c r="B83" s="900"/>
      <c r="C83" s="1329"/>
      <c r="D83" s="1329"/>
      <c r="E83" s="872"/>
      <c r="F83" s="872"/>
      <c r="G83" s="872"/>
      <c r="H83" s="872"/>
      <c r="I83" s="872"/>
      <c r="J83" s="870"/>
      <c r="K83" s="1206"/>
      <c r="L83" s="176"/>
      <c r="M83" s="1311"/>
      <c r="N83" s="1312"/>
      <c r="O83" s="144"/>
      <c r="P83" s="144"/>
      <c r="Q83" s="144"/>
      <c r="R83" s="144"/>
      <c r="S83" s="276"/>
      <c r="T83" s="147"/>
      <c r="U83" s="1276"/>
      <c r="V83" s="176"/>
      <c r="W83" s="1311"/>
      <c r="X83" s="1312"/>
      <c r="Y83" s="144"/>
      <c r="Z83" s="144"/>
      <c r="AA83" s="144"/>
      <c r="AB83" s="144"/>
      <c r="AC83" s="276"/>
      <c r="AD83" s="147"/>
      <c r="AE83" s="1276"/>
      <c r="AF83" s="176"/>
      <c r="AG83" s="1311"/>
      <c r="AH83" s="1312"/>
      <c r="AI83" s="144"/>
      <c r="AJ83" s="144"/>
      <c r="AK83" s="144"/>
      <c r="AL83" s="144"/>
      <c r="AM83" s="276"/>
      <c r="AN83" s="147"/>
    </row>
    <row r="84" spans="1:40" ht="14.5">
      <c r="A84" s="1206"/>
      <c r="B84" s="908" t="s">
        <v>227</v>
      </c>
      <c r="C84" s="1341">
        <f>IFERROR((((#REF!-#REF!)*#REF!*0.02466*#REF!)/1000)/#REF!,0)</f>
        <v>0</v>
      </c>
      <c r="D84" s="1342"/>
      <c r="E84" s="873"/>
      <c r="F84" s="1330"/>
      <c r="G84" s="1330"/>
      <c r="H84" s="1330"/>
      <c r="I84" s="1330"/>
      <c r="J84" s="1331"/>
      <c r="K84" s="1206"/>
      <c r="L84" s="217"/>
      <c r="M84" s="1316"/>
      <c r="N84" s="1317"/>
      <c r="O84" s="144"/>
      <c r="P84" s="1261"/>
      <c r="Q84" s="1262"/>
      <c r="R84" s="1262"/>
      <c r="S84" s="1262"/>
      <c r="T84" s="1263"/>
      <c r="U84" s="1276"/>
      <c r="V84" s="217"/>
      <c r="W84" s="1316"/>
      <c r="X84" s="1317"/>
      <c r="Y84" s="144"/>
      <c r="Z84" s="1261"/>
      <c r="AA84" s="1262"/>
      <c r="AB84" s="1262"/>
      <c r="AC84" s="1262"/>
      <c r="AD84" s="1263"/>
      <c r="AE84" s="1276"/>
      <c r="AF84" s="217"/>
      <c r="AG84" s="1316"/>
      <c r="AH84" s="1317"/>
      <c r="AI84" s="144"/>
      <c r="AJ84" s="1261"/>
      <c r="AK84" s="1262"/>
      <c r="AL84" s="1262"/>
      <c r="AM84" s="1262"/>
      <c r="AN84" s="1263"/>
    </row>
    <row r="85" spans="1:40" ht="10.5">
      <c r="A85" s="1206"/>
      <c r="B85" s="909" t="s">
        <v>294</v>
      </c>
      <c r="C85" s="1343">
        <v>6.0000000000000001E-3</v>
      </c>
      <c r="D85" s="1344"/>
      <c r="E85" s="873"/>
      <c r="F85" s="874"/>
      <c r="G85" s="874"/>
      <c r="H85" s="875"/>
      <c r="I85" s="876"/>
      <c r="J85" s="877"/>
      <c r="K85" s="1206"/>
      <c r="L85" s="217"/>
      <c r="M85" s="1318"/>
      <c r="N85" s="1319"/>
      <c r="O85" s="144"/>
      <c r="P85" s="249"/>
      <c r="Q85" s="246"/>
      <c r="R85" s="247"/>
      <c r="S85" s="248"/>
      <c r="T85" s="245"/>
      <c r="U85" s="1276"/>
      <c r="V85" s="217"/>
      <c r="W85" s="1318"/>
      <c r="X85" s="1319"/>
      <c r="Y85" s="144"/>
      <c r="Z85" s="249"/>
      <c r="AA85" s="246"/>
      <c r="AB85" s="247"/>
      <c r="AC85" s="248"/>
      <c r="AD85" s="245"/>
      <c r="AE85" s="1276"/>
      <c r="AF85" s="217"/>
      <c r="AG85" s="1318"/>
      <c r="AH85" s="1319"/>
      <c r="AI85" s="144"/>
      <c r="AJ85" s="249"/>
      <c r="AK85" s="246"/>
      <c r="AL85" s="247"/>
      <c r="AM85" s="248"/>
      <c r="AN85" s="245"/>
    </row>
    <row r="86" spans="1:40">
      <c r="A86" s="1206"/>
      <c r="B86" s="909" t="s">
        <v>231</v>
      </c>
      <c r="C86" s="1345">
        <f>C84-C85</f>
        <v>-6.0000000000000001E-3</v>
      </c>
      <c r="D86" s="1346"/>
      <c r="E86" s="873"/>
      <c r="F86" s="878"/>
      <c r="G86" s="879"/>
      <c r="H86" s="879"/>
      <c r="I86" s="878"/>
      <c r="J86" s="880"/>
      <c r="K86" s="1206"/>
      <c r="L86" s="217"/>
      <c r="M86" s="1316"/>
      <c r="N86" s="1317"/>
      <c r="O86" s="144"/>
      <c r="P86" s="252"/>
      <c r="Q86" s="254"/>
      <c r="R86" s="254"/>
      <c r="S86" s="253"/>
      <c r="T86" s="255"/>
      <c r="U86" s="1276"/>
      <c r="V86" s="217"/>
      <c r="W86" s="1316"/>
      <c r="X86" s="1317"/>
      <c r="Y86" s="144"/>
      <c r="Z86" s="252"/>
      <c r="AA86" s="254"/>
      <c r="AB86" s="254"/>
      <c r="AC86" s="253"/>
      <c r="AD86" s="255"/>
      <c r="AE86" s="1276"/>
      <c r="AF86" s="217"/>
      <c r="AG86" s="1316"/>
      <c r="AH86" s="1317"/>
      <c r="AI86" s="144"/>
      <c r="AJ86" s="252"/>
      <c r="AK86" s="254"/>
      <c r="AL86" s="254"/>
      <c r="AM86" s="253"/>
      <c r="AN86" s="255"/>
    </row>
    <row r="87" spans="1:40">
      <c r="A87" s="1206"/>
      <c r="B87" s="909" t="s">
        <v>232</v>
      </c>
      <c r="C87" s="1347">
        <v>100</v>
      </c>
      <c r="D87" s="1348"/>
      <c r="E87" s="873"/>
      <c r="F87" s="878"/>
      <c r="G87" s="878"/>
      <c r="H87" s="878"/>
      <c r="I87" s="878"/>
      <c r="J87" s="880"/>
      <c r="K87" s="1206"/>
      <c r="L87" s="217"/>
      <c r="M87" s="1318"/>
      <c r="N87" s="1319"/>
      <c r="O87" s="144"/>
      <c r="P87" s="252"/>
      <c r="Q87" s="253"/>
      <c r="R87" s="253"/>
      <c r="S87" s="253"/>
      <c r="T87" s="255"/>
      <c r="U87" s="1276"/>
      <c r="V87" s="217"/>
      <c r="W87" s="1318"/>
      <c r="X87" s="1319"/>
      <c r="Y87" s="144"/>
      <c r="Z87" s="252"/>
      <c r="AA87" s="253"/>
      <c r="AB87" s="253"/>
      <c r="AC87" s="253"/>
      <c r="AD87" s="255"/>
      <c r="AE87" s="1276"/>
      <c r="AF87" s="217"/>
      <c r="AG87" s="1318"/>
      <c r="AH87" s="1319"/>
      <c r="AI87" s="144"/>
      <c r="AJ87" s="252"/>
      <c r="AK87" s="253"/>
      <c r="AL87" s="253"/>
      <c r="AM87" s="253"/>
      <c r="AN87" s="255"/>
    </row>
    <row r="88" spans="1:40">
      <c r="A88" s="1206"/>
      <c r="B88" s="909" t="s">
        <v>233</v>
      </c>
      <c r="C88" s="1323">
        <v>14</v>
      </c>
      <c r="D88" s="1324"/>
      <c r="E88" s="873"/>
      <c r="F88" s="878"/>
      <c r="G88" s="878"/>
      <c r="H88" s="878"/>
      <c r="I88" s="878"/>
      <c r="J88" s="880"/>
      <c r="K88" s="1206"/>
      <c r="L88" s="217"/>
      <c r="M88" s="1311"/>
      <c r="N88" s="1312"/>
      <c r="O88" s="144"/>
      <c r="P88" s="252"/>
      <c r="Q88" s="253"/>
      <c r="R88" s="253"/>
      <c r="S88" s="253"/>
      <c r="T88" s="255"/>
      <c r="U88" s="1276"/>
      <c r="V88" s="217"/>
      <c r="W88" s="1311"/>
      <c r="X88" s="1312"/>
      <c r="Y88" s="144"/>
      <c r="Z88" s="252"/>
      <c r="AA88" s="253"/>
      <c r="AB88" s="253"/>
      <c r="AC88" s="253"/>
      <c r="AD88" s="255"/>
      <c r="AE88" s="1276"/>
      <c r="AF88" s="217"/>
      <c r="AG88" s="1311"/>
      <c r="AH88" s="1312"/>
      <c r="AI88" s="144"/>
      <c r="AJ88" s="252"/>
      <c r="AK88" s="253"/>
      <c r="AL88" s="253"/>
      <c r="AM88" s="253"/>
      <c r="AN88" s="255"/>
    </row>
    <row r="89" spans="1:40" ht="10.5" thickBot="1">
      <c r="A89" s="1206"/>
      <c r="B89" s="909" t="s">
        <v>234</v>
      </c>
      <c r="C89" s="1327">
        <f>(C84*C87)-(C86*C88)</f>
        <v>8.4000000000000005E-2</v>
      </c>
      <c r="D89" s="1328"/>
      <c r="E89" s="873"/>
      <c r="F89" s="878"/>
      <c r="G89" s="878"/>
      <c r="H89" s="878"/>
      <c r="I89" s="878"/>
      <c r="J89" s="880"/>
      <c r="K89" s="1206"/>
      <c r="L89" s="217"/>
      <c r="M89" s="1313"/>
      <c r="N89" s="1284"/>
      <c r="O89" s="144"/>
      <c r="P89" s="252"/>
      <c r="Q89" s="253"/>
      <c r="R89" s="253"/>
      <c r="S89" s="253"/>
      <c r="T89" s="255"/>
      <c r="U89" s="1276"/>
      <c r="V89" s="217"/>
      <c r="W89" s="1313"/>
      <c r="X89" s="1284"/>
      <c r="Y89" s="144"/>
      <c r="Z89" s="252"/>
      <c r="AA89" s="253"/>
      <c r="AB89" s="253"/>
      <c r="AC89" s="253"/>
      <c r="AD89" s="255"/>
      <c r="AE89" s="1276"/>
      <c r="AF89" s="217"/>
      <c r="AG89" s="1313"/>
      <c r="AH89" s="1284"/>
      <c r="AI89" s="144"/>
      <c r="AJ89" s="252"/>
      <c r="AK89" s="253"/>
      <c r="AL89" s="253"/>
      <c r="AM89" s="253"/>
      <c r="AN89" s="255"/>
    </row>
    <row r="90" spans="1:40" ht="11" thickBot="1">
      <c r="A90" s="1206"/>
      <c r="B90" s="910" t="s">
        <v>235</v>
      </c>
      <c r="C90" s="1327">
        <f>C89</f>
        <v>8.4000000000000005E-2</v>
      </c>
      <c r="D90" s="1328"/>
      <c r="E90" s="873"/>
      <c r="F90" s="1332"/>
      <c r="G90" s="1332"/>
      <c r="H90" s="1333"/>
      <c r="I90" s="1333"/>
      <c r="J90" s="1334"/>
      <c r="K90" s="1206"/>
      <c r="L90" s="218"/>
      <c r="M90" s="1313"/>
      <c r="N90" s="1284"/>
      <c r="O90" s="144"/>
      <c r="P90" s="1241"/>
      <c r="Q90" s="1242"/>
      <c r="R90" s="1285"/>
      <c r="S90" s="1286"/>
      <c r="T90" s="1287"/>
      <c r="U90" s="1276"/>
      <c r="V90" s="218"/>
      <c r="W90" s="1313"/>
      <c r="X90" s="1284"/>
      <c r="Y90" s="144"/>
      <c r="Z90" s="1241"/>
      <c r="AA90" s="1242"/>
      <c r="AB90" s="1285"/>
      <c r="AC90" s="1286"/>
      <c r="AD90" s="1287"/>
      <c r="AE90" s="1276"/>
      <c r="AF90" s="218"/>
      <c r="AG90" s="1313"/>
      <c r="AH90" s="1284"/>
      <c r="AI90" s="144"/>
      <c r="AJ90" s="1241"/>
      <c r="AK90" s="1242"/>
      <c r="AL90" s="1285"/>
      <c r="AM90" s="1286"/>
      <c r="AN90" s="1287"/>
    </row>
    <row r="91" spans="1:40" ht="10.5" thickBot="1">
      <c r="A91" s="1206"/>
      <c r="B91" s="867" t="s">
        <v>284</v>
      </c>
      <c r="C91" s="1338"/>
      <c r="D91" s="1339"/>
      <c r="E91" s="873"/>
      <c r="F91" s="872"/>
      <c r="G91" s="872"/>
      <c r="H91" s="872"/>
      <c r="I91" s="872"/>
      <c r="J91" s="870"/>
      <c r="K91" s="1206"/>
      <c r="L91" s="207"/>
      <c r="M91" s="1304"/>
      <c r="N91" s="1305"/>
      <c r="O91" s="144"/>
      <c r="P91" s="144"/>
      <c r="Q91" s="144"/>
      <c r="R91" s="144"/>
      <c r="S91" s="144"/>
      <c r="T91" s="146"/>
      <c r="U91" s="1276"/>
      <c r="V91" s="207"/>
      <c r="W91" s="1304"/>
      <c r="X91" s="1305"/>
      <c r="Y91" s="144"/>
      <c r="Z91" s="144"/>
      <c r="AA91" s="144"/>
      <c r="AB91" s="144"/>
      <c r="AC91" s="144"/>
      <c r="AD91" s="146"/>
      <c r="AE91" s="1276"/>
      <c r="AF91" s="207"/>
      <c r="AG91" s="1304"/>
      <c r="AH91" s="1305"/>
      <c r="AI91" s="144"/>
      <c r="AJ91" s="144"/>
      <c r="AK91" s="144"/>
      <c r="AL91" s="144"/>
      <c r="AM91" s="144"/>
      <c r="AN91" s="146"/>
    </row>
    <row r="92" spans="1:40" s="793" customFormat="1" ht="10.5" thickBot="1">
      <c r="A92" s="1315"/>
      <c r="B92" s="898"/>
      <c r="C92" s="895"/>
      <c r="D92" s="888"/>
      <c r="E92" s="872"/>
      <c r="F92" s="872"/>
      <c r="G92" s="872"/>
      <c r="H92" s="872"/>
      <c r="I92" s="872"/>
      <c r="J92" s="870"/>
      <c r="K92" s="1206"/>
      <c r="L92" s="896"/>
      <c r="M92" s="895"/>
      <c r="N92" s="895"/>
      <c r="O92" s="872"/>
      <c r="P92" s="872"/>
      <c r="Q92" s="872"/>
      <c r="R92" s="872"/>
      <c r="S92" s="872"/>
      <c r="T92" s="897"/>
      <c r="U92" s="1276"/>
      <c r="V92" s="896"/>
      <c r="W92" s="895"/>
      <c r="X92" s="895"/>
      <c r="Y92" s="872"/>
      <c r="Z92" s="872"/>
      <c r="AA92" s="872"/>
      <c r="AB92" s="872"/>
      <c r="AC92" s="872"/>
      <c r="AD92" s="897"/>
      <c r="AE92" s="1276"/>
      <c r="AF92" s="896"/>
      <c r="AG92" s="895"/>
      <c r="AH92" s="895"/>
      <c r="AI92" s="872"/>
      <c r="AJ92" s="872"/>
      <c r="AK92" s="872"/>
      <c r="AL92" s="872"/>
      <c r="AM92" s="872"/>
      <c r="AN92" s="897"/>
    </row>
    <row r="93" spans="1:40" ht="13.5" thickBot="1">
      <c r="A93" s="1206"/>
      <c r="B93" s="1306" t="s">
        <v>237</v>
      </c>
      <c r="C93" s="1340"/>
      <c r="D93" s="881"/>
      <c r="E93" s="882"/>
      <c r="F93" s="882"/>
      <c r="G93" s="882"/>
      <c r="H93" s="872"/>
      <c r="I93" s="872"/>
      <c r="J93" s="870"/>
      <c r="K93" s="1276"/>
      <c r="L93" s="1306"/>
      <c r="M93" s="1307"/>
      <c r="N93" s="177"/>
      <c r="O93" s="177"/>
      <c r="P93" s="177"/>
      <c r="Q93" s="177"/>
      <c r="R93" s="145"/>
      <c r="S93" s="145"/>
      <c r="T93" s="174"/>
      <c r="U93" s="1276"/>
      <c r="V93" s="1306"/>
      <c r="W93" s="1307"/>
      <c r="X93" s="177"/>
      <c r="Y93" s="177"/>
      <c r="Z93" s="177"/>
      <c r="AA93" s="177"/>
      <c r="AB93" s="145"/>
      <c r="AC93" s="145"/>
      <c r="AD93" s="174"/>
      <c r="AE93" s="1276"/>
      <c r="AF93" s="1306"/>
      <c r="AG93" s="1307"/>
      <c r="AH93" s="177"/>
      <c r="AI93" s="177"/>
      <c r="AJ93" s="177"/>
      <c r="AK93" s="177"/>
      <c r="AL93" s="145"/>
      <c r="AM93" s="145"/>
      <c r="AN93" s="174"/>
    </row>
    <row r="94" spans="1:40" ht="13">
      <c r="A94" s="1206"/>
      <c r="B94" s="265" t="s">
        <v>238</v>
      </c>
      <c r="C94" s="1310" t="s">
        <v>239</v>
      </c>
      <c r="D94" s="1270"/>
      <c r="E94" s="757" t="s">
        <v>595</v>
      </c>
      <c r="F94" s="158" t="s">
        <v>241</v>
      </c>
      <c r="G94" s="159" t="s">
        <v>242</v>
      </c>
      <c r="H94" s="884"/>
      <c r="I94" s="885"/>
      <c r="J94" s="886"/>
      <c r="K94" s="1206"/>
      <c r="L94" s="265"/>
      <c r="M94" s="1269"/>
      <c r="N94" s="1270"/>
      <c r="O94" s="219"/>
      <c r="P94" s="158"/>
      <c r="Q94" s="256"/>
      <c r="R94" s="273"/>
      <c r="S94" s="260"/>
      <c r="T94" s="271"/>
      <c r="U94" s="1276"/>
      <c r="V94" s="265"/>
      <c r="W94" s="1269"/>
      <c r="X94" s="1270"/>
      <c r="Y94" s="219"/>
      <c r="Z94" s="158"/>
      <c r="AA94" s="256"/>
      <c r="AB94" s="273"/>
      <c r="AC94" s="260"/>
      <c r="AD94" s="271"/>
      <c r="AE94" s="1276"/>
      <c r="AF94" s="265"/>
      <c r="AG94" s="1269"/>
      <c r="AH94" s="1270"/>
      <c r="AI94" s="219"/>
      <c r="AJ94" s="158"/>
      <c r="AK94" s="256"/>
      <c r="AL94" s="273"/>
      <c r="AM94" s="260"/>
      <c r="AN94" s="271"/>
    </row>
    <row r="95" spans="1:40" ht="12">
      <c r="A95" s="1206"/>
      <c r="B95" s="911" t="s">
        <v>276</v>
      </c>
      <c r="C95" s="1308"/>
      <c r="D95" s="1309"/>
      <c r="E95" s="758"/>
      <c r="F95" s="759">
        <v>0.9</v>
      </c>
      <c r="G95" s="856">
        <f>F95*E95</f>
        <v>0</v>
      </c>
      <c r="H95" s="887"/>
      <c r="I95" s="888"/>
      <c r="J95" s="889"/>
      <c r="K95" s="1206"/>
      <c r="L95" s="210"/>
      <c r="M95" s="1267"/>
      <c r="N95" s="1268"/>
      <c r="O95" s="220"/>
      <c r="P95" s="221"/>
      <c r="Q95" s="257"/>
      <c r="R95" s="261"/>
      <c r="S95" s="206"/>
      <c r="T95" s="262"/>
      <c r="U95" s="1276"/>
      <c r="V95" s="210"/>
      <c r="W95" s="1267"/>
      <c r="X95" s="1268"/>
      <c r="Y95" s="220"/>
      <c r="Z95" s="221"/>
      <c r="AA95" s="257"/>
      <c r="AB95" s="261"/>
      <c r="AC95" s="206"/>
      <c r="AD95" s="262"/>
      <c r="AE95" s="1276"/>
      <c r="AF95" s="210"/>
      <c r="AG95" s="1267"/>
      <c r="AH95" s="1268"/>
      <c r="AI95" s="220"/>
      <c r="AJ95" s="221"/>
      <c r="AK95" s="257"/>
      <c r="AL95" s="261"/>
      <c r="AM95" s="206"/>
      <c r="AN95" s="262"/>
    </row>
    <row r="96" spans="1:40" ht="12">
      <c r="A96" s="1206"/>
      <c r="B96" s="911" t="s">
        <v>277</v>
      </c>
      <c r="C96" s="1308"/>
      <c r="D96" s="1309"/>
      <c r="E96" s="754"/>
      <c r="F96" s="760"/>
      <c r="G96" s="856">
        <f>F96*E96</f>
        <v>0</v>
      </c>
      <c r="H96" s="887"/>
      <c r="I96" s="888"/>
      <c r="J96" s="889"/>
      <c r="K96" s="1206"/>
      <c r="L96" s="210"/>
      <c r="M96" s="1267"/>
      <c r="N96" s="1268"/>
      <c r="O96" s="222"/>
      <c r="P96" s="212"/>
      <c r="Q96" s="257"/>
      <c r="R96" s="261"/>
      <c r="S96" s="206"/>
      <c r="T96" s="262"/>
      <c r="U96" s="1276"/>
      <c r="V96" s="210"/>
      <c r="W96" s="1267"/>
      <c r="X96" s="1268"/>
      <c r="Y96" s="222"/>
      <c r="Z96" s="212"/>
      <c r="AA96" s="257"/>
      <c r="AB96" s="261"/>
      <c r="AC96" s="206"/>
      <c r="AD96" s="262"/>
      <c r="AE96" s="1276"/>
      <c r="AF96" s="210"/>
      <c r="AG96" s="1267"/>
      <c r="AH96" s="1268"/>
      <c r="AI96" s="222"/>
      <c r="AJ96" s="212"/>
      <c r="AK96" s="257"/>
      <c r="AL96" s="261"/>
      <c r="AM96" s="206"/>
      <c r="AN96" s="262"/>
    </row>
    <row r="97" spans="1:40" ht="12">
      <c r="A97" s="1206"/>
      <c r="B97" s="911" t="s">
        <v>278</v>
      </c>
      <c r="C97" s="1308"/>
      <c r="D97" s="1309"/>
      <c r="E97" s="754"/>
      <c r="F97" s="760"/>
      <c r="G97" s="856">
        <f>F97*E97</f>
        <v>0</v>
      </c>
      <c r="H97" s="887"/>
      <c r="I97" s="888"/>
      <c r="J97" s="889"/>
      <c r="K97" s="1206"/>
      <c r="L97" s="210"/>
      <c r="M97" s="1267"/>
      <c r="N97" s="1268"/>
      <c r="O97" s="222"/>
      <c r="P97" s="212"/>
      <c r="Q97" s="257"/>
      <c r="R97" s="261"/>
      <c r="S97" s="206"/>
      <c r="T97" s="262"/>
      <c r="U97" s="1276"/>
      <c r="V97" s="210"/>
      <c r="W97" s="1267"/>
      <c r="X97" s="1268"/>
      <c r="Y97" s="222"/>
      <c r="Z97" s="212"/>
      <c r="AA97" s="257"/>
      <c r="AB97" s="261"/>
      <c r="AC97" s="206"/>
      <c r="AD97" s="262"/>
      <c r="AE97" s="1276"/>
      <c r="AF97" s="210"/>
      <c r="AG97" s="1267"/>
      <c r="AH97" s="1268"/>
      <c r="AI97" s="222"/>
      <c r="AJ97" s="212"/>
      <c r="AK97" s="257"/>
      <c r="AL97" s="261"/>
      <c r="AM97" s="206"/>
      <c r="AN97" s="262"/>
    </row>
    <row r="98" spans="1:40" ht="12">
      <c r="A98" s="1206"/>
      <c r="B98" s="911" t="s">
        <v>279</v>
      </c>
      <c r="C98" s="1308"/>
      <c r="D98" s="1309"/>
      <c r="E98" s="754"/>
      <c r="F98" s="760"/>
      <c r="G98" s="856">
        <f>F98*E98</f>
        <v>0</v>
      </c>
      <c r="H98" s="887"/>
      <c r="I98" s="888"/>
      <c r="J98" s="889"/>
      <c r="K98" s="1206"/>
      <c r="L98" s="210"/>
      <c r="M98" s="1267"/>
      <c r="N98" s="1268"/>
      <c r="O98" s="222"/>
      <c r="P98" s="212"/>
      <c r="Q98" s="257"/>
      <c r="R98" s="261"/>
      <c r="S98" s="206"/>
      <c r="T98" s="262"/>
      <c r="U98" s="1276"/>
      <c r="V98" s="210"/>
      <c r="W98" s="1267"/>
      <c r="X98" s="1268"/>
      <c r="Y98" s="222"/>
      <c r="Z98" s="212"/>
      <c r="AA98" s="257"/>
      <c r="AB98" s="261"/>
      <c r="AC98" s="206"/>
      <c r="AD98" s="262"/>
      <c r="AE98" s="1276"/>
      <c r="AF98" s="210"/>
      <c r="AG98" s="1267"/>
      <c r="AH98" s="1268"/>
      <c r="AI98" s="222"/>
      <c r="AJ98" s="212"/>
      <c r="AK98" s="257"/>
      <c r="AL98" s="261"/>
      <c r="AM98" s="206"/>
      <c r="AN98" s="262"/>
    </row>
    <row r="99" spans="1:40" ht="12">
      <c r="A99" s="1206"/>
      <c r="B99" s="912" t="s">
        <v>36</v>
      </c>
      <c r="C99" s="1308"/>
      <c r="D99" s="1309"/>
      <c r="E99" s="857"/>
      <c r="F99" s="858"/>
      <c r="G99" s="859"/>
      <c r="H99" s="887"/>
      <c r="I99" s="888"/>
      <c r="J99" s="889"/>
      <c r="K99" s="1206"/>
      <c r="L99" s="223"/>
      <c r="M99" s="1267"/>
      <c r="N99" s="1268"/>
      <c r="O99" s="224"/>
      <c r="P99" s="225"/>
      <c r="Q99" s="258"/>
      <c r="R99" s="261"/>
      <c r="S99" s="206"/>
      <c r="T99" s="262"/>
      <c r="U99" s="1276"/>
      <c r="V99" s="223"/>
      <c r="W99" s="1267"/>
      <c r="X99" s="1268"/>
      <c r="Y99" s="224"/>
      <c r="Z99" s="225"/>
      <c r="AA99" s="258"/>
      <c r="AB99" s="261"/>
      <c r="AC99" s="206"/>
      <c r="AD99" s="262"/>
      <c r="AE99" s="1276"/>
      <c r="AF99" s="223"/>
      <c r="AG99" s="1267"/>
      <c r="AH99" s="1268"/>
      <c r="AI99" s="224"/>
      <c r="AJ99" s="225"/>
      <c r="AK99" s="258"/>
      <c r="AL99" s="261"/>
      <c r="AM99" s="206"/>
      <c r="AN99" s="262"/>
    </row>
    <row r="100" spans="1:40" ht="12">
      <c r="A100" s="1206"/>
      <c r="B100" s="912" t="s">
        <v>280</v>
      </c>
      <c r="C100" s="1308"/>
      <c r="D100" s="1309"/>
      <c r="E100" s="860"/>
      <c r="F100" s="861"/>
      <c r="G100" s="859"/>
      <c r="H100" s="887"/>
      <c r="I100" s="888"/>
      <c r="J100" s="889"/>
      <c r="K100" s="1206"/>
      <c r="L100" s="223"/>
      <c r="M100" s="1267"/>
      <c r="N100" s="1268"/>
      <c r="O100" s="227"/>
      <c r="P100" s="228"/>
      <c r="Q100" s="258"/>
      <c r="R100" s="261"/>
      <c r="S100" s="206"/>
      <c r="T100" s="262"/>
      <c r="U100" s="1276"/>
      <c r="V100" s="223"/>
      <c r="W100" s="1267"/>
      <c r="X100" s="1268"/>
      <c r="Y100" s="227"/>
      <c r="Z100" s="228"/>
      <c r="AA100" s="258"/>
      <c r="AB100" s="261"/>
      <c r="AC100" s="206"/>
      <c r="AD100" s="262"/>
      <c r="AE100" s="1276"/>
      <c r="AF100" s="223"/>
      <c r="AG100" s="1267"/>
      <c r="AH100" s="1268"/>
      <c r="AI100" s="227"/>
      <c r="AJ100" s="228"/>
      <c r="AK100" s="258"/>
      <c r="AL100" s="261"/>
      <c r="AM100" s="206"/>
      <c r="AN100" s="262"/>
    </row>
    <row r="101" spans="1:40" ht="19" thickBot="1">
      <c r="A101" s="1206"/>
      <c r="B101" s="192" t="s">
        <v>281</v>
      </c>
      <c r="C101" s="862"/>
      <c r="D101" s="863"/>
      <c r="E101" s="864"/>
      <c r="F101" s="864"/>
      <c r="G101" s="865">
        <f>SUM(G95:G100)</f>
        <v>0</v>
      </c>
      <c r="H101" s="887"/>
      <c r="I101" s="888"/>
      <c r="J101" s="870"/>
      <c r="K101" s="1206"/>
      <c r="L101" s="192"/>
      <c r="M101" s="193"/>
      <c r="N101" s="194"/>
      <c r="O101" s="195"/>
      <c r="P101" s="195"/>
      <c r="Q101" s="259"/>
      <c r="R101" s="263"/>
      <c r="S101" s="264"/>
      <c r="T101" s="272"/>
      <c r="U101" s="1276"/>
      <c r="V101" s="192"/>
      <c r="W101" s="193"/>
      <c r="X101" s="194"/>
      <c r="Y101" s="195"/>
      <c r="Z101" s="195"/>
      <c r="AA101" s="259"/>
      <c r="AB101" s="263"/>
      <c r="AC101" s="264"/>
      <c r="AD101" s="272"/>
      <c r="AE101" s="1276"/>
      <c r="AF101" s="192"/>
      <c r="AG101" s="193"/>
      <c r="AH101" s="194"/>
      <c r="AI101" s="195"/>
      <c r="AJ101" s="195"/>
      <c r="AK101" s="259"/>
      <c r="AL101" s="263"/>
      <c r="AM101" s="264"/>
      <c r="AN101" s="272"/>
    </row>
    <row r="102" spans="1:40" ht="10.5" thickBot="1">
      <c r="A102" s="1315"/>
      <c r="B102" s="866"/>
      <c r="C102" s="157"/>
      <c r="D102" s="890"/>
      <c r="E102" s="872"/>
      <c r="F102" s="872"/>
      <c r="G102" s="890"/>
      <c r="H102" s="872"/>
      <c r="I102" s="890"/>
      <c r="J102" s="870"/>
      <c r="K102" s="1276"/>
      <c r="L102" s="191"/>
      <c r="M102" s="157"/>
      <c r="N102" s="157"/>
      <c r="O102" s="144"/>
      <c r="P102" s="160"/>
      <c r="Q102" s="157"/>
      <c r="R102" s="144"/>
      <c r="S102" s="157"/>
      <c r="T102" s="147"/>
      <c r="U102" s="1276"/>
      <c r="V102" s="191"/>
      <c r="W102" s="157"/>
      <c r="X102" s="157"/>
      <c r="Y102" s="144"/>
      <c r="Z102" s="160"/>
      <c r="AA102" s="157"/>
      <c r="AB102" s="144"/>
      <c r="AC102" s="157"/>
      <c r="AD102" s="147"/>
      <c r="AE102" s="1276"/>
      <c r="AF102" s="191"/>
      <c r="AG102" s="157"/>
      <c r="AH102" s="157"/>
      <c r="AI102" s="144"/>
      <c r="AJ102" s="160"/>
      <c r="AK102" s="157"/>
      <c r="AL102" s="144"/>
      <c r="AM102" s="157"/>
      <c r="AN102" s="147"/>
    </row>
    <row r="103" spans="1:40" ht="14">
      <c r="A103" s="1206"/>
      <c r="B103" s="188" t="s">
        <v>247</v>
      </c>
      <c r="C103" s="389">
        <f>+C90</f>
        <v>8.4000000000000005E-2</v>
      </c>
      <c r="D103" s="891"/>
      <c r="E103" s="872"/>
      <c r="F103" s="872"/>
      <c r="G103" s="890"/>
      <c r="H103" s="872"/>
      <c r="I103" s="890"/>
      <c r="J103" s="870"/>
      <c r="K103" s="1276"/>
      <c r="L103" s="188"/>
      <c r="M103" s="189"/>
      <c r="N103" s="162"/>
      <c r="O103" s="144"/>
      <c r="P103" s="160"/>
      <c r="Q103" s="157"/>
      <c r="R103" s="144"/>
      <c r="S103" s="157"/>
      <c r="T103" s="147"/>
      <c r="U103" s="1276"/>
      <c r="V103" s="188"/>
      <c r="W103" s="189"/>
      <c r="X103" s="162"/>
      <c r="Y103" s="144"/>
      <c r="Z103" s="160"/>
      <c r="AA103" s="157"/>
      <c r="AB103" s="144"/>
      <c r="AC103" s="157"/>
      <c r="AD103" s="147"/>
      <c r="AE103" s="1276"/>
      <c r="AF103" s="188"/>
      <c r="AG103" s="189"/>
      <c r="AH103" s="162"/>
      <c r="AI103" s="144"/>
      <c r="AJ103" s="160"/>
      <c r="AK103" s="157"/>
      <c r="AL103" s="144"/>
      <c r="AM103" s="157"/>
      <c r="AN103" s="147"/>
    </row>
    <row r="104" spans="1:40" ht="15.5">
      <c r="A104" s="1206"/>
      <c r="B104" s="208" t="s">
        <v>248</v>
      </c>
      <c r="C104" s="390">
        <f>G101</f>
        <v>0</v>
      </c>
      <c r="D104" s="891"/>
      <c r="E104" s="872"/>
      <c r="F104" s="892"/>
      <c r="G104" s="890"/>
      <c r="H104" s="872"/>
      <c r="I104" s="890"/>
      <c r="J104" s="870"/>
      <c r="K104" s="1276"/>
      <c r="L104" s="208"/>
      <c r="M104" s="209"/>
      <c r="N104" s="162"/>
      <c r="O104" s="144"/>
      <c r="P104" s="163"/>
      <c r="Q104" s="157"/>
      <c r="R104" s="144"/>
      <c r="S104" s="157"/>
      <c r="T104" s="147"/>
      <c r="U104" s="1276"/>
      <c r="V104" s="208"/>
      <c r="W104" s="209"/>
      <c r="X104" s="162"/>
      <c r="Y104" s="144"/>
      <c r="Z104" s="163"/>
      <c r="AA104" s="157"/>
      <c r="AB104" s="144"/>
      <c r="AC104" s="157"/>
      <c r="AD104" s="147"/>
      <c r="AE104" s="1276"/>
      <c r="AF104" s="208"/>
      <c r="AG104" s="209"/>
      <c r="AH104" s="162"/>
      <c r="AI104" s="144"/>
      <c r="AJ104" s="163"/>
      <c r="AK104" s="157"/>
      <c r="AL104" s="144"/>
      <c r="AM104" s="157"/>
      <c r="AN104" s="147"/>
    </row>
    <row r="105" spans="1:40" ht="15.5">
      <c r="A105" s="1206"/>
      <c r="B105" s="208" t="s">
        <v>249</v>
      </c>
      <c r="C105" s="390">
        <f>C103*1.5%</f>
        <v>1.2600000000000001E-3</v>
      </c>
      <c r="D105" s="891"/>
      <c r="E105" s="872"/>
      <c r="F105" s="892"/>
      <c r="G105" s="890"/>
      <c r="H105" s="872"/>
      <c r="I105" s="890"/>
      <c r="J105" s="870"/>
      <c r="K105" s="1276"/>
      <c r="L105" s="208"/>
      <c r="M105" s="209"/>
      <c r="N105" s="162"/>
      <c r="O105" s="144"/>
      <c r="P105" s="163"/>
      <c r="Q105" s="157"/>
      <c r="R105" s="144"/>
      <c r="S105" s="157"/>
      <c r="T105" s="147"/>
      <c r="U105" s="1276"/>
      <c r="V105" s="208"/>
      <c r="W105" s="209"/>
      <c r="X105" s="162"/>
      <c r="Y105" s="144"/>
      <c r="Z105" s="163"/>
      <c r="AA105" s="157"/>
      <c r="AB105" s="144"/>
      <c r="AC105" s="157"/>
      <c r="AD105" s="147"/>
      <c r="AE105" s="1276"/>
      <c r="AF105" s="208"/>
      <c r="AG105" s="209"/>
      <c r="AH105" s="162"/>
      <c r="AI105" s="144"/>
      <c r="AJ105" s="163"/>
      <c r="AK105" s="157"/>
      <c r="AL105" s="144"/>
      <c r="AM105" s="157"/>
      <c r="AN105" s="147"/>
    </row>
    <row r="106" spans="1:40" ht="15.5">
      <c r="A106" s="1206"/>
      <c r="B106" s="208" t="s">
        <v>284</v>
      </c>
      <c r="C106" s="391">
        <f>(C103+C104)*3%</f>
        <v>2.5200000000000001E-3</v>
      </c>
      <c r="D106" s="891"/>
      <c r="E106" s="872"/>
      <c r="F106" s="892"/>
      <c r="G106" s="890"/>
      <c r="H106" s="872"/>
      <c r="I106" s="890"/>
      <c r="J106" s="870"/>
      <c r="K106" s="1276"/>
      <c r="L106" s="208"/>
      <c r="M106" s="230"/>
      <c r="N106" s="162"/>
      <c r="O106" s="144"/>
      <c r="P106" s="163"/>
      <c r="Q106" s="157"/>
      <c r="R106" s="144"/>
      <c r="S106" s="157"/>
      <c r="T106" s="147"/>
      <c r="U106" s="1276"/>
      <c r="V106" s="208"/>
      <c r="W106" s="230"/>
      <c r="X106" s="162"/>
      <c r="Y106" s="144"/>
      <c r="Z106" s="163"/>
      <c r="AA106" s="157"/>
      <c r="AB106" s="144"/>
      <c r="AC106" s="157"/>
      <c r="AD106" s="147"/>
      <c r="AE106" s="1276"/>
      <c r="AF106" s="208"/>
      <c r="AG106" s="230"/>
      <c r="AH106" s="162"/>
      <c r="AI106" s="144"/>
      <c r="AJ106" s="163"/>
      <c r="AK106" s="157"/>
      <c r="AL106" s="144"/>
      <c r="AM106" s="157"/>
      <c r="AN106" s="147"/>
    </row>
    <row r="107" spans="1:40" ht="15.5">
      <c r="A107" s="1206"/>
      <c r="B107" s="208" t="s">
        <v>292</v>
      </c>
      <c r="C107" s="390">
        <f>H90</f>
        <v>0</v>
      </c>
      <c r="D107" s="891"/>
      <c r="E107" s="872"/>
      <c r="F107" s="892"/>
      <c r="G107" s="890"/>
      <c r="H107" s="872"/>
      <c r="I107" s="890"/>
      <c r="J107" s="870"/>
      <c r="K107" s="1276"/>
      <c r="L107" s="208"/>
      <c r="M107" s="209"/>
      <c r="N107" s="162"/>
      <c r="O107" s="144"/>
      <c r="P107" s="163"/>
      <c r="Q107" s="157"/>
      <c r="R107" s="144"/>
      <c r="S107" s="157"/>
      <c r="T107" s="147"/>
      <c r="U107" s="1276"/>
      <c r="V107" s="208"/>
      <c r="W107" s="209"/>
      <c r="X107" s="162"/>
      <c r="Y107" s="144"/>
      <c r="Z107" s="163"/>
      <c r="AA107" s="157"/>
      <c r="AB107" s="144"/>
      <c r="AC107" s="157"/>
      <c r="AD107" s="147"/>
      <c r="AE107" s="1276"/>
      <c r="AF107" s="208"/>
      <c r="AG107" s="209"/>
      <c r="AH107" s="162"/>
      <c r="AI107" s="144"/>
      <c r="AJ107" s="163"/>
      <c r="AK107" s="157"/>
      <c r="AL107" s="144"/>
      <c r="AM107" s="157"/>
      <c r="AN107" s="147"/>
    </row>
    <row r="108" spans="1:40" ht="15.5">
      <c r="A108" s="1206"/>
      <c r="B108" s="208" t="s">
        <v>74</v>
      </c>
      <c r="C108" s="390">
        <f>H101</f>
        <v>0</v>
      </c>
      <c r="D108" s="891"/>
      <c r="E108" s="872"/>
      <c r="F108" s="892"/>
      <c r="G108" s="890"/>
      <c r="H108" s="872"/>
      <c r="I108" s="890"/>
      <c r="J108" s="870"/>
      <c r="K108" s="1276"/>
      <c r="L108" s="208"/>
      <c r="M108" s="209"/>
      <c r="N108" s="162"/>
      <c r="O108" s="144"/>
      <c r="P108" s="163"/>
      <c r="Q108" s="157"/>
      <c r="R108" s="144"/>
      <c r="S108" s="157"/>
      <c r="T108" s="147"/>
      <c r="U108" s="1276"/>
      <c r="V108" s="208"/>
      <c r="W108" s="209"/>
      <c r="X108" s="162"/>
      <c r="Y108" s="144"/>
      <c r="Z108" s="163"/>
      <c r="AA108" s="157"/>
      <c r="AB108" s="144"/>
      <c r="AC108" s="157"/>
      <c r="AD108" s="147"/>
      <c r="AE108" s="1276"/>
      <c r="AF108" s="208"/>
      <c r="AG108" s="209"/>
      <c r="AH108" s="162"/>
      <c r="AI108" s="144"/>
      <c r="AJ108" s="163"/>
      <c r="AK108" s="157"/>
      <c r="AL108" s="144"/>
      <c r="AM108" s="157"/>
      <c r="AN108" s="147"/>
    </row>
    <row r="109" spans="1:40" ht="15.5">
      <c r="A109" s="1206"/>
      <c r="B109" s="208" t="s">
        <v>293</v>
      </c>
      <c r="C109" s="390">
        <f>I101</f>
        <v>0</v>
      </c>
      <c r="D109" s="891"/>
      <c r="E109" s="872"/>
      <c r="F109" s="892"/>
      <c r="G109" s="890"/>
      <c r="H109" s="872"/>
      <c r="I109" s="890"/>
      <c r="J109" s="870"/>
      <c r="K109" s="1276"/>
      <c r="L109" s="208"/>
      <c r="M109" s="209"/>
      <c r="N109" s="162"/>
      <c r="O109" s="144"/>
      <c r="P109" s="163"/>
      <c r="Q109" s="157"/>
      <c r="R109" s="144"/>
      <c r="S109" s="157"/>
      <c r="T109" s="147"/>
      <c r="U109" s="1276"/>
      <c r="V109" s="208"/>
      <c r="W109" s="209"/>
      <c r="X109" s="162"/>
      <c r="Y109" s="144"/>
      <c r="Z109" s="163"/>
      <c r="AA109" s="157"/>
      <c r="AB109" s="144"/>
      <c r="AC109" s="157"/>
      <c r="AD109" s="147"/>
      <c r="AE109" s="1276"/>
      <c r="AF109" s="208"/>
      <c r="AG109" s="209"/>
      <c r="AH109" s="162"/>
      <c r="AI109" s="144"/>
      <c r="AJ109" s="163"/>
      <c r="AK109" s="157"/>
      <c r="AL109" s="144"/>
      <c r="AM109" s="157"/>
      <c r="AN109" s="147"/>
    </row>
    <row r="110" spans="1:40" ht="15.5">
      <c r="A110" s="1206"/>
      <c r="B110" s="208" t="s">
        <v>250</v>
      </c>
      <c r="C110" s="390">
        <f>(C103+C104+C105)*2%</f>
        <v>1.7052E-3</v>
      </c>
      <c r="D110" s="891"/>
      <c r="E110" s="872"/>
      <c r="F110" s="872"/>
      <c r="G110" s="890"/>
      <c r="H110" s="872"/>
      <c r="I110" s="890"/>
      <c r="J110" s="870"/>
      <c r="K110" s="1276"/>
      <c r="L110" s="208"/>
      <c r="M110" s="209"/>
      <c r="N110" s="162"/>
      <c r="O110" s="144"/>
      <c r="P110" s="160"/>
      <c r="Q110" s="157"/>
      <c r="R110" s="144"/>
      <c r="S110" s="157"/>
      <c r="T110" s="147"/>
      <c r="U110" s="1276"/>
      <c r="V110" s="208"/>
      <c r="W110" s="209"/>
      <c r="X110" s="162"/>
      <c r="Y110" s="144"/>
      <c r="Z110" s="160"/>
      <c r="AA110" s="157"/>
      <c r="AB110" s="144"/>
      <c r="AC110" s="157"/>
      <c r="AD110" s="147"/>
      <c r="AE110" s="1276"/>
      <c r="AF110" s="208"/>
      <c r="AG110" s="209"/>
      <c r="AH110" s="162"/>
      <c r="AI110" s="144"/>
      <c r="AJ110" s="160"/>
      <c r="AK110" s="157"/>
      <c r="AL110" s="144"/>
      <c r="AM110" s="157"/>
      <c r="AN110" s="147"/>
    </row>
    <row r="111" spans="1:40" ht="14">
      <c r="A111" s="1206"/>
      <c r="B111" s="229" t="s">
        <v>251</v>
      </c>
      <c r="C111" s="390">
        <f>C104*3%</f>
        <v>0</v>
      </c>
      <c r="D111" s="891"/>
      <c r="E111" s="872"/>
      <c r="F111" s="872"/>
      <c r="G111" s="890"/>
      <c r="H111" s="872"/>
      <c r="I111" s="890"/>
      <c r="J111" s="870"/>
      <c r="K111" s="1276"/>
      <c r="L111" s="229"/>
      <c r="M111" s="209"/>
      <c r="N111" s="162"/>
      <c r="O111" s="144"/>
      <c r="P111" s="160"/>
      <c r="Q111" s="157"/>
      <c r="R111" s="144"/>
      <c r="S111" s="157"/>
      <c r="T111" s="147"/>
      <c r="U111" s="1276"/>
      <c r="V111" s="229"/>
      <c r="W111" s="209"/>
      <c r="X111" s="162"/>
      <c r="Y111" s="144"/>
      <c r="Z111" s="160"/>
      <c r="AA111" s="157"/>
      <c r="AB111" s="144"/>
      <c r="AC111" s="157"/>
      <c r="AD111" s="147"/>
      <c r="AE111" s="1276"/>
      <c r="AF111" s="229"/>
      <c r="AG111" s="209"/>
      <c r="AH111" s="162"/>
      <c r="AI111" s="144"/>
      <c r="AJ111" s="160"/>
      <c r="AK111" s="157"/>
      <c r="AL111" s="144"/>
      <c r="AM111" s="157"/>
      <c r="AN111" s="147"/>
    </row>
    <row r="112" spans="1:40" ht="14">
      <c r="A112" s="1206"/>
      <c r="B112" s="229" t="s">
        <v>252</v>
      </c>
      <c r="C112" s="390">
        <f>SUM(C103:C111)*10%</f>
        <v>8.9485199999999997E-3</v>
      </c>
      <c r="D112" s="891"/>
      <c r="E112" s="893"/>
      <c r="F112" s="893"/>
      <c r="G112" s="890"/>
      <c r="H112" s="872"/>
      <c r="I112" s="890"/>
      <c r="J112" s="870"/>
      <c r="K112" s="1276"/>
      <c r="L112" s="229"/>
      <c r="M112" s="209"/>
      <c r="N112" s="162"/>
      <c r="O112" s="168"/>
      <c r="P112" s="168"/>
      <c r="Q112" s="157"/>
      <c r="R112" s="144"/>
      <c r="S112" s="157"/>
      <c r="T112" s="147"/>
      <c r="U112" s="1276"/>
      <c r="V112" s="229"/>
      <c r="W112" s="209"/>
      <c r="X112" s="162"/>
      <c r="Y112" s="168"/>
      <c r="Z112" s="168"/>
      <c r="AA112" s="157"/>
      <c r="AB112" s="144"/>
      <c r="AC112" s="157"/>
      <c r="AD112" s="147"/>
      <c r="AE112" s="1276"/>
      <c r="AF112" s="229"/>
      <c r="AG112" s="209"/>
      <c r="AH112" s="162"/>
      <c r="AI112" s="168"/>
      <c r="AJ112" s="168"/>
      <c r="AK112" s="157"/>
      <c r="AL112" s="144"/>
      <c r="AM112" s="157"/>
      <c r="AN112" s="147"/>
    </row>
    <row r="113" spans="1:40" ht="17.5" thickBot="1">
      <c r="A113" s="1206"/>
      <c r="B113" s="173" t="s">
        <v>246</v>
      </c>
      <c r="C113" s="392">
        <f>SUM(C103:C112)</f>
        <v>9.8433720000000002E-2</v>
      </c>
      <c r="D113" s="882"/>
      <c r="E113" s="882"/>
      <c r="F113" s="882"/>
      <c r="G113" s="882"/>
      <c r="H113" s="882"/>
      <c r="I113" s="882"/>
      <c r="J113" s="883"/>
      <c r="K113" s="1277"/>
      <c r="L113" s="173"/>
      <c r="M113" s="190"/>
      <c r="N113" s="167"/>
      <c r="O113" s="167"/>
      <c r="P113" s="167"/>
      <c r="Q113" s="167"/>
      <c r="R113" s="167"/>
      <c r="S113" s="167"/>
      <c r="T113" s="196"/>
      <c r="U113" s="1277"/>
      <c r="V113" s="173"/>
      <c r="W113" s="190"/>
      <c r="X113" s="167"/>
      <c r="Y113" s="167"/>
      <c r="Z113" s="167"/>
      <c r="AA113" s="167"/>
      <c r="AB113" s="167"/>
      <c r="AC113" s="167"/>
      <c r="AD113" s="196"/>
      <c r="AE113" s="1277"/>
      <c r="AF113" s="173"/>
      <c r="AG113" s="190"/>
      <c r="AH113" s="167"/>
      <c r="AI113" s="167"/>
      <c r="AJ113" s="167"/>
      <c r="AK113" s="167"/>
      <c r="AL113" s="167"/>
      <c r="AM113" s="167"/>
      <c r="AN113" s="196"/>
    </row>
    <row r="114" spans="1:40">
      <c r="A114" s="1314"/>
      <c r="B114" s="1314"/>
      <c r="C114" s="1314"/>
      <c r="D114" s="1314"/>
      <c r="E114" s="1314"/>
      <c r="F114" s="1314"/>
      <c r="G114" s="1314"/>
      <c r="H114" s="1314"/>
      <c r="I114" s="1314"/>
      <c r="J114" s="1314"/>
      <c r="K114" s="1314"/>
      <c r="L114" s="1314"/>
      <c r="M114" s="1314"/>
      <c r="N114" s="1314"/>
      <c r="O114" s="1314"/>
      <c r="P114" s="1314"/>
      <c r="Q114" s="1314"/>
      <c r="R114" s="1314"/>
      <c r="S114" s="1314"/>
      <c r="T114" s="1314"/>
      <c r="U114" s="1314"/>
      <c r="V114" s="1314"/>
      <c r="W114" s="1314"/>
      <c r="X114" s="1314"/>
      <c r="Y114" s="1314"/>
      <c r="Z114" s="1314"/>
      <c r="AA114" s="1314"/>
      <c r="AB114" s="1314"/>
      <c r="AC114" s="1314"/>
      <c r="AD114" s="1314"/>
      <c r="AE114" s="1314"/>
      <c r="AF114" s="1314"/>
      <c r="AG114" s="1314"/>
      <c r="AH114" s="1314"/>
      <c r="AI114" s="1314"/>
      <c r="AJ114" s="1314"/>
      <c r="AK114" s="1314"/>
      <c r="AL114" s="1314"/>
      <c r="AM114" s="1314"/>
      <c r="AN114" s="1206"/>
    </row>
    <row r="115" spans="1:40">
      <c r="A115" s="1314"/>
      <c r="B115" s="1314"/>
      <c r="C115" s="1314"/>
      <c r="D115" s="1314"/>
      <c r="E115" s="1314"/>
      <c r="F115" s="1314"/>
      <c r="G115" s="1314"/>
      <c r="H115" s="1314"/>
      <c r="I115" s="1314"/>
      <c r="J115" s="1314"/>
      <c r="K115" s="1314"/>
      <c r="L115" s="1314"/>
      <c r="M115" s="1314"/>
      <c r="N115" s="1314"/>
      <c r="O115" s="1314"/>
      <c r="P115" s="1314"/>
      <c r="Q115" s="1314"/>
      <c r="R115" s="1314"/>
      <c r="S115" s="1314"/>
      <c r="T115" s="1314"/>
      <c r="U115" s="1314"/>
      <c r="V115" s="1314"/>
      <c r="W115" s="1314"/>
      <c r="X115" s="1314"/>
      <c r="Y115" s="1314"/>
      <c r="Z115" s="1314"/>
      <c r="AA115" s="1314"/>
      <c r="AB115" s="1314"/>
      <c r="AC115" s="1314"/>
      <c r="AD115" s="1314"/>
      <c r="AE115" s="1314"/>
      <c r="AF115" s="1314"/>
      <c r="AG115" s="1314"/>
      <c r="AH115" s="1314"/>
      <c r="AI115" s="1314"/>
      <c r="AJ115" s="1314"/>
      <c r="AK115" s="1314"/>
      <c r="AL115" s="1314"/>
      <c r="AM115" s="1314"/>
      <c r="AN115" s="1206"/>
    </row>
    <row r="116" spans="1:40" ht="11.25" customHeight="1">
      <c r="A116" s="1203" t="s">
        <v>287</v>
      </c>
      <c r="B116" s="1203"/>
      <c r="C116" s="1203"/>
      <c r="D116" s="1203"/>
      <c r="E116" s="1203"/>
      <c r="F116" s="1203"/>
      <c r="G116" s="1203"/>
      <c r="H116" s="1203"/>
      <c r="I116" s="1203"/>
      <c r="J116" s="1203"/>
      <c r="K116" s="1203"/>
      <c r="L116" s="1203"/>
      <c r="M116" s="1203"/>
      <c r="N116" s="1203"/>
      <c r="O116" s="1203"/>
      <c r="P116" s="1203"/>
      <c r="Q116" s="1203"/>
      <c r="R116" s="1203"/>
      <c r="S116" s="1203"/>
      <c r="T116" s="1203"/>
      <c r="U116" s="1203"/>
      <c r="V116" s="1203"/>
      <c r="W116" s="1203"/>
      <c r="X116" s="1203"/>
      <c r="Y116" s="1203"/>
      <c r="Z116" s="1203"/>
      <c r="AA116" s="1203"/>
      <c r="AB116" s="1203"/>
      <c r="AC116" s="1203"/>
      <c r="AD116" s="1203"/>
      <c r="AE116" s="1203"/>
      <c r="AF116" s="1203"/>
      <c r="AG116" s="1203"/>
      <c r="AH116" s="1203"/>
      <c r="AI116" s="1203"/>
      <c r="AJ116" s="1203"/>
      <c r="AK116" s="1203"/>
      <c r="AL116" s="1203"/>
      <c r="AM116" s="1203"/>
      <c r="AN116" s="1204"/>
    </row>
    <row r="117" spans="1:40" ht="11.25" customHeight="1">
      <c r="A117" s="1203"/>
      <c r="B117" s="1203"/>
      <c r="C117" s="1203"/>
      <c r="D117" s="1203"/>
      <c r="E117" s="1203"/>
      <c r="F117" s="1203"/>
      <c r="G117" s="1203"/>
      <c r="H117" s="1203"/>
      <c r="I117" s="1203"/>
      <c r="J117" s="1203"/>
      <c r="K117" s="1203"/>
      <c r="L117" s="1203"/>
      <c r="M117" s="1203"/>
      <c r="N117" s="1203"/>
      <c r="O117" s="1203"/>
      <c r="P117" s="1203"/>
      <c r="Q117" s="1203"/>
      <c r="R117" s="1203"/>
      <c r="S117" s="1203"/>
      <c r="T117" s="1203"/>
      <c r="U117" s="1203"/>
      <c r="V117" s="1203"/>
      <c r="W117" s="1203"/>
      <c r="X117" s="1203"/>
      <c r="Y117" s="1203"/>
      <c r="Z117" s="1203"/>
      <c r="AA117" s="1203"/>
      <c r="AB117" s="1203"/>
      <c r="AC117" s="1203"/>
      <c r="AD117" s="1203"/>
      <c r="AE117" s="1203"/>
      <c r="AF117" s="1203"/>
      <c r="AG117" s="1203"/>
      <c r="AH117" s="1203"/>
      <c r="AI117" s="1203"/>
      <c r="AJ117" s="1203"/>
      <c r="AK117" s="1203"/>
      <c r="AL117" s="1203"/>
      <c r="AM117" s="1203"/>
      <c r="AN117" s="1204"/>
    </row>
    <row r="118" spans="1:40" ht="11.25" customHeight="1">
      <c r="A118" s="1203"/>
      <c r="B118" s="1203"/>
      <c r="C118" s="1203"/>
      <c r="D118" s="1203"/>
      <c r="E118" s="1203"/>
      <c r="F118" s="1203"/>
      <c r="G118" s="1203"/>
      <c r="H118" s="1203"/>
      <c r="I118" s="1203"/>
      <c r="J118" s="1203"/>
      <c r="K118" s="1203"/>
      <c r="L118" s="1203"/>
      <c r="M118" s="1203"/>
      <c r="N118" s="1203"/>
      <c r="O118" s="1203"/>
      <c r="P118" s="1203"/>
      <c r="Q118" s="1203"/>
      <c r="R118" s="1203"/>
      <c r="S118" s="1203"/>
      <c r="T118" s="1203"/>
      <c r="U118" s="1203"/>
      <c r="V118" s="1203"/>
      <c r="W118" s="1203"/>
      <c r="X118" s="1203"/>
      <c r="Y118" s="1203"/>
      <c r="Z118" s="1203"/>
      <c r="AA118" s="1203"/>
      <c r="AB118" s="1203"/>
      <c r="AC118" s="1203"/>
      <c r="AD118" s="1203"/>
      <c r="AE118" s="1203"/>
      <c r="AF118" s="1203"/>
      <c r="AG118" s="1203"/>
      <c r="AH118" s="1203"/>
      <c r="AI118" s="1203"/>
      <c r="AJ118" s="1203"/>
      <c r="AK118" s="1203"/>
      <c r="AL118" s="1203"/>
      <c r="AM118" s="1203"/>
      <c r="AN118" s="1204"/>
    </row>
    <row r="119" spans="1:40" ht="12" customHeight="1" thickBot="1">
      <c r="A119" s="1203"/>
      <c r="B119" s="1203"/>
      <c r="C119" s="1203"/>
      <c r="D119" s="1203"/>
      <c r="E119" s="1203"/>
      <c r="F119" s="1203"/>
      <c r="G119" s="1203"/>
      <c r="H119" s="1203"/>
      <c r="I119" s="1203"/>
      <c r="J119" s="1203"/>
      <c r="K119" s="1203"/>
      <c r="L119" s="1203"/>
      <c r="M119" s="1203"/>
      <c r="N119" s="1203"/>
      <c r="O119" s="1203"/>
      <c r="P119" s="1203"/>
      <c r="Q119" s="1203"/>
      <c r="R119" s="1203"/>
      <c r="S119" s="1203"/>
      <c r="T119" s="1203"/>
      <c r="U119" s="1203"/>
      <c r="V119" s="1203"/>
      <c r="W119" s="1203"/>
      <c r="X119" s="1203"/>
      <c r="Y119" s="1203"/>
      <c r="Z119" s="1203"/>
      <c r="AA119" s="1203"/>
      <c r="AB119" s="1203"/>
      <c r="AC119" s="1203"/>
      <c r="AD119" s="1203"/>
      <c r="AE119" s="1203"/>
      <c r="AF119" s="1203"/>
      <c r="AG119" s="1203"/>
      <c r="AH119" s="1203"/>
      <c r="AI119" s="1203"/>
      <c r="AJ119" s="1203"/>
      <c r="AK119" s="1203"/>
      <c r="AL119" s="1203"/>
      <c r="AM119" s="1203"/>
      <c r="AN119" s="1204"/>
    </row>
    <row r="120" spans="1:40" ht="16" thickBot="1">
      <c r="A120" s="1275"/>
      <c r="B120" s="178" t="s">
        <v>219</v>
      </c>
      <c r="C120" s="1296" t="str">
        <f>RFCE!D6</f>
        <v>SI20224397</v>
      </c>
      <c r="D120" s="1296"/>
      <c r="E120" s="1297" t="s">
        <v>282</v>
      </c>
      <c r="F120" s="1297"/>
      <c r="G120" s="1297"/>
      <c r="H120" s="1297"/>
      <c r="I120" s="1297"/>
      <c r="J120" s="1298"/>
      <c r="K120" s="1272"/>
      <c r="L120" s="178"/>
      <c r="M120" s="1296"/>
      <c r="N120" s="1296"/>
      <c r="O120" s="1297"/>
      <c r="P120" s="1297"/>
      <c r="Q120" s="1297"/>
      <c r="R120" s="1297"/>
      <c r="S120" s="1297"/>
      <c r="T120" s="1298"/>
      <c r="U120" s="1275"/>
      <c r="V120" s="178"/>
      <c r="W120" s="1296"/>
      <c r="X120" s="1296"/>
      <c r="Y120" s="1297"/>
      <c r="Z120" s="1297"/>
      <c r="AA120" s="1297"/>
      <c r="AB120" s="1297"/>
      <c r="AC120" s="1297"/>
      <c r="AD120" s="1298"/>
      <c r="AE120" s="1275"/>
      <c r="AF120" s="178"/>
      <c r="AG120" s="1296"/>
      <c r="AH120" s="1296"/>
      <c r="AI120" s="1297"/>
      <c r="AJ120" s="1297"/>
      <c r="AK120" s="1297"/>
      <c r="AL120" s="1297"/>
      <c r="AM120" s="1297"/>
      <c r="AN120" s="1298"/>
    </row>
    <row r="121" spans="1:40" ht="22.5" thickBot="1">
      <c r="A121" s="1276"/>
      <c r="B121" s="203" t="s">
        <v>17</v>
      </c>
      <c r="C121" s="1207"/>
      <c r="D121" s="1212"/>
      <c r="E121" s="1212"/>
      <c r="F121" s="1212"/>
      <c r="G121" s="1212"/>
      <c r="H121" s="1212"/>
      <c r="I121" s="1212"/>
      <c r="J121" s="1213"/>
      <c r="K121" s="1273"/>
      <c r="L121" s="203"/>
      <c r="M121" s="1207"/>
      <c r="N121" s="1212"/>
      <c r="O121" s="1212"/>
      <c r="P121" s="1212"/>
      <c r="Q121" s="1212"/>
      <c r="R121" s="1212"/>
      <c r="S121" s="1212"/>
      <c r="T121" s="1213"/>
      <c r="U121" s="1276"/>
      <c r="V121" s="203"/>
      <c r="W121" s="1207"/>
      <c r="X121" s="1212"/>
      <c r="Y121" s="1212"/>
      <c r="Z121" s="1212"/>
      <c r="AA121" s="1212"/>
      <c r="AB121" s="1212"/>
      <c r="AC121" s="1212"/>
      <c r="AD121" s="1213"/>
      <c r="AE121" s="1276"/>
      <c r="AF121" s="203"/>
      <c r="AG121" s="1207"/>
      <c r="AH121" s="1212"/>
      <c r="AI121" s="1212"/>
      <c r="AJ121" s="1212"/>
      <c r="AK121" s="1212"/>
      <c r="AL121" s="1212"/>
      <c r="AM121" s="1212"/>
      <c r="AN121" s="1213"/>
    </row>
    <row r="122" spans="1:40" ht="16" thickBot="1">
      <c r="A122" s="1276"/>
      <c r="B122" s="202" t="s">
        <v>283</v>
      </c>
      <c r="C122" s="1299"/>
      <c r="D122" s="1215"/>
      <c r="E122" s="1215"/>
      <c r="F122" s="1215"/>
      <c r="G122" s="1215"/>
      <c r="H122" s="1215"/>
      <c r="I122" s="1215"/>
      <c r="J122" s="1216"/>
      <c r="K122" s="1273"/>
      <c r="L122" s="202"/>
      <c r="M122" s="1299"/>
      <c r="N122" s="1215"/>
      <c r="O122" s="1215"/>
      <c r="P122" s="1215"/>
      <c r="Q122" s="1215"/>
      <c r="R122" s="1215"/>
      <c r="S122" s="1215"/>
      <c r="T122" s="1216"/>
      <c r="U122" s="1276"/>
      <c r="V122" s="202"/>
      <c r="W122" s="1299"/>
      <c r="X122" s="1215"/>
      <c r="Y122" s="1215"/>
      <c r="Z122" s="1215"/>
      <c r="AA122" s="1215"/>
      <c r="AB122" s="1215"/>
      <c r="AC122" s="1215"/>
      <c r="AD122" s="1216"/>
      <c r="AE122" s="1276"/>
      <c r="AF122" s="202"/>
      <c r="AG122" s="1299"/>
      <c r="AH122" s="1215"/>
      <c r="AI122" s="1215"/>
      <c r="AJ122" s="1215"/>
      <c r="AK122" s="1215"/>
      <c r="AL122" s="1215"/>
      <c r="AM122" s="1215"/>
      <c r="AN122" s="1216"/>
    </row>
    <row r="123" spans="1:40" ht="11" thickBot="1">
      <c r="A123" s="1276"/>
      <c r="B123" s="1217" t="s">
        <v>73</v>
      </c>
      <c r="C123" s="1218"/>
      <c r="D123" s="1218"/>
      <c r="E123" s="1218"/>
      <c r="F123" s="1218"/>
      <c r="G123" s="1218"/>
      <c r="H123" s="1218"/>
      <c r="I123" s="1218"/>
      <c r="J123" s="1219"/>
      <c r="K123" s="1273"/>
      <c r="L123" s="1217"/>
      <c r="M123" s="1218"/>
      <c r="N123" s="1218"/>
      <c r="O123" s="1218"/>
      <c r="P123" s="1218"/>
      <c r="Q123" s="1218"/>
      <c r="R123" s="1218"/>
      <c r="S123" s="1218"/>
      <c r="T123" s="1219"/>
      <c r="U123" s="1276"/>
      <c r="V123" s="1217"/>
      <c r="W123" s="1218"/>
      <c r="X123" s="1218"/>
      <c r="Y123" s="1218"/>
      <c r="Z123" s="1218"/>
      <c r="AA123" s="1218"/>
      <c r="AB123" s="1218"/>
      <c r="AC123" s="1218"/>
      <c r="AD123" s="1219"/>
      <c r="AE123" s="1276"/>
      <c r="AF123" s="1217"/>
      <c r="AG123" s="1218"/>
      <c r="AH123" s="1218"/>
      <c r="AI123" s="1218"/>
      <c r="AJ123" s="1218"/>
      <c r="AK123" s="1218"/>
      <c r="AL123" s="1218"/>
      <c r="AM123" s="1218"/>
      <c r="AN123" s="1219"/>
    </row>
    <row r="124" spans="1:40" ht="16" thickBot="1">
      <c r="A124" s="1276"/>
      <c r="B124" s="274" t="s">
        <v>72</v>
      </c>
      <c r="C124" s="1220"/>
      <c r="D124" s="1221"/>
      <c r="E124" s="277" t="s">
        <v>71</v>
      </c>
      <c r="F124" s="1222"/>
      <c r="G124" s="1212"/>
      <c r="H124" s="1212"/>
      <c r="I124" s="1212"/>
      <c r="J124" s="1213"/>
      <c r="K124" s="1273"/>
      <c r="L124" s="274"/>
      <c r="M124" s="1220"/>
      <c r="N124" s="1221"/>
      <c r="O124" s="277"/>
      <c r="P124" s="1222"/>
      <c r="Q124" s="1212"/>
      <c r="R124" s="1212"/>
      <c r="S124" s="1212"/>
      <c r="T124" s="1213"/>
      <c r="U124" s="1276"/>
      <c r="V124" s="274"/>
      <c r="W124" s="1220"/>
      <c r="X124" s="1221"/>
      <c r="Y124" s="277"/>
      <c r="Z124" s="1222"/>
      <c r="AA124" s="1212"/>
      <c r="AB124" s="1212"/>
      <c r="AC124" s="1212"/>
      <c r="AD124" s="1213"/>
      <c r="AE124" s="1276"/>
      <c r="AF124" s="274"/>
      <c r="AG124" s="1220"/>
      <c r="AH124" s="1221"/>
      <c r="AI124" s="277"/>
      <c r="AJ124" s="1222"/>
      <c r="AK124" s="1212"/>
      <c r="AL124" s="1212"/>
      <c r="AM124" s="1212"/>
      <c r="AN124" s="1213"/>
    </row>
    <row r="125" spans="1:40" ht="13">
      <c r="A125" s="1276"/>
      <c r="B125" s="154" t="s">
        <v>220</v>
      </c>
      <c r="C125" s="1223"/>
      <c r="D125" s="1223"/>
      <c r="E125" s="1223"/>
      <c r="F125" s="1223"/>
      <c r="G125" s="1223"/>
      <c r="H125" s="1223"/>
      <c r="I125" s="1223"/>
      <c r="J125" s="1224"/>
      <c r="K125" s="1273"/>
      <c r="L125" s="154"/>
      <c r="M125" s="1223"/>
      <c r="N125" s="1223"/>
      <c r="O125" s="1223"/>
      <c r="P125" s="1223"/>
      <c r="Q125" s="1223"/>
      <c r="R125" s="1223"/>
      <c r="S125" s="1223"/>
      <c r="T125" s="1224"/>
      <c r="U125" s="1276"/>
      <c r="V125" s="154"/>
      <c r="W125" s="1223"/>
      <c r="X125" s="1223"/>
      <c r="Y125" s="1223"/>
      <c r="Z125" s="1223"/>
      <c r="AA125" s="1223"/>
      <c r="AB125" s="1223"/>
      <c r="AC125" s="1223"/>
      <c r="AD125" s="1224"/>
      <c r="AE125" s="1276"/>
      <c r="AF125" s="154"/>
      <c r="AG125" s="1223"/>
      <c r="AH125" s="1223"/>
      <c r="AI125" s="1223"/>
      <c r="AJ125" s="1223"/>
      <c r="AK125" s="1223"/>
      <c r="AL125" s="1223"/>
      <c r="AM125" s="1223"/>
      <c r="AN125" s="1224"/>
    </row>
    <row r="126" spans="1:40" ht="34.5">
      <c r="A126" s="1276"/>
      <c r="B126" s="250" t="s">
        <v>68</v>
      </c>
      <c r="C126" s="232">
        <v>100</v>
      </c>
      <c r="D126" s="232">
        <v>50</v>
      </c>
      <c r="E126" s="233" t="s">
        <v>221</v>
      </c>
      <c r="F126" s="233" t="s">
        <v>222</v>
      </c>
      <c r="G126" s="233" t="s">
        <v>223</v>
      </c>
      <c r="H126" s="234" t="s">
        <v>224</v>
      </c>
      <c r="I126" s="279" t="s">
        <v>225</v>
      </c>
      <c r="J126" s="216"/>
      <c r="K126" s="1273"/>
      <c r="L126" s="250"/>
      <c r="M126" s="232"/>
      <c r="N126" s="232"/>
      <c r="O126" s="233"/>
      <c r="P126" s="233"/>
      <c r="Q126" s="233"/>
      <c r="R126" s="234"/>
      <c r="S126" s="279"/>
      <c r="T126" s="216"/>
      <c r="U126" s="1276"/>
      <c r="V126" s="250"/>
      <c r="W126" s="232"/>
      <c r="X126" s="232"/>
      <c r="Y126" s="233"/>
      <c r="Z126" s="233"/>
      <c r="AA126" s="233"/>
      <c r="AB126" s="234"/>
      <c r="AC126" s="279"/>
      <c r="AD126" s="216"/>
      <c r="AE126" s="1276"/>
      <c r="AF126" s="250"/>
      <c r="AG126" s="232"/>
      <c r="AH126" s="232"/>
      <c r="AI126" s="233"/>
      <c r="AJ126" s="233"/>
      <c r="AK126" s="233"/>
      <c r="AL126" s="234"/>
      <c r="AM126" s="279"/>
      <c r="AN126" s="216"/>
    </row>
    <row r="127" spans="1:40" ht="10.5">
      <c r="A127" s="1276"/>
      <c r="B127" s="235" t="s">
        <v>226</v>
      </c>
      <c r="C127" s="1325">
        <f>+H127*I127</f>
        <v>600</v>
      </c>
      <c r="D127" s="1326"/>
      <c r="E127" s="236">
        <v>1250</v>
      </c>
      <c r="F127" s="236">
        <v>2500</v>
      </c>
      <c r="G127" s="237"/>
      <c r="H127" s="388">
        <f>IFERROR((TRUNC(E127/C126)),0)</f>
        <v>12</v>
      </c>
      <c r="I127" s="393">
        <f>IFERROR((TRUNC(F127/D126)),0)</f>
        <v>50</v>
      </c>
      <c r="J127" s="216"/>
      <c r="K127" s="1273"/>
      <c r="L127" s="235"/>
      <c r="M127" s="1278"/>
      <c r="N127" s="1279"/>
      <c r="O127" s="236"/>
      <c r="P127" s="236"/>
      <c r="Q127" s="237"/>
      <c r="R127" s="238"/>
      <c r="S127" s="280"/>
      <c r="T127" s="216"/>
      <c r="U127" s="1276"/>
      <c r="V127" s="235"/>
      <c r="W127" s="1278"/>
      <c r="X127" s="1279"/>
      <c r="Y127" s="236"/>
      <c r="Z127" s="236"/>
      <c r="AA127" s="237"/>
      <c r="AB127" s="238"/>
      <c r="AC127" s="280"/>
      <c r="AD127" s="216"/>
      <c r="AE127" s="1276"/>
      <c r="AF127" s="235"/>
      <c r="AG127" s="1278"/>
      <c r="AH127" s="1279"/>
      <c r="AI127" s="236"/>
      <c r="AJ127" s="236"/>
      <c r="AK127" s="237"/>
      <c r="AL127" s="238"/>
      <c r="AM127" s="280"/>
      <c r="AN127" s="216"/>
    </row>
    <row r="128" spans="1:40">
      <c r="A128" s="1276"/>
      <c r="B128" s="207" t="s">
        <v>227</v>
      </c>
      <c r="C128" s="1302">
        <v>50</v>
      </c>
      <c r="D128" s="1303"/>
      <c r="E128" s="144"/>
      <c r="F128" s="144"/>
      <c r="G128" s="144"/>
      <c r="H128" s="144"/>
      <c r="I128" s="144"/>
      <c r="J128" s="147"/>
      <c r="K128" s="1273"/>
      <c r="L128" s="207"/>
      <c r="M128" s="1280"/>
      <c r="N128" s="1281"/>
      <c r="O128" s="144"/>
      <c r="P128" s="144"/>
      <c r="Q128" s="144"/>
      <c r="R128" s="144"/>
      <c r="S128" s="144"/>
      <c r="T128" s="147"/>
      <c r="U128" s="1276"/>
      <c r="V128" s="207"/>
      <c r="W128" s="1280"/>
      <c r="X128" s="1281"/>
      <c r="Y128" s="144"/>
      <c r="Z128" s="144"/>
      <c r="AA128" s="144"/>
      <c r="AB128" s="144"/>
      <c r="AC128" s="144"/>
      <c r="AD128" s="147"/>
      <c r="AE128" s="1276"/>
      <c r="AF128" s="207"/>
      <c r="AG128" s="1280"/>
      <c r="AH128" s="1281"/>
      <c r="AI128" s="144"/>
      <c r="AJ128" s="144"/>
      <c r="AK128" s="144"/>
      <c r="AL128" s="144"/>
      <c r="AM128" s="144"/>
      <c r="AN128" s="147"/>
    </row>
    <row r="129" spans="1:40" ht="11" thickBot="1">
      <c r="A129" s="1276"/>
      <c r="B129" s="207" t="s">
        <v>228</v>
      </c>
      <c r="C129" s="1282">
        <v>35</v>
      </c>
      <c r="D129" s="1283"/>
      <c r="E129" s="148" t="s">
        <v>229</v>
      </c>
      <c r="F129" s="394">
        <f>IFERROR((C129/G127/7.85*2)*C134,0)</f>
        <v>0</v>
      </c>
      <c r="G129" s="150" t="s">
        <v>230</v>
      </c>
      <c r="H129" s="151"/>
      <c r="I129" s="251"/>
      <c r="J129" s="196"/>
      <c r="K129" s="1273"/>
      <c r="L129" s="207"/>
      <c r="M129" s="1282"/>
      <c r="N129" s="1283"/>
      <c r="O129" s="148"/>
      <c r="P129" s="149"/>
      <c r="Q129" s="150"/>
      <c r="R129" s="151"/>
      <c r="S129" s="251"/>
      <c r="T129" s="196"/>
      <c r="U129" s="1276"/>
      <c r="V129" s="207"/>
      <c r="W129" s="1282"/>
      <c r="X129" s="1283"/>
      <c r="Y129" s="148"/>
      <c r="Z129" s="149"/>
      <c r="AA129" s="150"/>
      <c r="AB129" s="151"/>
      <c r="AC129" s="251"/>
      <c r="AD129" s="196"/>
      <c r="AE129" s="1276"/>
      <c r="AF129" s="207"/>
      <c r="AG129" s="1282"/>
      <c r="AH129" s="1283"/>
      <c r="AI129" s="148"/>
      <c r="AJ129" s="149"/>
      <c r="AK129" s="150"/>
      <c r="AL129" s="151"/>
      <c r="AM129" s="251"/>
      <c r="AN129" s="196"/>
    </row>
    <row r="130" spans="1:40" ht="14.5">
      <c r="A130" s="1276"/>
      <c r="B130" s="207" t="s">
        <v>231</v>
      </c>
      <c r="C130" s="1302">
        <f>+C128-C129</f>
        <v>15</v>
      </c>
      <c r="D130" s="1303"/>
      <c r="E130" s="144"/>
      <c r="F130" s="1261" t="s">
        <v>288</v>
      </c>
      <c r="G130" s="1262"/>
      <c r="H130" s="1262"/>
      <c r="I130" s="1262"/>
      <c r="J130" s="1263"/>
      <c r="K130" s="1273"/>
      <c r="L130" s="207"/>
      <c r="M130" s="1280"/>
      <c r="N130" s="1281"/>
      <c r="O130" s="144"/>
      <c r="P130" s="1261"/>
      <c r="Q130" s="1262"/>
      <c r="R130" s="1262"/>
      <c r="S130" s="1262"/>
      <c r="T130" s="1263"/>
      <c r="U130" s="1276"/>
      <c r="V130" s="207"/>
      <c r="W130" s="1280"/>
      <c r="X130" s="1281"/>
      <c r="Y130" s="144"/>
      <c r="Z130" s="1261"/>
      <c r="AA130" s="1262"/>
      <c r="AB130" s="1262"/>
      <c r="AC130" s="1262"/>
      <c r="AD130" s="1263"/>
      <c r="AE130" s="1276"/>
      <c r="AF130" s="207"/>
      <c r="AG130" s="1280"/>
      <c r="AH130" s="1281"/>
      <c r="AI130" s="144"/>
      <c r="AJ130" s="1261"/>
      <c r="AK130" s="1262"/>
      <c r="AL130" s="1262"/>
      <c r="AM130" s="1262"/>
      <c r="AN130" s="1263"/>
    </row>
    <row r="131" spans="1:40" ht="21">
      <c r="A131" s="1276"/>
      <c r="B131" s="207" t="s">
        <v>232</v>
      </c>
      <c r="C131" s="1288">
        <v>55</v>
      </c>
      <c r="D131" s="1289"/>
      <c r="E131" s="144"/>
      <c r="F131" s="249" t="s">
        <v>9</v>
      </c>
      <c r="G131" s="246" t="s">
        <v>18</v>
      </c>
      <c r="H131" s="247" t="s">
        <v>8</v>
      </c>
      <c r="I131" s="248" t="s">
        <v>289</v>
      </c>
      <c r="J131" s="245" t="s">
        <v>290</v>
      </c>
      <c r="K131" s="1273"/>
      <c r="L131" s="207"/>
      <c r="M131" s="1288"/>
      <c r="N131" s="1289"/>
      <c r="O131" s="144"/>
      <c r="P131" s="249"/>
      <c r="Q131" s="246"/>
      <c r="R131" s="247"/>
      <c r="S131" s="248"/>
      <c r="T131" s="245"/>
      <c r="U131" s="1276"/>
      <c r="V131" s="207"/>
      <c r="W131" s="1288"/>
      <c r="X131" s="1289"/>
      <c r="Y131" s="144"/>
      <c r="Z131" s="249"/>
      <c r="AA131" s="246"/>
      <c r="AB131" s="247"/>
      <c r="AC131" s="248"/>
      <c r="AD131" s="245"/>
      <c r="AE131" s="1276"/>
      <c r="AF131" s="207"/>
      <c r="AG131" s="1288"/>
      <c r="AH131" s="1289"/>
      <c r="AI131" s="144"/>
      <c r="AJ131" s="249"/>
      <c r="AK131" s="246"/>
      <c r="AL131" s="247"/>
      <c r="AM131" s="248"/>
      <c r="AN131" s="245"/>
    </row>
    <row r="132" spans="1:40">
      <c r="A132" s="1276"/>
      <c r="B132" s="207" t="s">
        <v>233</v>
      </c>
      <c r="C132" s="1290">
        <v>25</v>
      </c>
      <c r="D132" s="1291"/>
      <c r="E132" s="144"/>
      <c r="F132" s="252"/>
      <c r="G132" s="254"/>
      <c r="H132" s="254"/>
      <c r="I132" s="253"/>
      <c r="J132" s="255"/>
      <c r="K132" s="1273"/>
      <c r="L132" s="207"/>
      <c r="M132" s="1290"/>
      <c r="N132" s="1291"/>
      <c r="O132" s="144"/>
      <c r="P132" s="252"/>
      <c r="Q132" s="254"/>
      <c r="R132" s="254"/>
      <c r="S132" s="253"/>
      <c r="T132" s="255"/>
      <c r="U132" s="1276"/>
      <c r="V132" s="207"/>
      <c r="W132" s="1290"/>
      <c r="X132" s="1291"/>
      <c r="Y132" s="144"/>
      <c r="Z132" s="252"/>
      <c r="AA132" s="254"/>
      <c r="AB132" s="254"/>
      <c r="AC132" s="253"/>
      <c r="AD132" s="255"/>
      <c r="AE132" s="1276"/>
      <c r="AF132" s="207"/>
      <c r="AG132" s="1290"/>
      <c r="AH132" s="1291"/>
      <c r="AI132" s="144"/>
      <c r="AJ132" s="252"/>
      <c r="AK132" s="254"/>
      <c r="AL132" s="254"/>
      <c r="AM132" s="253"/>
      <c r="AN132" s="255"/>
    </row>
    <row r="133" spans="1:40">
      <c r="A133" s="1276"/>
      <c r="B133" s="207" t="s">
        <v>234</v>
      </c>
      <c r="C133" s="1300">
        <f>C128*C131-C130*C132</f>
        <v>2375</v>
      </c>
      <c r="D133" s="1301"/>
      <c r="E133" s="144"/>
      <c r="F133" s="252"/>
      <c r="G133" s="253"/>
      <c r="H133" s="253"/>
      <c r="I133" s="253"/>
      <c r="J133" s="255"/>
      <c r="K133" s="1273"/>
      <c r="L133" s="207"/>
      <c r="M133" s="1292"/>
      <c r="N133" s="1293"/>
      <c r="O133" s="144"/>
      <c r="P133" s="252"/>
      <c r="Q133" s="253"/>
      <c r="R133" s="253"/>
      <c r="S133" s="253"/>
      <c r="T133" s="255"/>
      <c r="U133" s="1276"/>
      <c r="V133" s="207"/>
      <c r="W133" s="1292"/>
      <c r="X133" s="1293"/>
      <c r="Y133" s="144"/>
      <c r="Z133" s="252"/>
      <c r="AA133" s="253"/>
      <c r="AB133" s="253"/>
      <c r="AC133" s="253"/>
      <c r="AD133" s="255"/>
      <c r="AE133" s="1276"/>
      <c r="AF133" s="207"/>
      <c r="AG133" s="1292"/>
      <c r="AH133" s="1293"/>
      <c r="AI133" s="144"/>
      <c r="AJ133" s="252"/>
      <c r="AK133" s="253"/>
      <c r="AL133" s="253"/>
      <c r="AM133" s="253"/>
      <c r="AN133" s="255"/>
    </row>
    <row r="134" spans="1:40">
      <c r="A134" s="1276"/>
      <c r="B134" s="207"/>
      <c r="C134" s="1294"/>
      <c r="D134" s="1295"/>
      <c r="E134" s="144"/>
      <c r="F134" s="252"/>
      <c r="G134" s="253"/>
      <c r="H134" s="253"/>
      <c r="I134" s="253"/>
      <c r="J134" s="255"/>
      <c r="K134" s="1273"/>
      <c r="L134" s="207"/>
      <c r="M134" s="1294"/>
      <c r="N134" s="1295"/>
      <c r="O134" s="144"/>
      <c r="P134" s="252"/>
      <c r="Q134" s="253"/>
      <c r="R134" s="253"/>
      <c r="S134" s="253"/>
      <c r="T134" s="255"/>
      <c r="U134" s="1276"/>
      <c r="V134" s="207"/>
      <c r="W134" s="1294"/>
      <c r="X134" s="1295"/>
      <c r="Y134" s="144"/>
      <c r="Z134" s="252"/>
      <c r="AA134" s="253"/>
      <c r="AB134" s="253"/>
      <c r="AC134" s="253"/>
      <c r="AD134" s="255"/>
      <c r="AE134" s="1276"/>
      <c r="AF134" s="207"/>
      <c r="AG134" s="1294"/>
      <c r="AH134" s="1295"/>
      <c r="AI134" s="144"/>
      <c r="AJ134" s="252"/>
      <c r="AK134" s="253"/>
      <c r="AL134" s="253"/>
      <c r="AM134" s="253"/>
      <c r="AN134" s="255"/>
    </row>
    <row r="135" spans="1:40">
      <c r="A135" s="1276"/>
      <c r="B135" s="207" t="s">
        <v>235</v>
      </c>
      <c r="C135" s="1300">
        <f>C134*C133</f>
        <v>0</v>
      </c>
      <c r="D135" s="1301"/>
      <c r="E135" s="144"/>
      <c r="F135" s="252"/>
      <c r="G135" s="253"/>
      <c r="H135" s="253"/>
      <c r="I135" s="253"/>
      <c r="J135" s="255"/>
      <c r="K135" s="1273"/>
      <c r="L135" s="207"/>
      <c r="M135" s="1292"/>
      <c r="N135" s="1293"/>
      <c r="O135" s="144"/>
      <c r="P135" s="252"/>
      <c r="Q135" s="253"/>
      <c r="R135" s="253"/>
      <c r="S135" s="253"/>
      <c r="T135" s="255"/>
      <c r="U135" s="1276"/>
      <c r="V135" s="207"/>
      <c r="W135" s="1292"/>
      <c r="X135" s="1293"/>
      <c r="Y135" s="144"/>
      <c r="Z135" s="252"/>
      <c r="AA135" s="253"/>
      <c r="AB135" s="253"/>
      <c r="AC135" s="253"/>
      <c r="AD135" s="255"/>
      <c r="AE135" s="1276"/>
      <c r="AF135" s="207"/>
      <c r="AG135" s="1292"/>
      <c r="AH135" s="1293"/>
      <c r="AI135" s="144"/>
      <c r="AJ135" s="252"/>
      <c r="AK135" s="253"/>
      <c r="AL135" s="253"/>
      <c r="AM135" s="253"/>
      <c r="AN135" s="255"/>
    </row>
    <row r="136" spans="1:40" ht="10.5" thickBot="1">
      <c r="A136" s="1276"/>
      <c r="B136" s="204"/>
      <c r="C136" s="205"/>
      <c r="D136" s="205"/>
      <c r="E136" s="144"/>
      <c r="F136" s="268"/>
      <c r="G136" s="266"/>
      <c r="H136" s="266"/>
      <c r="I136" s="266"/>
      <c r="J136" s="267"/>
      <c r="K136" s="1273"/>
      <c r="L136" s="204"/>
      <c r="M136" s="205"/>
      <c r="N136" s="205"/>
      <c r="O136" s="144"/>
      <c r="P136" s="268"/>
      <c r="Q136" s="266"/>
      <c r="R136" s="266"/>
      <c r="S136" s="266"/>
      <c r="T136" s="267"/>
      <c r="U136" s="1276"/>
      <c r="V136" s="204"/>
      <c r="W136" s="205"/>
      <c r="X136" s="205"/>
      <c r="Y136" s="144"/>
      <c r="Z136" s="268"/>
      <c r="AA136" s="266"/>
      <c r="AB136" s="266"/>
      <c r="AC136" s="266"/>
      <c r="AD136" s="267"/>
      <c r="AE136" s="1276"/>
      <c r="AF136" s="204"/>
      <c r="AG136" s="205"/>
      <c r="AH136" s="205"/>
      <c r="AI136" s="144"/>
      <c r="AJ136" s="268"/>
      <c r="AK136" s="266"/>
      <c r="AL136" s="266"/>
      <c r="AM136" s="266"/>
      <c r="AN136" s="267"/>
    </row>
    <row r="137" spans="1:40" ht="11" thickBot="1">
      <c r="A137" s="1276"/>
      <c r="B137" s="278" t="s">
        <v>284</v>
      </c>
      <c r="C137" s="1239"/>
      <c r="D137" s="1284"/>
      <c r="E137" s="144"/>
      <c r="F137" s="1241" t="s">
        <v>291</v>
      </c>
      <c r="G137" s="1242"/>
      <c r="H137" s="1243">
        <f>SUM(H132:H136)</f>
        <v>0</v>
      </c>
      <c r="I137" s="1244"/>
      <c r="J137" s="1245"/>
      <c r="K137" s="1273"/>
      <c r="L137" s="278"/>
      <c r="M137" s="1239"/>
      <c r="N137" s="1284"/>
      <c r="O137" s="144"/>
      <c r="P137" s="1241"/>
      <c r="Q137" s="1242"/>
      <c r="R137" s="1285"/>
      <c r="S137" s="1286"/>
      <c r="T137" s="1287"/>
      <c r="U137" s="1276"/>
      <c r="V137" s="278"/>
      <c r="W137" s="1239"/>
      <c r="X137" s="1284"/>
      <c r="Y137" s="144"/>
      <c r="Z137" s="1241"/>
      <c r="AA137" s="1242"/>
      <c r="AB137" s="1285"/>
      <c r="AC137" s="1286"/>
      <c r="AD137" s="1287"/>
      <c r="AE137" s="1276"/>
      <c r="AF137" s="278"/>
      <c r="AG137" s="1239"/>
      <c r="AH137" s="1284"/>
      <c r="AI137" s="144"/>
      <c r="AJ137" s="1241"/>
      <c r="AK137" s="1242"/>
      <c r="AL137" s="1285"/>
      <c r="AM137" s="1286"/>
      <c r="AN137" s="1287"/>
    </row>
    <row r="138" spans="1:40" ht="12" thickBot="1">
      <c r="A138" s="1276"/>
      <c r="B138" s="169" t="s">
        <v>236</v>
      </c>
      <c r="C138" s="170"/>
      <c r="D138" s="153"/>
      <c r="E138" s="144"/>
      <c r="F138" s="144"/>
      <c r="G138" s="152"/>
      <c r="H138" s="151"/>
      <c r="I138" s="281"/>
      <c r="J138" s="147"/>
      <c r="K138" s="1273"/>
      <c r="L138" s="169"/>
      <c r="M138" s="170"/>
      <c r="N138" s="153"/>
      <c r="O138" s="144"/>
      <c r="P138" s="144"/>
      <c r="Q138" s="152"/>
      <c r="R138" s="151"/>
      <c r="S138" s="281"/>
      <c r="T138" s="147"/>
      <c r="U138" s="1276"/>
      <c r="V138" s="169"/>
      <c r="W138" s="170"/>
      <c r="X138" s="153"/>
      <c r="Y138" s="144"/>
      <c r="Z138" s="144"/>
      <c r="AA138" s="152"/>
      <c r="AB138" s="151"/>
      <c r="AC138" s="281"/>
      <c r="AD138" s="147"/>
      <c r="AE138" s="1276"/>
      <c r="AF138" s="169"/>
      <c r="AG138" s="170"/>
      <c r="AH138" s="153"/>
      <c r="AI138" s="144"/>
      <c r="AJ138" s="144"/>
      <c r="AK138" s="152"/>
      <c r="AL138" s="151"/>
      <c r="AM138" s="281"/>
      <c r="AN138" s="147"/>
    </row>
    <row r="139" spans="1:40" ht="13.5" thickBot="1">
      <c r="A139" s="1276"/>
      <c r="B139" s="154"/>
      <c r="C139" s="155"/>
      <c r="D139" s="155"/>
      <c r="E139" s="151"/>
      <c r="F139" s="144"/>
      <c r="G139" s="144"/>
      <c r="H139" s="151"/>
      <c r="I139" s="251"/>
      <c r="J139" s="147"/>
      <c r="K139" s="1273"/>
      <c r="L139" s="154"/>
      <c r="M139" s="155"/>
      <c r="N139" s="155"/>
      <c r="O139" s="151"/>
      <c r="P139" s="144"/>
      <c r="Q139" s="144"/>
      <c r="R139" s="151"/>
      <c r="S139" s="251"/>
      <c r="T139" s="147"/>
      <c r="U139" s="1276"/>
      <c r="V139" s="154"/>
      <c r="W139" s="155"/>
      <c r="X139" s="155"/>
      <c r="Y139" s="151"/>
      <c r="Z139" s="144"/>
      <c r="AA139" s="144"/>
      <c r="AB139" s="151"/>
      <c r="AC139" s="251"/>
      <c r="AD139" s="147"/>
      <c r="AE139" s="1276"/>
      <c r="AF139" s="154"/>
      <c r="AG139" s="155"/>
      <c r="AH139" s="155"/>
      <c r="AI139" s="151"/>
      <c r="AJ139" s="144"/>
      <c r="AK139" s="144"/>
      <c r="AL139" s="151"/>
      <c r="AM139" s="251"/>
      <c r="AN139" s="147"/>
    </row>
    <row r="140" spans="1:40" ht="13.5" thickBot="1">
      <c r="A140" s="1276"/>
      <c r="B140" s="171" t="s">
        <v>237</v>
      </c>
      <c r="C140" s="172"/>
      <c r="D140" s="144"/>
      <c r="E140" s="144"/>
      <c r="F140" s="144"/>
      <c r="G140" s="144"/>
      <c r="H140" s="144"/>
      <c r="I140" s="167"/>
      <c r="J140" s="147"/>
      <c r="K140" s="1273"/>
      <c r="L140" s="171"/>
      <c r="M140" s="172"/>
      <c r="N140" s="144"/>
      <c r="O140" s="144"/>
      <c r="P140" s="144"/>
      <c r="Q140" s="144"/>
      <c r="R140" s="144"/>
      <c r="S140" s="167"/>
      <c r="T140" s="147"/>
      <c r="U140" s="1276"/>
      <c r="V140" s="171"/>
      <c r="W140" s="172"/>
      <c r="X140" s="144"/>
      <c r="Y140" s="144"/>
      <c r="Z140" s="144"/>
      <c r="AA140" s="144"/>
      <c r="AB140" s="144"/>
      <c r="AC140" s="167"/>
      <c r="AD140" s="147"/>
      <c r="AE140" s="1276"/>
      <c r="AF140" s="171"/>
      <c r="AG140" s="172"/>
      <c r="AH140" s="144"/>
      <c r="AI140" s="144"/>
      <c r="AJ140" s="144"/>
      <c r="AK140" s="144"/>
      <c r="AL140" s="144"/>
      <c r="AM140" s="167"/>
      <c r="AN140" s="147"/>
    </row>
    <row r="141" spans="1:40" ht="13.5" thickBot="1">
      <c r="A141" s="1276"/>
      <c r="B141" s="156"/>
      <c r="C141" s="157"/>
      <c r="D141" s="157"/>
      <c r="E141" s="144"/>
      <c r="F141" s="144"/>
      <c r="G141" s="144"/>
      <c r="H141" s="1250" t="s">
        <v>75</v>
      </c>
      <c r="I141" s="1251"/>
      <c r="J141" s="1252"/>
      <c r="K141" s="1273"/>
      <c r="L141" s="156"/>
      <c r="M141" s="157"/>
      <c r="N141" s="157"/>
      <c r="O141" s="144"/>
      <c r="P141" s="144"/>
      <c r="Q141" s="144"/>
      <c r="R141" s="1250"/>
      <c r="S141" s="1251"/>
      <c r="T141" s="1252"/>
      <c r="U141" s="1276"/>
      <c r="V141" s="156"/>
      <c r="W141" s="157"/>
      <c r="X141" s="157"/>
      <c r="Y141" s="144"/>
      <c r="Z141" s="144"/>
      <c r="AA141" s="144"/>
      <c r="AB141" s="1250"/>
      <c r="AC141" s="1251"/>
      <c r="AD141" s="1252"/>
      <c r="AE141" s="1276"/>
      <c r="AF141" s="156"/>
      <c r="AG141" s="157"/>
      <c r="AH141" s="157"/>
      <c r="AI141" s="144"/>
      <c r="AJ141" s="144"/>
      <c r="AK141" s="144"/>
      <c r="AL141" s="1250"/>
      <c r="AM141" s="1251"/>
      <c r="AN141" s="1252"/>
    </row>
    <row r="142" spans="1:40" ht="42">
      <c r="A142" s="1276"/>
      <c r="B142" s="265" t="s">
        <v>238</v>
      </c>
      <c r="C142" s="231" t="s">
        <v>239</v>
      </c>
      <c r="D142" s="231"/>
      <c r="E142" s="219" t="s">
        <v>240</v>
      </c>
      <c r="F142" s="158" t="s">
        <v>241</v>
      </c>
      <c r="G142" s="159" t="s">
        <v>242</v>
      </c>
      <c r="H142" s="273" t="s">
        <v>74</v>
      </c>
      <c r="I142" s="260" t="s">
        <v>76</v>
      </c>
      <c r="J142" s="271" t="s">
        <v>96</v>
      </c>
      <c r="K142" s="1273"/>
      <c r="L142" s="265"/>
      <c r="M142" s="231"/>
      <c r="N142" s="231"/>
      <c r="O142" s="219"/>
      <c r="P142" s="158"/>
      <c r="Q142" s="159"/>
      <c r="R142" s="273"/>
      <c r="S142" s="260"/>
      <c r="T142" s="271"/>
      <c r="U142" s="1276"/>
      <c r="V142" s="265"/>
      <c r="W142" s="231"/>
      <c r="X142" s="231"/>
      <c r="Y142" s="219"/>
      <c r="Z142" s="158"/>
      <c r="AA142" s="159"/>
      <c r="AB142" s="273"/>
      <c r="AC142" s="260"/>
      <c r="AD142" s="271"/>
      <c r="AE142" s="1276"/>
      <c r="AF142" s="265"/>
      <c r="AG142" s="231"/>
      <c r="AH142" s="231"/>
      <c r="AI142" s="219"/>
      <c r="AJ142" s="158"/>
      <c r="AK142" s="159"/>
      <c r="AL142" s="273"/>
      <c r="AM142" s="260"/>
      <c r="AN142" s="271"/>
    </row>
    <row r="143" spans="1:40" ht="10.5">
      <c r="A143" s="1276"/>
      <c r="B143" s="210"/>
      <c r="C143" s="211"/>
      <c r="D143" s="211"/>
      <c r="E143" s="220"/>
      <c r="F143" s="221"/>
      <c r="G143" s="404">
        <f>F143*E143</f>
        <v>0</v>
      </c>
      <c r="H143" s="261"/>
      <c r="I143" s="206"/>
      <c r="J143" s="262"/>
      <c r="K143" s="1273"/>
      <c r="L143" s="210"/>
      <c r="M143" s="211"/>
      <c r="N143" s="211"/>
      <c r="O143" s="220"/>
      <c r="P143" s="221"/>
      <c r="Q143" s="213"/>
      <c r="R143" s="261"/>
      <c r="S143" s="206"/>
      <c r="T143" s="262"/>
      <c r="U143" s="1276"/>
      <c r="V143" s="210"/>
      <c r="W143" s="211"/>
      <c r="X143" s="211"/>
      <c r="Y143" s="220"/>
      <c r="Z143" s="221"/>
      <c r="AA143" s="213"/>
      <c r="AB143" s="261"/>
      <c r="AC143" s="206"/>
      <c r="AD143" s="262"/>
      <c r="AE143" s="1276"/>
      <c r="AF143" s="210"/>
      <c r="AG143" s="211"/>
      <c r="AH143" s="211"/>
      <c r="AI143" s="220"/>
      <c r="AJ143" s="221"/>
      <c r="AK143" s="213"/>
      <c r="AL143" s="261"/>
      <c r="AM143" s="206"/>
      <c r="AN143" s="262"/>
    </row>
    <row r="144" spans="1:40" ht="10.5">
      <c r="A144" s="1276"/>
      <c r="B144" s="210"/>
      <c r="C144" s="211"/>
      <c r="D144" s="211"/>
      <c r="E144" s="222"/>
      <c r="F144" s="212"/>
      <c r="G144" s="404">
        <f>F144*E144</f>
        <v>0</v>
      </c>
      <c r="H144" s="261"/>
      <c r="I144" s="206"/>
      <c r="J144" s="262"/>
      <c r="K144" s="1273"/>
      <c r="L144" s="210"/>
      <c r="M144" s="211"/>
      <c r="N144" s="211"/>
      <c r="O144" s="222"/>
      <c r="P144" s="212"/>
      <c r="Q144" s="213"/>
      <c r="R144" s="261"/>
      <c r="S144" s="206"/>
      <c r="T144" s="262"/>
      <c r="U144" s="1276"/>
      <c r="V144" s="210"/>
      <c r="W144" s="211"/>
      <c r="X144" s="211"/>
      <c r="Y144" s="222"/>
      <c r="Z144" s="212"/>
      <c r="AA144" s="213"/>
      <c r="AB144" s="261"/>
      <c r="AC144" s="206"/>
      <c r="AD144" s="262"/>
      <c r="AE144" s="1276"/>
      <c r="AF144" s="210"/>
      <c r="AG144" s="211"/>
      <c r="AH144" s="211"/>
      <c r="AI144" s="222"/>
      <c r="AJ144" s="212"/>
      <c r="AK144" s="213"/>
      <c r="AL144" s="261"/>
      <c r="AM144" s="206"/>
      <c r="AN144" s="262"/>
    </row>
    <row r="145" spans="1:40" ht="10.5">
      <c r="A145" s="1276"/>
      <c r="B145" s="210"/>
      <c r="C145" s="211"/>
      <c r="D145" s="211"/>
      <c r="E145" s="222"/>
      <c r="F145" s="212"/>
      <c r="G145" s="404">
        <f>F145*E145</f>
        <v>0</v>
      </c>
      <c r="H145" s="261"/>
      <c r="I145" s="206"/>
      <c r="J145" s="262"/>
      <c r="K145" s="1273"/>
      <c r="L145" s="210"/>
      <c r="M145" s="211"/>
      <c r="N145" s="211"/>
      <c r="O145" s="222"/>
      <c r="P145" s="212"/>
      <c r="Q145" s="213"/>
      <c r="R145" s="261"/>
      <c r="S145" s="206"/>
      <c r="T145" s="262"/>
      <c r="U145" s="1276"/>
      <c r="V145" s="210"/>
      <c r="W145" s="211"/>
      <c r="X145" s="211"/>
      <c r="Y145" s="222"/>
      <c r="Z145" s="212"/>
      <c r="AA145" s="213"/>
      <c r="AB145" s="261"/>
      <c r="AC145" s="206"/>
      <c r="AD145" s="262"/>
      <c r="AE145" s="1276"/>
      <c r="AF145" s="210"/>
      <c r="AG145" s="211"/>
      <c r="AH145" s="211"/>
      <c r="AI145" s="222"/>
      <c r="AJ145" s="212"/>
      <c r="AK145" s="213"/>
      <c r="AL145" s="261"/>
      <c r="AM145" s="206"/>
      <c r="AN145" s="262"/>
    </row>
    <row r="146" spans="1:40" ht="10.5">
      <c r="A146" s="1276"/>
      <c r="B146" s="210"/>
      <c r="C146" s="211"/>
      <c r="D146" s="211"/>
      <c r="E146" s="222"/>
      <c r="F146" s="212"/>
      <c r="G146" s="404">
        <f>F146*E146</f>
        <v>0</v>
      </c>
      <c r="H146" s="261"/>
      <c r="I146" s="206"/>
      <c r="J146" s="262"/>
      <c r="K146" s="1273"/>
      <c r="L146" s="210"/>
      <c r="M146" s="211"/>
      <c r="N146" s="211"/>
      <c r="O146" s="222"/>
      <c r="P146" s="212"/>
      <c r="Q146" s="213"/>
      <c r="R146" s="261"/>
      <c r="S146" s="206"/>
      <c r="T146" s="262"/>
      <c r="U146" s="1276"/>
      <c r="V146" s="210"/>
      <c r="W146" s="211"/>
      <c r="X146" s="211"/>
      <c r="Y146" s="222"/>
      <c r="Z146" s="212"/>
      <c r="AA146" s="213"/>
      <c r="AB146" s="261"/>
      <c r="AC146" s="206"/>
      <c r="AD146" s="262"/>
      <c r="AE146" s="1276"/>
      <c r="AF146" s="210"/>
      <c r="AG146" s="211"/>
      <c r="AH146" s="211"/>
      <c r="AI146" s="222"/>
      <c r="AJ146" s="212"/>
      <c r="AK146" s="213"/>
      <c r="AL146" s="261"/>
      <c r="AM146" s="206"/>
      <c r="AN146" s="262"/>
    </row>
    <row r="147" spans="1:40" ht="10.5">
      <c r="A147" s="1276"/>
      <c r="B147" s="1271" t="s">
        <v>243</v>
      </c>
      <c r="C147" s="1237"/>
      <c r="D147" s="1237"/>
      <c r="E147" s="1237"/>
      <c r="F147" s="1238"/>
      <c r="G147" s="1231">
        <f>SUM(G143:G146)</f>
        <v>0</v>
      </c>
      <c r="H147" s="261"/>
      <c r="I147" s="206"/>
      <c r="J147" s="262"/>
      <c r="K147" s="1273"/>
      <c r="L147" s="223"/>
      <c r="M147" s="211"/>
      <c r="N147" s="211"/>
      <c r="O147" s="227"/>
      <c r="P147" s="243"/>
      <c r="Q147" s="226"/>
      <c r="R147" s="261"/>
      <c r="S147" s="206"/>
      <c r="T147" s="262"/>
      <c r="U147" s="1276"/>
      <c r="V147" s="223"/>
      <c r="W147" s="211"/>
      <c r="X147" s="211"/>
      <c r="Y147" s="227"/>
      <c r="Z147" s="243"/>
      <c r="AA147" s="226"/>
      <c r="AB147" s="261"/>
      <c r="AC147" s="206"/>
      <c r="AD147" s="262"/>
      <c r="AE147" s="1276"/>
      <c r="AF147" s="223"/>
      <c r="AG147" s="211"/>
      <c r="AH147" s="211"/>
      <c r="AI147" s="227"/>
      <c r="AJ147" s="243"/>
      <c r="AK147" s="226"/>
      <c r="AL147" s="261"/>
      <c r="AM147" s="206"/>
      <c r="AN147" s="262"/>
    </row>
    <row r="148" spans="1:40" ht="11" thickBot="1">
      <c r="A148" s="1276"/>
      <c r="B148" s="1233" t="s">
        <v>244</v>
      </c>
      <c r="C148" s="1234"/>
      <c r="D148" s="1234"/>
      <c r="E148" s="1234"/>
      <c r="F148" s="1235"/>
      <c r="G148" s="1232"/>
      <c r="H148" s="261"/>
      <c r="I148" s="206"/>
      <c r="J148" s="262"/>
      <c r="K148" s="1273"/>
      <c r="L148" s="179"/>
      <c r="M148" s="184"/>
      <c r="N148" s="184"/>
      <c r="O148" s="244"/>
      <c r="P148" s="195"/>
      <c r="Q148" s="180"/>
      <c r="R148" s="261"/>
      <c r="S148" s="206"/>
      <c r="T148" s="262"/>
      <c r="U148" s="1276"/>
      <c r="V148" s="179"/>
      <c r="W148" s="184"/>
      <c r="X148" s="184"/>
      <c r="Y148" s="244"/>
      <c r="Z148" s="195"/>
      <c r="AA148" s="180"/>
      <c r="AB148" s="261"/>
      <c r="AC148" s="206"/>
      <c r="AD148" s="262"/>
      <c r="AE148" s="1276"/>
      <c r="AF148" s="179"/>
      <c r="AG148" s="184"/>
      <c r="AH148" s="184"/>
      <c r="AI148" s="244"/>
      <c r="AJ148" s="195"/>
      <c r="AK148" s="180"/>
      <c r="AL148" s="261"/>
      <c r="AM148" s="206"/>
      <c r="AN148" s="262"/>
    </row>
    <row r="149" spans="1:40" ht="10.5" thickBot="1">
      <c r="A149" s="1276"/>
      <c r="B149" s="156"/>
      <c r="C149" s="157"/>
      <c r="D149" s="157"/>
      <c r="E149" s="144"/>
      <c r="F149" s="160"/>
      <c r="G149" s="157"/>
      <c r="H149" s="398">
        <f>SUM(H143:H148)</f>
        <v>0</v>
      </c>
      <c r="I149" s="399">
        <f>SUM(I143:I148)</f>
        <v>0</v>
      </c>
      <c r="J149" s="272"/>
      <c r="K149" s="1273"/>
      <c r="L149" s="156"/>
      <c r="M149" s="157"/>
      <c r="N149" s="157"/>
      <c r="O149" s="144"/>
      <c r="P149" s="160"/>
      <c r="Q149" s="157"/>
      <c r="R149" s="263"/>
      <c r="S149" s="264"/>
      <c r="T149" s="272"/>
      <c r="U149" s="1276"/>
      <c r="V149" s="156"/>
      <c r="W149" s="157"/>
      <c r="X149" s="157"/>
      <c r="Y149" s="144"/>
      <c r="Z149" s="160"/>
      <c r="AA149" s="157"/>
      <c r="AB149" s="263"/>
      <c r="AC149" s="264"/>
      <c r="AD149" s="272"/>
      <c r="AE149" s="1276"/>
      <c r="AF149" s="156"/>
      <c r="AG149" s="157"/>
      <c r="AH149" s="157"/>
      <c r="AI149" s="144"/>
      <c r="AJ149" s="160"/>
      <c r="AK149" s="157"/>
      <c r="AL149" s="263"/>
      <c r="AM149" s="264"/>
      <c r="AN149" s="272"/>
    </row>
    <row r="150" spans="1:40" ht="42">
      <c r="A150" s="1276"/>
      <c r="B150" s="265" t="s">
        <v>295</v>
      </c>
      <c r="C150" s="219" t="s">
        <v>245</v>
      </c>
      <c r="D150" s="219"/>
      <c r="E150" s="219" t="s">
        <v>240</v>
      </c>
      <c r="F150" s="239" t="s">
        <v>241</v>
      </c>
      <c r="G150" s="182" t="s">
        <v>242</v>
      </c>
      <c r="H150" s="144"/>
      <c r="I150" s="157"/>
      <c r="J150" s="146"/>
      <c r="K150" s="1273"/>
      <c r="L150" s="265"/>
      <c r="M150" s="219"/>
      <c r="N150" s="219"/>
      <c r="O150" s="219"/>
      <c r="P150" s="239"/>
      <c r="Q150" s="182"/>
      <c r="R150" s="144"/>
      <c r="S150" s="157"/>
      <c r="T150" s="146"/>
      <c r="U150" s="1276"/>
      <c r="V150" s="265"/>
      <c r="W150" s="219"/>
      <c r="X150" s="219"/>
      <c r="Y150" s="219"/>
      <c r="Z150" s="239"/>
      <c r="AA150" s="182"/>
      <c r="AB150" s="144"/>
      <c r="AC150" s="157"/>
      <c r="AD150" s="146"/>
      <c r="AE150" s="1276"/>
      <c r="AF150" s="265"/>
      <c r="AG150" s="219"/>
      <c r="AH150" s="219"/>
      <c r="AI150" s="219"/>
      <c r="AJ150" s="239"/>
      <c r="AK150" s="182"/>
      <c r="AL150" s="144"/>
      <c r="AM150" s="157"/>
      <c r="AN150" s="146"/>
    </row>
    <row r="151" spans="1:40" ht="10.5">
      <c r="A151" s="1276"/>
      <c r="B151" s="207"/>
      <c r="C151" s="211"/>
      <c r="D151" s="211"/>
      <c r="E151" s="240"/>
      <c r="F151" s="241"/>
      <c r="G151" s="405">
        <f>E151*F151</f>
        <v>0</v>
      </c>
      <c r="H151" s="144"/>
      <c r="I151" s="157"/>
      <c r="J151" s="147"/>
      <c r="K151" s="1273"/>
      <c r="L151" s="207"/>
      <c r="M151" s="211"/>
      <c r="N151" s="211"/>
      <c r="O151" s="240"/>
      <c r="P151" s="241"/>
      <c r="Q151" s="242"/>
      <c r="R151" s="144"/>
      <c r="S151" s="157"/>
      <c r="T151" s="147"/>
      <c r="U151" s="1276"/>
      <c r="V151" s="207"/>
      <c r="W151" s="211"/>
      <c r="X151" s="211"/>
      <c r="Y151" s="240"/>
      <c r="Z151" s="241"/>
      <c r="AA151" s="242"/>
      <c r="AB151" s="144"/>
      <c r="AC151" s="157"/>
      <c r="AD151" s="147"/>
      <c r="AE151" s="1276"/>
      <c r="AF151" s="207"/>
      <c r="AG151" s="211"/>
      <c r="AH151" s="211"/>
      <c r="AI151" s="240"/>
      <c r="AJ151" s="241"/>
      <c r="AK151" s="242"/>
      <c r="AL151" s="144"/>
      <c r="AM151" s="157"/>
      <c r="AN151" s="147"/>
    </row>
    <row r="152" spans="1:40" ht="10.5">
      <c r="A152" s="1276"/>
      <c r="B152" s="207"/>
      <c r="C152" s="211"/>
      <c r="D152" s="211"/>
      <c r="E152" s="240"/>
      <c r="F152" s="241"/>
      <c r="G152" s="405">
        <f>E152*F152</f>
        <v>0</v>
      </c>
      <c r="H152" s="144"/>
      <c r="I152" s="157"/>
      <c r="J152" s="147"/>
      <c r="K152" s="1273"/>
      <c r="L152" s="207"/>
      <c r="M152" s="211"/>
      <c r="N152" s="211"/>
      <c r="O152" s="240"/>
      <c r="P152" s="241"/>
      <c r="Q152" s="242"/>
      <c r="R152" s="144"/>
      <c r="S152" s="157"/>
      <c r="T152" s="147"/>
      <c r="U152" s="1276"/>
      <c r="V152" s="207"/>
      <c r="W152" s="211"/>
      <c r="X152" s="211"/>
      <c r="Y152" s="240"/>
      <c r="Z152" s="241"/>
      <c r="AA152" s="242"/>
      <c r="AB152" s="144"/>
      <c r="AC152" s="157"/>
      <c r="AD152" s="147"/>
      <c r="AE152" s="1276"/>
      <c r="AF152" s="207"/>
      <c r="AG152" s="211"/>
      <c r="AH152" s="211"/>
      <c r="AI152" s="240"/>
      <c r="AJ152" s="241"/>
      <c r="AK152" s="242"/>
      <c r="AL152" s="144"/>
      <c r="AM152" s="157"/>
      <c r="AN152" s="147"/>
    </row>
    <row r="153" spans="1:40" ht="11" thickBot="1">
      <c r="A153" s="1276"/>
      <c r="B153" s="183" t="s">
        <v>246</v>
      </c>
      <c r="C153" s="184"/>
      <c r="D153" s="184"/>
      <c r="E153" s="185"/>
      <c r="F153" s="186"/>
      <c r="G153" s="400">
        <f>SUM(G151:G152)</f>
        <v>0</v>
      </c>
      <c r="H153" s="152"/>
      <c r="I153" s="157"/>
      <c r="J153" s="147"/>
      <c r="K153" s="1273"/>
      <c r="L153" s="183"/>
      <c r="M153" s="184"/>
      <c r="N153" s="184"/>
      <c r="O153" s="185"/>
      <c r="P153" s="186"/>
      <c r="Q153" s="187"/>
      <c r="R153" s="152"/>
      <c r="S153" s="157"/>
      <c r="T153" s="147"/>
      <c r="U153" s="1276"/>
      <c r="V153" s="183"/>
      <c r="W153" s="184"/>
      <c r="X153" s="184"/>
      <c r="Y153" s="185"/>
      <c r="Z153" s="186"/>
      <c r="AA153" s="187"/>
      <c r="AB153" s="152"/>
      <c r="AC153" s="157"/>
      <c r="AD153" s="147"/>
      <c r="AE153" s="1276"/>
      <c r="AF153" s="183"/>
      <c r="AG153" s="184"/>
      <c r="AH153" s="184"/>
      <c r="AI153" s="185"/>
      <c r="AJ153" s="186"/>
      <c r="AK153" s="187"/>
      <c r="AL153" s="152"/>
      <c r="AM153" s="157"/>
      <c r="AN153" s="147"/>
    </row>
    <row r="154" spans="1:40" ht="10.5" thickBot="1">
      <c r="A154" s="1276"/>
      <c r="B154" s="191"/>
      <c r="C154" s="157"/>
      <c r="D154" s="157"/>
      <c r="E154" s="144"/>
      <c r="F154" s="160"/>
      <c r="G154" s="157"/>
      <c r="H154" s="144"/>
      <c r="I154" s="157"/>
      <c r="J154" s="147"/>
      <c r="K154" s="1273"/>
      <c r="L154" s="191"/>
      <c r="M154" s="157"/>
      <c r="N154" s="157"/>
      <c r="O154" s="144"/>
      <c r="P154" s="160"/>
      <c r="Q154" s="157"/>
      <c r="R154" s="144"/>
      <c r="S154" s="157"/>
      <c r="T154" s="147"/>
      <c r="U154" s="1276"/>
      <c r="V154" s="191"/>
      <c r="W154" s="157"/>
      <c r="X154" s="157"/>
      <c r="Y154" s="144"/>
      <c r="Z154" s="160"/>
      <c r="AA154" s="157"/>
      <c r="AB154" s="144"/>
      <c r="AC154" s="157"/>
      <c r="AD154" s="147"/>
      <c r="AE154" s="1276"/>
      <c r="AF154" s="191"/>
      <c r="AG154" s="157"/>
      <c r="AH154" s="157"/>
      <c r="AI154" s="144"/>
      <c r="AJ154" s="160"/>
      <c r="AK154" s="157"/>
      <c r="AL154" s="144"/>
      <c r="AM154" s="157"/>
      <c r="AN154" s="147"/>
    </row>
    <row r="155" spans="1:40" ht="14">
      <c r="A155" s="1276"/>
      <c r="B155" s="188" t="s">
        <v>247</v>
      </c>
      <c r="C155" s="395">
        <f>+C135</f>
        <v>0</v>
      </c>
      <c r="D155" s="162"/>
      <c r="E155" s="144"/>
      <c r="F155" s="160"/>
      <c r="G155" s="157"/>
      <c r="H155" s="144"/>
      <c r="I155" s="157"/>
      <c r="J155" s="147"/>
      <c r="K155" s="1273"/>
      <c r="L155" s="188"/>
      <c r="M155" s="189"/>
      <c r="N155" s="162"/>
      <c r="O155" s="144"/>
      <c r="P155" s="160"/>
      <c r="Q155" s="157"/>
      <c r="R155" s="144"/>
      <c r="S155" s="157"/>
      <c r="T155" s="147"/>
      <c r="U155" s="1276"/>
      <c r="V155" s="188"/>
      <c r="W155" s="189"/>
      <c r="X155" s="162"/>
      <c r="Y155" s="144"/>
      <c r="Z155" s="160"/>
      <c r="AA155" s="157"/>
      <c r="AB155" s="144"/>
      <c r="AC155" s="157"/>
      <c r="AD155" s="147"/>
      <c r="AE155" s="1276"/>
      <c r="AF155" s="188"/>
      <c r="AG155" s="189"/>
      <c r="AH155" s="162"/>
      <c r="AI155" s="144"/>
      <c r="AJ155" s="160"/>
      <c r="AK155" s="157"/>
      <c r="AL155" s="144"/>
      <c r="AM155" s="157"/>
      <c r="AN155" s="147"/>
    </row>
    <row r="156" spans="1:40" ht="15.5">
      <c r="A156" s="1276"/>
      <c r="B156" s="208" t="s">
        <v>248</v>
      </c>
      <c r="C156" s="396">
        <f>(G153+G148)</f>
        <v>0</v>
      </c>
      <c r="D156" s="162"/>
      <c r="E156" s="144"/>
      <c r="F156" s="163"/>
      <c r="G156" s="157"/>
      <c r="H156" s="144"/>
      <c r="I156" s="157"/>
      <c r="J156" s="147"/>
      <c r="K156" s="1273"/>
      <c r="L156" s="208"/>
      <c r="M156" s="209"/>
      <c r="N156" s="162"/>
      <c r="O156" s="144"/>
      <c r="P156" s="163"/>
      <c r="Q156" s="157"/>
      <c r="R156" s="144"/>
      <c r="S156" s="157"/>
      <c r="T156" s="147"/>
      <c r="U156" s="1276"/>
      <c r="V156" s="208"/>
      <c r="W156" s="209"/>
      <c r="X156" s="162"/>
      <c r="Y156" s="144"/>
      <c r="Z156" s="163"/>
      <c r="AA156" s="157"/>
      <c r="AB156" s="144"/>
      <c r="AC156" s="157"/>
      <c r="AD156" s="147"/>
      <c r="AE156" s="1276"/>
      <c r="AF156" s="208"/>
      <c r="AG156" s="209"/>
      <c r="AH156" s="162"/>
      <c r="AI156" s="144"/>
      <c r="AJ156" s="163"/>
      <c r="AK156" s="157"/>
      <c r="AL156" s="144"/>
      <c r="AM156" s="157"/>
      <c r="AN156" s="147"/>
    </row>
    <row r="157" spans="1:40" ht="15.5">
      <c r="A157" s="1276"/>
      <c r="B157" s="208" t="s">
        <v>249</v>
      </c>
      <c r="C157" s="396">
        <f>C155/100*1.5</f>
        <v>0</v>
      </c>
      <c r="D157" s="162"/>
      <c r="E157" s="144"/>
      <c r="F157" s="163"/>
      <c r="G157" s="157"/>
      <c r="H157" s="144"/>
      <c r="I157" s="157"/>
      <c r="J157" s="147"/>
      <c r="K157" s="1273"/>
      <c r="L157" s="208"/>
      <c r="M157" s="209"/>
      <c r="N157" s="162"/>
      <c r="O157" s="144"/>
      <c r="P157" s="163"/>
      <c r="Q157" s="157"/>
      <c r="R157" s="144"/>
      <c r="S157" s="157"/>
      <c r="T157" s="147"/>
      <c r="U157" s="1276"/>
      <c r="V157" s="208"/>
      <c r="W157" s="209"/>
      <c r="X157" s="162"/>
      <c r="Y157" s="144"/>
      <c r="Z157" s="163"/>
      <c r="AA157" s="157"/>
      <c r="AB157" s="144"/>
      <c r="AC157" s="157"/>
      <c r="AD157" s="147"/>
      <c r="AE157" s="1276"/>
      <c r="AF157" s="208"/>
      <c r="AG157" s="209"/>
      <c r="AH157" s="162"/>
      <c r="AI157" s="144"/>
      <c r="AJ157" s="163"/>
      <c r="AK157" s="157"/>
      <c r="AL157" s="144"/>
      <c r="AM157" s="157"/>
      <c r="AN157" s="147"/>
    </row>
    <row r="158" spans="1:40" ht="15.5">
      <c r="A158" s="1276"/>
      <c r="B158" s="208" t="s">
        <v>284</v>
      </c>
      <c r="C158" s="396">
        <f>C137</f>
        <v>0</v>
      </c>
      <c r="D158" s="162"/>
      <c r="E158" s="144"/>
      <c r="F158" s="163"/>
      <c r="G158" s="157"/>
      <c r="H158" s="144"/>
      <c r="I158" s="157"/>
      <c r="J158" s="147"/>
      <c r="K158" s="1273"/>
      <c r="L158" s="208"/>
      <c r="M158" s="209"/>
      <c r="N158" s="162"/>
      <c r="O158" s="144"/>
      <c r="P158" s="163"/>
      <c r="Q158" s="157"/>
      <c r="R158" s="144"/>
      <c r="S158" s="157"/>
      <c r="T158" s="147"/>
      <c r="U158" s="1276"/>
      <c r="V158" s="208"/>
      <c r="W158" s="209"/>
      <c r="X158" s="162"/>
      <c r="Y158" s="144"/>
      <c r="Z158" s="163"/>
      <c r="AA158" s="157"/>
      <c r="AB158" s="144"/>
      <c r="AC158" s="157"/>
      <c r="AD158" s="147"/>
      <c r="AE158" s="1276"/>
      <c r="AF158" s="208"/>
      <c r="AG158" s="209"/>
      <c r="AH158" s="162"/>
      <c r="AI158" s="144"/>
      <c r="AJ158" s="163"/>
      <c r="AK158" s="157"/>
      <c r="AL158" s="144"/>
      <c r="AM158" s="157"/>
      <c r="AN158" s="147"/>
    </row>
    <row r="159" spans="1:40" ht="15.5">
      <c r="A159" s="1276"/>
      <c r="B159" s="208" t="s">
        <v>292</v>
      </c>
      <c r="C159" s="396">
        <f>H137</f>
        <v>0</v>
      </c>
      <c r="D159" s="162"/>
      <c r="E159" s="144"/>
      <c r="F159" s="163"/>
      <c r="G159" s="157"/>
      <c r="H159" s="144"/>
      <c r="I159" s="157"/>
      <c r="J159" s="147"/>
      <c r="K159" s="1273"/>
      <c r="L159" s="208"/>
      <c r="M159" s="209"/>
      <c r="N159" s="162"/>
      <c r="O159" s="144"/>
      <c r="P159" s="163"/>
      <c r="Q159" s="157"/>
      <c r="R159" s="144"/>
      <c r="S159" s="157"/>
      <c r="T159" s="147"/>
      <c r="U159" s="1276"/>
      <c r="V159" s="208"/>
      <c r="W159" s="209"/>
      <c r="X159" s="162"/>
      <c r="Y159" s="144"/>
      <c r="Z159" s="163"/>
      <c r="AA159" s="157"/>
      <c r="AB159" s="144"/>
      <c r="AC159" s="157"/>
      <c r="AD159" s="147"/>
      <c r="AE159" s="1276"/>
      <c r="AF159" s="208"/>
      <c r="AG159" s="209"/>
      <c r="AH159" s="162"/>
      <c r="AI159" s="144"/>
      <c r="AJ159" s="163"/>
      <c r="AK159" s="157"/>
      <c r="AL159" s="144"/>
      <c r="AM159" s="157"/>
      <c r="AN159" s="147"/>
    </row>
    <row r="160" spans="1:40" ht="15.5">
      <c r="A160" s="1276"/>
      <c r="B160" s="208" t="s">
        <v>74</v>
      </c>
      <c r="C160" s="396">
        <f>H149</f>
        <v>0</v>
      </c>
      <c r="D160" s="162"/>
      <c r="E160" s="144"/>
      <c r="F160" s="163"/>
      <c r="G160" s="157"/>
      <c r="H160" s="144"/>
      <c r="I160" s="157"/>
      <c r="J160" s="147"/>
      <c r="K160" s="1273"/>
      <c r="L160" s="208"/>
      <c r="M160" s="209"/>
      <c r="N160" s="162"/>
      <c r="O160" s="144"/>
      <c r="P160" s="163"/>
      <c r="Q160" s="157"/>
      <c r="R160" s="144"/>
      <c r="S160" s="157"/>
      <c r="T160" s="147"/>
      <c r="U160" s="1276"/>
      <c r="V160" s="208"/>
      <c r="W160" s="209"/>
      <c r="X160" s="162"/>
      <c r="Y160" s="144"/>
      <c r="Z160" s="163"/>
      <c r="AA160" s="157"/>
      <c r="AB160" s="144"/>
      <c r="AC160" s="157"/>
      <c r="AD160" s="147"/>
      <c r="AE160" s="1276"/>
      <c r="AF160" s="208"/>
      <c r="AG160" s="209"/>
      <c r="AH160" s="162"/>
      <c r="AI160" s="144"/>
      <c r="AJ160" s="163"/>
      <c r="AK160" s="157"/>
      <c r="AL160" s="144"/>
      <c r="AM160" s="157"/>
      <c r="AN160" s="147"/>
    </row>
    <row r="161" spans="1:40" ht="15.5">
      <c r="A161" s="1276"/>
      <c r="B161" s="208" t="s">
        <v>293</v>
      </c>
      <c r="C161" s="396">
        <f>I149</f>
        <v>0</v>
      </c>
      <c r="D161" s="162"/>
      <c r="E161" s="144"/>
      <c r="F161" s="163"/>
      <c r="G161" s="157"/>
      <c r="H161" s="144"/>
      <c r="I161" s="157"/>
      <c r="J161" s="147"/>
      <c r="K161" s="1273"/>
      <c r="L161" s="208"/>
      <c r="M161" s="209"/>
      <c r="N161" s="162"/>
      <c r="O161" s="144"/>
      <c r="P161" s="163"/>
      <c r="Q161" s="157"/>
      <c r="R161" s="144"/>
      <c r="S161" s="157"/>
      <c r="T161" s="147"/>
      <c r="U161" s="1276"/>
      <c r="V161" s="208"/>
      <c r="W161" s="209"/>
      <c r="X161" s="162"/>
      <c r="Y161" s="144"/>
      <c r="Z161" s="163"/>
      <c r="AA161" s="157"/>
      <c r="AB161" s="144"/>
      <c r="AC161" s="157"/>
      <c r="AD161" s="147"/>
      <c r="AE161" s="1276"/>
      <c r="AF161" s="208"/>
      <c r="AG161" s="209"/>
      <c r="AH161" s="162"/>
      <c r="AI161" s="144"/>
      <c r="AJ161" s="163"/>
      <c r="AK161" s="157"/>
      <c r="AL161" s="144"/>
      <c r="AM161" s="157"/>
      <c r="AN161" s="147"/>
    </row>
    <row r="162" spans="1:40" ht="15.5">
      <c r="A162" s="1276"/>
      <c r="B162" s="208" t="s">
        <v>250</v>
      </c>
      <c r="C162" s="396">
        <f>(C155+C156)/100*2</f>
        <v>0</v>
      </c>
      <c r="D162" s="162"/>
      <c r="E162" s="144"/>
      <c r="F162" s="163"/>
      <c r="G162" s="157"/>
      <c r="H162" s="144"/>
      <c r="I162" s="157"/>
      <c r="J162" s="147"/>
      <c r="K162" s="1273"/>
      <c r="L162" s="208"/>
      <c r="M162" s="209"/>
      <c r="N162" s="162"/>
      <c r="O162" s="144"/>
      <c r="P162" s="163"/>
      <c r="Q162" s="157"/>
      <c r="R162" s="144"/>
      <c r="S162" s="157"/>
      <c r="T162" s="147"/>
      <c r="U162" s="1276"/>
      <c r="V162" s="208"/>
      <c r="W162" s="209"/>
      <c r="X162" s="162"/>
      <c r="Y162" s="144"/>
      <c r="Z162" s="163"/>
      <c r="AA162" s="157"/>
      <c r="AB162" s="144"/>
      <c r="AC162" s="157"/>
      <c r="AD162" s="147"/>
      <c r="AE162" s="1276"/>
      <c r="AF162" s="208"/>
      <c r="AG162" s="209"/>
      <c r="AH162" s="162"/>
      <c r="AI162" s="144"/>
      <c r="AJ162" s="163"/>
      <c r="AK162" s="157"/>
      <c r="AL162" s="144"/>
      <c r="AM162" s="157"/>
      <c r="AN162" s="147"/>
    </row>
    <row r="163" spans="1:40" ht="14">
      <c r="A163" s="1276"/>
      <c r="B163" s="229" t="s">
        <v>251</v>
      </c>
      <c r="C163" s="396">
        <f>C156*5%</f>
        <v>0</v>
      </c>
      <c r="D163" s="162"/>
      <c r="E163" s="144"/>
      <c r="F163" s="160"/>
      <c r="G163" s="157"/>
      <c r="H163" s="144"/>
      <c r="I163" s="157"/>
      <c r="J163" s="147"/>
      <c r="K163" s="1273"/>
      <c r="L163" s="229"/>
      <c r="M163" s="209"/>
      <c r="N163" s="162"/>
      <c r="O163" s="144"/>
      <c r="P163" s="160"/>
      <c r="Q163" s="157"/>
      <c r="R163" s="144"/>
      <c r="S163" s="157"/>
      <c r="T163" s="147"/>
      <c r="U163" s="1276"/>
      <c r="V163" s="229"/>
      <c r="W163" s="209"/>
      <c r="X163" s="162"/>
      <c r="Y163" s="144"/>
      <c r="Z163" s="160"/>
      <c r="AA163" s="157"/>
      <c r="AB163" s="144"/>
      <c r="AC163" s="157"/>
      <c r="AD163" s="147"/>
      <c r="AE163" s="1276"/>
      <c r="AF163" s="229"/>
      <c r="AG163" s="209"/>
      <c r="AH163" s="162"/>
      <c r="AI163" s="144"/>
      <c r="AJ163" s="160"/>
      <c r="AK163" s="157"/>
      <c r="AL163" s="144"/>
      <c r="AM163" s="157"/>
      <c r="AN163" s="147"/>
    </row>
    <row r="164" spans="1:40" ht="14">
      <c r="A164" s="1276"/>
      <c r="B164" s="229" t="s">
        <v>252</v>
      </c>
      <c r="C164" s="396">
        <f>(C156+C155)*10%</f>
        <v>0</v>
      </c>
      <c r="D164" s="162"/>
      <c r="E164" s="144"/>
      <c r="F164" s="160"/>
      <c r="G164" s="157"/>
      <c r="H164" s="144"/>
      <c r="I164" s="157"/>
      <c r="J164" s="147"/>
      <c r="K164" s="1273"/>
      <c r="L164" s="229"/>
      <c r="M164" s="209"/>
      <c r="N164" s="162"/>
      <c r="O164" s="144"/>
      <c r="P164" s="160"/>
      <c r="Q164" s="157"/>
      <c r="R164" s="144"/>
      <c r="S164" s="157"/>
      <c r="T164" s="147"/>
      <c r="U164" s="1276"/>
      <c r="V164" s="229"/>
      <c r="W164" s="209"/>
      <c r="X164" s="162"/>
      <c r="Y164" s="144"/>
      <c r="Z164" s="160"/>
      <c r="AA164" s="157"/>
      <c r="AB164" s="144"/>
      <c r="AC164" s="157"/>
      <c r="AD164" s="147"/>
      <c r="AE164" s="1276"/>
      <c r="AF164" s="229"/>
      <c r="AG164" s="209"/>
      <c r="AH164" s="162"/>
      <c r="AI164" s="144"/>
      <c r="AJ164" s="160"/>
      <c r="AK164" s="157"/>
      <c r="AL164" s="144"/>
      <c r="AM164" s="157"/>
      <c r="AN164" s="147"/>
    </row>
    <row r="165" spans="1:40" ht="17.5" thickBot="1">
      <c r="A165" s="1277"/>
      <c r="B165" s="173" t="s">
        <v>246</v>
      </c>
      <c r="C165" s="397">
        <f>SUM(C155:C164)</f>
        <v>0</v>
      </c>
      <c r="D165" s="164"/>
      <c r="E165" s="165"/>
      <c r="F165" s="165"/>
      <c r="G165" s="166"/>
      <c r="H165" s="167"/>
      <c r="I165" s="166"/>
      <c r="J165" s="196"/>
      <c r="K165" s="1274"/>
      <c r="L165" s="173"/>
      <c r="M165" s="190"/>
      <c r="N165" s="164"/>
      <c r="O165" s="165"/>
      <c r="P165" s="165"/>
      <c r="Q165" s="166"/>
      <c r="R165" s="167"/>
      <c r="S165" s="166"/>
      <c r="T165" s="196"/>
      <c r="U165" s="1277"/>
      <c r="V165" s="173"/>
      <c r="W165" s="190"/>
      <c r="X165" s="164"/>
      <c r="Y165" s="165"/>
      <c r="Z165" s="165"/>
      <c r="AA165" s="166"/>
      <c r="AB165" s="167"/>
      <c r="AC165" s="166"/>
      <c r="AD165" s="196"/>
      <c r="AE165" s="1277"/>
      <c r="AF165" s="173"/>
      <c r="AG165" s="190"/>
      <c r="AH165" s="164"/>
      <c r="AI165" s="165"/>
      <c r="AJ165" s="165"/>
      <c r="AK165" s="166"/>
      <c r="AL165" s="167"/>
      <c r="AM165" s="166"/>
      <c r="AN165" s="196"/>
    </row>
    <row r="166" spans="1:40" ht="11.25" customHeight="1">
      <c r="A166" s="1203" t="s">
        <v>440</v>
      </c>
      <c r="B166" s="1203"/>
      <c r="C166" s="1203"/>
      <c r="D166" s="1203"/>
      <c r="E166" s="1203"/>
      <c r="F166" s="1203"/>
      <c r="G166" s="1203"/>
      <c r="H166" s="1203"/>
      <c r="I166" s="1203"/>
      <c r="J166" s="1203"/>
      <c r="K166" s="1203"/>
      <c r="L166" s="1203"/>
      <c r="M166" s="1203"/>
      <c r="N166" s="1203"/>
      <c r="O166" s="1203"/>
      <c r="P166" s="1203"/>
      <c r="Q166" s="1203"/>
      <c r="R166" s="1203"/>
      <c r="S166" s="1203"/>
      <c r="T166" s="1203"/>
      <c r="U166" s="1203"/>
      <c r="V166" s="1203"/>
      <c r="W166" s="1203"/>
      <c r="X166" s="1203"/>
      <c r="Y166" s="1203"/>
      <c r="Z166" s="1203"/>
      <c r="AA166" s="1203"/>
      <c r="AB166" s="1203"/>
      <c r="AC166" s="1203"/>
      <c r="AD166" s="1203"/>
      <c r="AE166" s="1203"/>
      <c r="AF166" s="1203"/>
      <c r="AG166" s="1203"/>
      <c r="AH166" s="1203"/>
      <c r="AI166" s="1203"/>
      <c r="AJ166" s="1203"/>
      <c r="AK166" s="1203"/>
      <c r="AL166" s="1203"/>
      <c r="AM166" s="1203"/>
      <c r="AN166" s="1204"/>
    </row>
    <row r="167" spans="1:40" ht="11.25" customHeight="1">
      <c r="A167" s="1203"/>
      <c r="B167" s="1203"/>
      <c r="C167" s="1203"/>
      <c r="D167" s="1203"/>
      <c r="E167" s="1203"/>
      <c r="F167" s="1203"/>
      <c r="G167" s="1203"/>
      <c r="H167" s="1203"/>
      <c r="I167" s="1203"/>
      <c r="J167" s="1203"/>
      <c r="K167" s="1203"/>
      <c r="L167" s="1203"/>
      <c r="M167" s="1203"/>
      <c r="N167" s="1203"/>
      <c r="O167" s="1203"/>
      <c r="P167" s="1203"/>
      <c r="Q167" s="1203"/>
      <c r="R167" s="1203"/>
      <c r="S167" s="1203"/>
      <c r="T167" s="1203"/>
      <c r="U167" s="1203"/>
      <c r="V167" s="1203"/>
      <c r="W167" s="1203"/>
      <c r="X167" s="1203"/>
      <c r="Y167" s="1203"/>
      <c r="Z167" s="1203"/>
      <c r="AA167" s="1203"/>
      <c r="AB167" s="1203"/>
      <c r="AC167" s="1203"/>
      <c r="AD167" s="1203"/>
      <c r="AE167" s="1203"/>
      <c r="AF167" s="1203"/>
      <c r="AG167" s="1203"/>
      <c r="AH167" s="1203"/>
      <c r="AI167" s="1203"/>
      <c r="AJ167" s="1203"/>
      <c r="AK167" s="1203"/>
      <c r="AL167" s="1203"/>
      <c r="AM167" s="1203"/>
      <c r="AN167" s="1204"/>
    </row>
    <row r="168" spans="1:40" ht="11.25" customHeight="1">
      <c r="A168" s="1203"/>
      <c r="B168" s="1203"/>
      <c r="C168" s="1203"/>
      <c r="D168" s="1203"/>
      <c r="E168" s="1203"/>
      <c r="F168" s="1203"/>
      <c r="G168" s="1203"/>
      <c r="H168" s="1203"/>
      <c r="I168" s="1203"/>
      <c r="J168" s="1203"/>
      <c r="K168" s="1203"/>
      <c r="L168" s="1203"/>
      <c r="M168" s="1203"/>
      <c r="N168" s="1203"/>
      <c r="O168" s="1203"/>
      <c r="P168" s="1203"/>
      <c r="Q168" s="1203"/>
      <c r="R168" s="1203"/>
      <c r="S168" s="1203"/>
      <c r="T168" s="1203"/>
      <c r="U168" s="1203"/>
      <c r="V168" s="1203"/>
      <c r="W168" s="1203"/>
      <c r="X168" s="1203"/>
      <c r="Y168" s="1203"/>
      <c r="Z168" s="1203"/>
      <c r="AA168" s="1203"/>
      <c r="AB168" s="1203"/>
      <c r="AC168" s="1203"/>
      <c r="AD168" s="1203"/>
      <c r="AE168" s="1203"/>
      <c r="AF168" s="1203"/>
      <c r="AG168" s="1203"/>
      <c r="AH168" s="1203"/>
      <c r="AI168" s="1203"/>
      <c r="AJ168" s="1203"/>
      <c r="AK168" s="1203"/>
      <c r="AL168" s="1203"/>
      <c r="AM168" s="1203"/>
      <c r="AN168" s="1204"/>
    </row>
    <row r="169" spans="1:40" ht="11.25" customHeight="1" thickBot="1">
      <c r="A169" s="1203"/>
      <c r="B169" s="1203"/>
      <c r="C169" s="1203"/>
      <c r="D169" s="1203"/>
      <c r="E169" s="1203"/>
      <c r="F169" s="1203"/>
      <c r="G169" s="1203"/>
      <c r="H169" s="1203"/>
      <c r="I169" s="1203"/>
      <c r="J169" s="1203"/>
      <c r="K169" s="1203"/>
      <c r="L169" s="1203"/>
      <c r="M169" s="1203"/>
      <c r="N169" s="1203"/>
      <c r="O169" s="1203"/>
      <c r="P169" s="1203"/>
      <c r="Q169" s="1203"/>
      <c r="R169" s="1203"/>
      <c r="S169" s="1203"/>
      <c r="T169" s="1203"/>
      <c r="U169" s="1203"/>
      <c r="V169" s="1203"/>
      <c r="W169" s="1203"/>
      <c r="X169" s="1203"/>
      <c r="Y169" s="1203"/>
      <c r="Z169" s="1203"/>
      <c r="AA169" s="1203"/>
      <c r="AB169" s="1203"/>
      <c r="AC169" s="1203"/>
      <c r="AD169" s="1203"/>
      <c r="AE169" s="1203"/>
      <c r="AF169" s="1203"/>
      <c r="AG169" s="1203"/>
      <c r="AH169" s="1203"/>
      <c r="AI169" s="1203"/>
      <c r="AJ169" s="1203"/>
      <c r="AK169" s="1203"/>
      <c r="AL169" s="1203"/>
      <c r="AM169" s="1203"/>
      <c r="AN169" s="1204"/>
    </row>
    <row r="170" spans="1:40" ht="12" customHeight="1" thickBot="1">
      <c r="A170" s="1205"/>
      <c r="B170" s="178" t="s">
        <v>219</v>
      </c>
      <c r="C170" s="1207" t="str">
        <f>RFCE!D6</f>
        <v>SI20224397</v>
      </c>
      <c r="D170" s="1208"/>
      <c r="E170" s="1209" t="s">
        <v>424</v>
      </c>
      <c r="F170" s="1210"/>
      <c r="G170" s="1210"/>
      <c r="H170" s="1210"/>
      <c r="I170" s="1210"/>
      <c r="J170" s="1211"/>
      <c r="K170" s="1205"/>
      <c r="L170" s="178"/>
      <c r="M170" s="1207"/>
      <c r="N170" s="1208"/>
      <c r="O170" s="1209"/>
      <c r="P170" s="1210"/>
      <c r="Q170" s="1210"/>
      <c r="R170" s="1210"/>
      <c r="S170" s="1210"/>
      <c r="T170" s="1211"/>
      <c r="U170" s="1205"/>
      <c r="V170" s="178"/>
      <c r="W170" s="1207"/>
      <c r="X170" s="1208"/>
      <c r="Y170" s="1209"/>
      <c r="Z170" s="1210"/>
      <c r="AA170" s="1210"/>
      <c r="AB170" s="1210"/>
      <c r="AC170" s="1210"/>
      <c r="AD170" s="1211"/>
      <c r="AE170" s="1205"/>
      <c r="AF170" s="178"/>
      <c r="AG170" s="1207"/>
      <c r="AH170" s="1208"/>
      <c r="AI170" s="1209"/>
      <c r="AJ170" s="1210"/>
      <c r="AK170" s="1210"/>
      <c r="AL170" s="1210"/>
      <c r="AM170" s="1210"/>
      <c r="AN170" s="1211"/>
    </row>
    <row r="171" spans="1:40" ht="22.5" thickBot="1">
      <c r="A171" s="1206"/>
      <c r="B171" s="203" t="s">
        <v>17</v>
      </c>
      <c r="C171" s="1207"/>
      <c r="D171" s="1212"/>
      <c r="E171" s="1212"/>
      <c r="F171" s="1212"/>
      <c r="G171" s="1212"/>
      <c r="H171" s="1212"/>
      <c r="I171" s="1212"/>
      <c r="J171" s="1213"/>
      <c r="K171" s="1206"/>
      <c r="L171" s="203"/>
      <c r="M171" s="1207"/>
      <c r="N171" s="1212"/>
      <c r="O171" s="1212"/>
      <c r="P171" s="1212"/>
      <c r="Q171" s="1212"/>
      <c r="R171" s="1212"/>
      <c r="S171" s="1212"/>
      <c r="T171" s="1213"/>
      <c r="U171" s="1206"/>
      <c r="V171" s="203"/>
      <c r="W171" s="1207"/>
      <c r="X171" s="1212"/>
      <c r="Y171" s="1212"/>
      <c r="Z171" s="1212"/>
      <c r="AA171" s="1212"/>
      <c r="AB171" s="1212"/>
      <c r="AC171" s="1212"/>
      <c r="AD171" s="1213"/>
      <c r="AE171" s="1206"/>
      <c r="AF171" s="203"/>
      <c r="AG171" s="1207"/>
      <c r="AH171" s="1212"/>
      <c r="AI171" s="1212"/>
      <c r="AJ171" s="1212"/>
      <c r="AK171" s="1212"/>
      <c r="AL171" s="1212"/>
      <c r="AM171" s="1212"/>
      <c r="AN171" s="1213"/>
    </row>
    <row r="172" spans="1:40" ht="16" thickBot="1">
      <c r="A172" s="1206"/>
      <c r="B172" s="202" t="s">
        <v>283</v>
      </c>
      <c r="C172" s="1214"/>
      <c r="D172" s="1215"/>
      <c r="E172" s="1215"/>
      <c r="F172" s="1215"/>
      <c r="G172" s="1215"/>
      <c r="H172" s="1215"/>
      <c r="I172" s="1215"/>
      <c r="J172" s="1216"/>
      <c r="K172" s="1206"/>
      <c r="L172" s="202"/>
      <c r="M172" s="1214"/>
      <c r="N172" s="1215"/>
      <c r="O172" s="1215"/>
      <c r="P172" s="1215"/>
      <c r="Q172" s="1215"/>
      <c r="R172" s="1215"/>
      <c r="S172" s="1215"/>
      <c r="T172" s="1216"/>
      <c r="U172" s="1206"/>
      <c r="V172" s="202"/>
      <c r="W172" s="1214"/>
      <c r="X172" s="1215"/>
      <c r="Y172" s="1215"/>
      <c r="Z172" s="1215"/>
      <c r="AA172" s="1215"/>
      <c r="AB172" s="1215"/>
      <c r="AC172" s="1215"/>
      <c r="AD172" s="1216"/>
      <c r="AE172" s="1206"/>
      <c r="AF172" s="202"/>
      <c r="AG172" s="1214"/>
      <c r="AH172" s="1215"/>
      <c r="AI172" s="1215"/>
      <c r="AJ172" s="1215"/>
      <c r="AK172" s="1215"/>
      <c r="AL172" s="1215"/>
      <c r="AM172" s="1215"/>
      <c r="AN172" s="1216"/>
    </row>
    <row r="173" spans="1:40" ht="11" thickBot="1">
      <c r="A173" s="1206"/>
      <c r="B173" s="1217" t="s">
        <v>73</v>
      </c>
      <c r="C173" s="1218"/>
      <c r="D173" s="1218"/>
      <c r="E173" s="1218"/>
      <c r="F173" s="1218"/>
      <c r="G173" s="1218"/>
      <c r="H173" s="1218"/>
      <c r="I173" s="1218"/>
      <c r="J173" s="1219"/>
      <c r="K173" s="1206"/>
      <c r="L173" s="1217"/>
      <c r="M173" s="1218"/>
      <c r="N173" s="1218"/>
      <c r="O173" s="1218"/>
      <c r="P173" s="1218"/>
      <c r="Q173" s="1218"/>
      <c r="R173" s="1218"/>
      <c r="S173" s="1218"/>
      <c r="T173" s="1219"/>
      <c r="U173" s="1206"/>
      <c r="V173" s="1217"/>
      <c r="W173" s="1218"/>
      <c r="X173" s="1218"/>
      <c r="Y173" s="1218"/>
      <c r="Z173" s="1218"/>
      <c r="AA173" s="1218"/>
      <c r="AB173" s="1218"/>
      <c r="AC173" s="1218"/>
      <c r="AD173" s="1219"/>
      <c r="AE173" s="1206"/>
      <c r="AF173" s="1217"/>
      <c r="AG173" s="1218"/>
      <c r="AH173" s="1218"/>
      <c r="AI173" s="1218"/>
      <c r="AJ173" s="1218"/>
      <c r="AK173" s="1218"/>
      <c r="AL173" s="1218"/>
      <c r="AM173" s="1218"/>
      <c r="AN173" s="1219"/>
    </row>
    <row r="174" spans="1:40" ht="16" thickBot="1">
      <c r="A174" s="1206"/>
      <c r="B174" s="274" t="s">
        <v>72</v>
      </c>
      <c r="C174" s="1220"/>
      <c r="D174" s="1221"/>
      <c r="E174" s="361" t="s">
        <v>71</v>
      </c>
      <c r="F174" s="1222"/>
      <c r="G174" s="1212"/>
      <c r="H174" s="1212"/>
      <c r="I174" s="1212"/>
      <c r="J174" s="1213"/>
      <c r="K174" s="1206"/>
      <c r="L174" s="274"/>
      <c r="M174" s="1220"/>
      <c r="N174" s="1221"/>
      <c r="O174" s="598"/>
      <c r="P174" s="1222"/>
      <c r="Q174" s="1212"/>
      <c r="R174" s="1212"/>
      <c r="S174" s="1212"/>
      <c r="T174" s="1213"/>
      <c r="U174" s="1206"/>
      <c r="V174" s="274"/>
      <c r="W174" s="1220"/>
      <c r="X174" s="1221"/>
      <c r="Y174" s="598"/>
      <c r="Z174" s="1222"/>
      <c r="AA174" s="1212"/>
      <c r="AB174" s="1212"/>
      <c r="AC174" s="1212"/>
      <c r="AD174" s="1213"/>
      <c r="AE174" s="1206"/>
      <c r="AF174" s="274"/>
      <c r="AG174" s="1220"/>
      <c r="AH174" s="1221"/>
      <c r="AI174" s="598"/>
      <c r="AJ174" s="1222"/>
      <c r="AK174" s="1212"/>
      <c r="AL174" s="1212"/>
      <c r="AM174" s="1212"/>
      <c r="AN174" s="1213"/>
    </row>
    <row r="175" spans="1:40" ht="13">
      <c r="A175" s="1206"/>
      <c r="B175" s="154" t="s">
        <v>220</v>
      </c>
      <c r="C175" s="1223"/>
      <c r="D175" s="1223"/>
      <c r="E175" s="1223"/>
      <c r="F175" s="1223"/>
      <c r="G175" s="1223"/>
      <c r="H175" s="1223"/>
      <c r="I175" s="1223"/>
      <c r="J175" s="1224"/>
      <c r="K175" s="1206"/>
      <c r="L175" s="154"/>
      <c r="M175" s="1223"/>
      <c r="N175" s="1223"/>
      <c r="O175" s="1223"/>
      <c r="P175" s="1223"/>
      <c r="Q175" s="1223"/>
      <c r="R175" s="1223"/>
      <c r="S175" s="1223"/>
      <c r="T175" s="1224"/>
      <c r="U175" s="1206"/>
      <c r="V175" s="154"/>
      <c r="W175" s="1223"/>
      <c r="X175" s="1223"/>
      <c r="Y175" s="1223"/>
      <c r="Z175" s="1223"/>
      <c r="AA175" s="1223"/>
      <c r="AB175" s="1223"/>
      <c r="AC175" s="1223"/>
      <c r="AD175" s="1224"/>
      <c r="AE175" s="1206"/>
      <c r="AF175" s="154"/>
      <c r="AG175" s="1223"/>
      <c r="AH175" s="1223"/>
      <c r="AI175" s="1223"/>
      <c r="AJ175" s="1223"/>
      <c r="AK175" s="1223"/>
      <c r="AL175" s="1223"/>
      <c r="AM175" s="1223"/>
      <c r="AN175" s="1224"/>
    </row>
    <row r="176" spans="1:40" ht="13">
      <c r="A176" s="1206"/>
      <c r="B176" s="154" t="s">
        <v>433</v>
      </c>
      <c r="C176" s="362">
        <f>IFERROR((IF(F178="60 Ton",125,IF(F178="110 Ton",225,IF(F178="150 Ton",300,IF(F178="180 Ton",360,))))),0)</f>
        <v>0</v>
      </c>
      <c r="D176" s="362"/>
      <c r="E176" s="362"/>
      <c r="F176" s="362"/>
      <c r="G176" s="362"/>
      <c r="H176" s="362"/>
      <c r="I176" s="362"/>
      <c r="J176" s="363"/>
      <c r="K176" s="1206"/>
      <c r="L176" s="154"/>
      <c r="M176" s="599"/>
      <c r="N176" s="599"/>
      <c r="O176" s="599"/>
      <c r="P176" s="599"/>
      <c r="Q176" s="599"/>
      <c r="R176" s="599"/>
      <c r="S176" s="599"/>
      <c r="T176" s="600"/>
      <c r="U176" s="1206"/>
      <c r="V176" s="154"/>
      <c r="W176" s="599"/>
      <c r="X176" s="599"/>
      <c r="Y176" s="599"/>
      <c r="Z176" s="599"/>
      <c r="AA176" s="599"/>
      <c r="AB176" s="599"/>
      <c r="AC176" s="599"/>
      <c r="AD176" s="600"/>
      <c r="AE176" s="1206"/>
      <c r="AF176" s="154"/>
      <c r="AG176" s="599"/>
      <c r="AH176" s="599"/>
      <c r="AI176" s="599"/>
      <c r="AJ176" s="599"/>
      <c r="AK176" s="599"/>
      <c r="AL176" s="599"/>
      <c r="AM176" s="599"/>
      <c r="AN176" s="600"/>
    </row>
    <row r="177" spans="1:40" ht="34.5">
      <c r="A177" s="1206"/>
      <c r="B177" s="250" t="s">
        <v>425</v>
      </c>
      <c r="C177" s="1225" t="s">
        <v>506</v>
      </c>
      <c r="D177" s="1226"/>
      <c r="E177" s="368" t="s">
        <v>426</v>
      </c>
      <c r="F177" s="368" t="s">
        <v>431</v>
      </c>
      <c r="G177" s="368" t="s">
        <v>427</v>
      </c>
      <c r="H177" s="369" t="s">
        <v>428</v>
      </c>
      <c r="I177" s="370" t="s">
        <v>429</v>
      </c>
      <c r="J177" s="366" t="s">
        <v>430</v>
      </c>
      <c r="K177" s="1206"/>
      <c r="L177" s="250"/>
      <c r="M177" s="1225"/>
      <c r="N177" s="1226"/>
      <c r="O177" s="368"/>
      <c r="P177" s="368"/>
      <c r="Q177" s="368"/>
      <c r="R177" s="369"/>
      <c r="S177" s="370"/>
      <c r="T177" s="366"/>
      <c r="U177" s="1206"/>
      <c r="V177" s="250"/>
      <c r="W177" s="1225"/>
      <c r="X177" s="1226"/>
      <c r="Y177" s="368"/>
      <c r="Z177" s="368"/>
      <c r="AA177" s="368"/>
      <c r="AB177" s="369"/>
      <c r="AC177" s="370"/>
      <c r="AD177" s="366"/>
      <c r="AE177" s="1206"/>
      <c r="AF177" s="250"/>
      <c r="AG177" s="1225"/>
      <c r="AH177" s="1226"/>
      <c r="AI177" s="368"/>
      <c r="AJ177" s="368"/>
      <c r="AK177" s="368"/>
      <c r="AL177" s="369"/>
      <c r="AM177" s="370"/>
      <c r="AN177" s="366"/>
    </row>
    <row r="178" spans="1:40" ht="23.5" thickBot="1">
      <c r="A178" s="1206"/>
      <c r="B178" s="235" t="s">
        <v>437</v>
      </c>
      <c r="C178" s="1227">
        <f>IFERROR((1000/C179),0)</f>
        <v>0</v>
      </c>
      <c r="D178" s="1228"/>
      <c r="E178" s="401" t="s">
        <v>438</v>
      </c>
      <c r="F178" s="371"/>
      <c r="G178" s="371"/>
      <c r="H178" s="594"/>
      <c r="I178" s="595">
        <f>G178*H178</f>
        <v>0</v>
      </c>
      <c r="J178" s="402">
        <f>IFERROR((C172/I178),0)</f>
        <v>0</v>
      </c>
      <c r="K178" s="1206"/>
      <c r="L178" s="235"/>
      <c r="M178" s="1227"/>
      <c r="N178" s="1228"/>
      <c r="O178" s="401"/>
      <c r="P178" s="371"/>
      <c r="Q178" s="371"/>
      <c r="R178" s="594"/>
      <c r="S178" s="595"/>
      <c r="T178" s="402"/>
      <c r="U178" s="1206"/>
      <c r="V178" s="235"/>
      <c r="W178" s="1227"/>
      <c r="X178" s="1228"/>
      <c r="Y178" s="401"/>
      <c r="Z178" s="371"/>
      <c r="AA178" s="371"/>
      <c r="AB178" s="594"/>
      <c r="AC178" s="595"/>
      <c r="AD178" s="402"/>
      <c r="AE178" s="1206"/>
      <c r="AF178" s="235"/>
      <c r="AG178" s="1227"/>
      <c r="AH178" s="1228"/>
      <c r="AI178" s="401"/>
      <c r="AJ178" s="371"/>
      <c r="AK178" s="371"/>
      <c r="AL178" s="594"/>
      <c r="AM178" s="595"/>
      <c r="AN178" s="402"/>
    </row>
    <row r="179" spans="1:40" ht="41.25" customHeight="1" thickBot="1">
      <c r="A179" s="1206"/>
      <c r="B179" s="372" t="s">
        <v>227</v>
      </c>
      <c r="C179" s="1255"/>
      <c r="D179" s="1256"/>
      <c r="E179" s="144"/>
      <c r="F179" s="597" t="s">
        <v>439</v>
      </c>
      <c r="G179" s="603">
        <f>IFERROR((C172*(C179/1000)),0)</f>
        <v>0</v>
      </c>
      <c r="H179" s="596" t="s">
        <v>505</v>
      </c>
      <c r="I179" s="604">
        <f>ROUNDUP(G179/25,0)</f>
        <v>0</v>
      </c>
      <c r="J179" s="147"/>
      <c r="K179" s="1206"/>
      <c r="L179" s="372"/>
      <c r="M179" s="1255"/>
      <c r="N179" s="1256"/>
      <c r="O179" s="144"/>
      <c r="P179" s="597"/>
      <c r="Q179" s="603"/>
      <c r="R179" s="596"/>
      <c r="S179" s="604"/>
      <c r="T179" s="147"/>
      <c r="U179" s="1206"/>
      <c r="V179" s="372"/>
      <c r="W179" s="1255"/>
      <c r="X179" s="1256"/>
      <c r="Y179" s="144"/>
      <c r="Z179" s="597"/>
      <c r="AA179" s="603"/>
      <c r="AB179" s="596"/>
      <c r="AC179" s="604"/>
      <c r="AD179" s="147"/>
      <c r="AE179" s="1206"/>
      <c r="AF179" s="372"/>
      <c r="AG179" s="1255"/>
      <c r="AH179" s="1256"/>
      <c r="AI179" s="144"/>
      <c r="AJ179" s="597"/>
      <c r="AK179" s="603"/>
      <c r="AL179" s="596"/>
      <c r="AM179" s="604"/>
      <c r="AN179" s="147"/>
    </row>
    <row r="180" spans="1:40" ht="11" thickBot="1">
      <c r="A180" s="1206"/>
      <c r="B180" s="207" t="s">
        <v>228</v>
      </c>
      <c r="C180" s="1257"/>
      <c r="D180" s="1258"/>
      <c r="E180" s="148"/>
      <c r="F180" s="149"/>
      <c r="G180" s="150"/>
      <c r="H180" s="151"/>
      <c r="I180" s="251"/>
      <c r="J180" s="196"/>
      <c r="K180" s="1206"/>
      <c r="L180" s="207"/>
      <c r="M180" s="1257"/>
      <c r="N180" s="1258"/>
      <c r="O180" s="148"/>
      <c r="P180" s="149"/>
      <c r="Q180" s="150"/>
      <c r="R180" s="151"/>
      <c r="S180" s="251"/>
      <c r="T180" s="196"/>
      <c r="U180" s="1206"/>
      <c r="V180" s="207"/>
      <c r="W180" s="1257"/>
      <c r="X180" s="1258"/>
      <c r="Y180" s="148"/>
      <c r="Z180" s="149"/>
      <c r="AA180" s="150"/>
      <c r="AB180" s="151"/>
      <c r="AC180" s="251"/>
      <c r="AD180" s="196"/>
      <c r="AE180" s="1206"/>
      <c r="AF180" s="207"/>
      <c r="AG180" s="1257"/>
      <c r="AH180" s="1258"/>
      <c r="AI180" s="148"/>
      <c r="AJ180" s="149"/>
      <c r="AK180" s="150"/>
      <c r="AL180" s="151"/>
      <c r="AM180" s="251"/>
      <c r="AN180" s="196"/>
    </row>
    <row r="181" spans="1:40" ht="14.5">
      <c r="A181" s="1206"/>
      <c r="B181" s="207" t="s">
        <v>231</v>
      </c>
      <c r="C181" s="1259">
        <f>C179-C180</f>
        <v>0</v>
      </c>
      <c r="D181" s="1260"/>
      <c r="E181" s="144"/>
      <c r="F181" s="1261" t="s">
        <v>288</v>
      </c>
      <c r="G181" s="1262"/>
      <c r="H181" s="1262"/>
      <c r="I181" s="1262"/>
      <c r="J181" s="1263"/>
      <c r="K181" s="1206"/>
      <c r="L181" s="207"/>
      <c r="M181" s="1259"/>
      <c r="N181" s="1260"/>
      <c r="O181" s="144"/>
      <c r="P181" s="1261"/>
      <c r="Q181" s="1262"/>
      <c r="R181" s="1262"/>
      <c r="S181" s="1262"/>
      <c r="T181" s="1263"/>
      <c r="U181" s="1206"/>
      <c r="V181" s="207"/>
      <c r="W181" s="1259"/>
      <c r="X181" s="1260"/>
      <c r="Y181" s="144"/>
      <c r="Z181" s="1261"/>
      <c r="AA181" s="1262"/>
      <c r="AB181" s="1262"/>
      <c r="AC181" s="1262"/>
      <c r="AD181" s="1263"/>
      <c r="AE181" s="1206"/>
      <c r="AF181" s="207"/>
      <c r="AG181" s="1259"/>
      <c r="AH181" s="1260"/>
      <c r="AI181" s="144"/>
      <c r="AJ181" s="1261"/>
      <c r="AK181" s="1262"/>
      <c r="AL181" s="1262"/>
      <c r="AM181" s="1262"/>
      <c r="AN181" s="1263"/>
    </row>
    <row r="182" spans="1:40" ht="21">
      <c r="A182" s="1206"/>
      <c r="B182" s="207" t="s">
        <v>442</v>
      </c>
      <c r="C182" s="1264"/>
      <c r="D182" s="1265"/>
      <c r="E182" s="144"/>
      <c r="F182" s="249" t="s">
        <v>9</v>
      </c>
      <c r="G182" s="373" t="s">
        <v>18</v>
      </c>
      <c r="H182" s="374" t="s">
        <v>8</v>
      </c>
      <c r="I182" s="375" t="s">
        <v>289</v>
      </c>
      <c r="J182" s="245" t="s">
        <v>290</v>
      </c>
      <c r="K182" s="1206"/>
      <c r="L182" s="207"/>
      <c r="M182" s="1264"/>
      <c r="N182" s="1265"/>
      <c r="O182" s="144"/>
      <c r="P182" s="249"/>
      <c r="Q182" s="373"/>
      <c r="R182" s="374"/>
      <c r="S182" s="375"/>
      <c r="T182" s="245"/>
      <c r="U182" s="1206"/>
      <c r="V182" s="207"/>
      <c r="W182" s="1264"/>
      <c r="X182" s="1265"/>
      <c r="Y182" s="144"/>
      <c r="Z182" s="249"/>
      <c r="AA182" s="373"/>
      <c r="AB182" s="374"/>
      <c r="AC182" s="375"/>
      <c r="AD182" s="245"/>
      <c r="AE182" s="1206"/>
      <c r="AF182" s="207"/>
      <c r="AG182" s="1264"/>
      <c r="AH182" s="1265"/>
      <c r="AI182" s="144"/>
      <c r="AJ182" s="249"/>
      <c r="AK182" s="373"/>
      <c r="AL182" s="374"/>
      <c r="AM182" s="375"/>
      <c r="AN182" s="245"/>
    </row>
    <row r="183" spans="1:40">
      <c r="A183" s="1206"/>
      <c r="B183" s="207" t="s">
        <v>441</v>
      </c>
      <c r="C183" s="1229">
        <f>C182*(C181/1000)*0.7</f>
        <v>0</v>
      </c>
      <c r="D183" s="1230"/>
      <c r="E183" s="144"/>
      <c r="F183" s="252"/>
      <c r="G183" s="376"/>
      <c r="H183" s="376"/>
      <c r="I183" s="367"/>
      <c r="J183" s="255"/>
      <c r="K183" s="1206"/>
      <c r="L183" s="207"/>
      <c r="M183" s="1229"/>
      <c r="N183" s="1230"/>
      <c r="O183" s="144"/>
      <c r="P183" s="252"/>
      <c r="Q183" s="376"/>
      <c r="R183" s="376"/>
      <c r="S183" s="367"/>
      <c r="T183" s="255"/>
      <c r="U183" s="1206"/>
      <c r="V183" s="207"/>
      <c r="W183" s="1229"/>
      <c r="X183" s="1230"/>
      <c r="Y183" s="144"/>
      <c r="Z183" s="252"/>
      <c r="AA183" s="376"/>
      <c r="AB183" s="376"/>
      <c r="AC183" s="367"/>
      <c r="AD183" s="255"/>
      <c r="AE183" s="1206"/>
      <c r="AF183" s="207"/>
      <c r="AG183" s="1229"/>
      <c r="AH183" s="1230"/>
      <c r="AI183" s="144"/>
      <c r="AJ183" s="252"/>
      <c r="AK183" s="376"/>
      <c r="AL183" s="376"/>
      <c r="AM183" s="367"/>
      <c r="AN183" s="255"/>
    </row>
    <row r="184" spans="1:40">
      <c r="A184" s="1206"/>
      <c r="B184" s="207" t="s">
        <v>234</v>
      </c>
      <c r="C184" s="1229">
        <f>C182*(C179/1000)*1.01</f>
        <v>0</v>
      </c>
      <c r="D184" s="1230"/>
      <c r="E184" s="144"/>
      <c r="F184" s="252"/>
      <c r="G184" s="367"/>
      <c r="H184" s="367"/>
      <c r="I184" s="367"/>
      <c r="J184" s="255"/>
      <c r="K184" s="1206"/>
      <c r="L184" s="207"/>
      <c r="M184" s="1229"/>
      <c r="N184" s="1230"/>
      <c r="O184" s="144"/>
      <c r="P184" s="252"/>
      <c r="Q184" s="367"/>
      <c r="R184" s="367"/>
      <c r="S184" s="367"/>
      <c r="T184" s="255"/>
      <c r="U184" s="1206"/>
      <c r="V184" s="207"/>
      <c r="W184" s="1229"/>
      <c r="X184" s="1230"/>
      <c r="Y184" s="144"/>
      <c r="Z184" s="252"/>
      <c r="AA184" s="367"/>
      <c r="AB184" s="367"/>
      <c r="AC184" s="367"/>
      <c r="AD184" s="255"/>
      <c r="AE184" s="1206"/>
      <c r="AF184" s="207"/>
      <c r="AG184" s="1229"/>
      <c r="AH184" s="1230"/>
      <c r="AI184" s="144"/>
      <c r="AJ184" s="252"/>
      <c r="AK184" s="367"/>
      <c r="AL184" s="367"/>
      <c r="AM184" s="367"/>
      <c r="AN184" s="255"/>
    </row>
    <row r="185" spans="1:40" ht="20">
      <c r="A185" s="1206"/>
      <c r="B185" s="235" t="s">
        <v>443</v>
      </c>
      <c r="C185" s="1266">
        <f>C184-C183</f>
        <v>0</v>
      </c>
      <c r="D185" s="1228"/>
      <c r="E185" s="144"/>
      <c r="F185" s="252"/>
      <c r="G185" s="367"/>
      <c r="H185" s="367"/>
      <c r="I185" s="367"/>
      <c r="J185" s="255"/>
      <c r="K185" s="1206"/>
      <c r="L185" s="235"/>
      <c r="M185" s="1266"/>
      <c r="N185" s="1228"/>
      <c r="O185" s="144"/>
      <c r="P185" s="252"/>
      <c r="Q185" s="367"/>
      <c r="R185" s="367"/>
      <c r="S185" s="367"/>
      <c r="T185" s="255"/>
      <c r="U185" s="1206"/>
      <c r="V185" s="235"/>
      <c r="W185" s="1266"/>
      <c r="X185" s="1228"/>
      <c r="Y185" s="144"/>
      <c r="Z185" s="252"/>
      <c r="AA185" s="367"/>
      <c r="AB185" s="367"/>
      <c r="AC185" s="367"/>
      <c r="AD185" s="255"/>
      <c r="AE185" s="1206"/>
      <c r="AF185" s="235"/>
      <c r="AG185" s="1266"/>
      <c r="AH185" s="1228"/>
      <c r="AI185" s="144"/>
      <c r="AJ185" s="252"/>
      <c r="AK185" s="367"/>
      <c r="AL185" s="367"/>
      <c r="AM185" s="367"/>
      <c r="AN185" s="255"/>
    </row>
    <row r="186" spans="1:40">
      <c r="A186" s="1206"/>
      <c r="B186" s="207" t="s">
        <v>432</v>
      </c>
      <c r="C186" s="1248">
        <f>IFERROR((C176/I178),0)</f>
        <v>0</v>
      </c>
      <c r="D186" s="1249"/>
      <c r="E186" s="144"/>
      <c r="F186" s="252"/>
      <c r="G186" s="367"/>
      <c r="H186" s="367"/>
      <c r="I186" s="367"/>
      <c r="J186" s="255"/>
      <c r="K186" s="1206"/>
      <c r="L186" s="207"/>
      <c r="M186" s="1248"/>
      <c r="N186" s="1249"/>
      <c r="O186" s="144"/>
      <c r="P186" s="252"/>
      <c r="Q186" s="367"/>
      <c r="R186" s="367"/>
      <c r="S186" s="367"/>
      <c r="T186" s="255"/>
      <c r="U186" s="1206"/>
      <c r="V186" s="207"/>
      <c r="W186" s="1248"/>
      <c r="X186" s="1249"/>
      <c r="Y186" s="144"/>
      <c r="Z186" s="252"/>
      <c r="AA186" s="367"/>
      <c r="AB186" s="367"/>
      <c r="AC186" s="367"/>
      <c r="AD186" s="255"/>
      <c r="AE186" s="1206"/>
      <c r="AF186" s="207"/>
      <c r="AG186" s="1248"/>
      <c r="AH186" s="1249"/>
      <c r="AI186" s="144"/>
      <c r="AJ186" s="252"/>
      <c r="AK186" s="367"/>
      <c r="AL186" s="367"/>
      <c r="AM186" s="367"/>
      <c r="AN186" s="255"/>
    </row>
    <row r="187" spans="1:40">
      <c r="A187" s="1206"/>
      <c r="B187" s="207" t="s">
        <v>235</v>
      </c>
      <c r="C187" s="1229">
        <f>C186+C185</f>
        <v>0</v>
      </c>
      <c r="D187" s="1230"/>
      <c r="E187" s="144"/>
      <c r="F187" s="252"/>
      <c r="G187" s="367"/>
      <c r="H187" s="367"/>
      <c r="I187" s="367"/>
      <c r="J187" s="255"/>
      <c r="K187" s="1206"/>
      <c r="L187" s="207"/>
      <c r="M187" s="1229"/>
      <c r="N187" s="1230"/>
      <c r="O187" s="144"/>
      <c r="P187" s="252"/>
      <c r="Q187" s="367"/>
      <c r="R187" s="367"/>
      <c r="S187" s="367"/>
      <c r="T187" s="255"/>
      <c r="U187" s="1206"/>
      <c r="V187" s="207"/>
      <c r="W187" s="1229"/>
      <c r="X187" s="1230"/>
      <c r="Y187" s="144"/>
      <c r="Z187" s="252"/>
      <c r="AA187" s="367"/>
      <c r="AB187" s="367"/>
      <c r="AC187" s="367"/>
      <c r="AD187" s="255"/>
      <c r="AE187" s="1206"/>
      <c r="AF187" s="207"/>
      <c r="AG187" s="1229"/>
      <c r="AH187" s="1230"/>
      <c r="AI187" s="144"/>
      <c r="AJ187" s="252"/>
      <c r="AK187" s="367"/>
      <c r="AL187" s="367"/>
      <c r="AM187" s="367"/>
      <c r="AN187" s="255"/>
    </row>
    <row r="188" spans="1:40" ht="10.5" thickBot="1">
      <c r="A188" s="1206"/>
      <c r="B188" s="204"/>
      <c r="C188" s="205"/>
      <c r="D188" s="205"/>
      <c r="E188" s="144"/>
      <c r="F188" s="268"/>
      <c r="G188" s="266"/>
      <c r="H188" s="266"/>
      <c r="I188" s="266"/>
      <c r="J188" s="377"/>
      <c r="K188" s="1206"/>
      <c r="L188" s="204"/>
      <c r="M188" s="205"/>
      <c r="N188" s="205"/>
      <c r="O188" s="144"/>
      <c r="P188" s="268"/>
      <c r="Q188" s="266"/>
      <c r="R188" s="266"/>
      <c r="S188" s="266"/>
      <c r="T188" s="377"/>
      <c r="U188" s="1206"/>
      <c r="V188" s="204"/>
      <c r="W188" s="205"/>
      <c r="X188" s="205"/>
      <c r="Y188" s="144"/>
      <c r="Z188" s="268"/>
      <c r="AA188" s="266"/>
      <c r="AB188" s="266"/>
      <c r="AC188" s="266"/>
      <c r="AD188" s="377"/>
      <c r="AE188" s="1206"/>
      <c r="AF188" s="204"/>
      <c r="AG188" s="205"/>
      <c r="AH188" s="205"/>
      <c r="AI188" s="144"/>
      <c r="AJ188" s="268"/>
      <c r="AK188" s="266"/>
      <c r="AL188" s="266"/>
      <c r="AM188" s="266"/>
      <c r="AN188" s="377"/>
    </row>
    <row r="189" spans="1:40" ht="11" thickBot="1">
      <c r="A189" s="1206"/>
      <c r="B189" s="278" t="s">
        <v>284</v>
      </c>
      <c r="C189" s="1239"/>
      <c r="D189" s="1240"/>
      <c r="E189" s="144"/>
      <c r="F189" s="1241" t="s">
        <v>291</v>
      </c>
      <c r="G189" s="1242"/>
      <c r="H189" s="1243">
        <f>SUM(H183:H188)</f>
        <v>0</v>
      </c>
      <c r="I189" s="1244"/>
      <c r="J189" s="1245"/>
      <c r="K189" s="1206"/>
      <c r="L189" s="278"/>
      <c r="M189" s="1239"/>
      <c r="N189" s="1240"/>
      <c r="O189" s="144"/>
      <c r="P189" s="1241"/>
      <c r="Q189" s="1242"/>
      <c r="R189" s="1243"/>
      <c r="S189" s="1244"/>
      <c r="T189" s="1245"/>
      <c r="U189" s="1206"/>
      <c r="V189" s="278"/>
      <c r="W189" s="1239"/>
      <c r="X189" s="1240"/>
      <c r="Y189" s="144"/>
      <c r="Z189" s="1241"/>
      <c r="AA189" s="1242"/>
      <c r="AB189" s="1243"/>
      <c r="AC189" s="1244"/>
      <c r="AD189" s="1245"/>
      <c r="AE189" s="1206"/>
      <c r="AF189" s="278"/>
      <c r="AG189" s="1239"/>
      <c r="AH189" s="1240"/>
      <c r="AI189" s="144"/>
      <c r="AJ189" s="1241"/>
      <c r="AK189" s="1242"/>
      <c r="AL189" s="1243"/>
      <c r="AM189" s="1244"/>
      <c r="AN189" s="1245"/>
    </row>
    <row r="190" spans="1:40" ht="12" thickBot="1">
      <c r="A190" s="1206"/>
      <c r="B190" s="169" t="s">
        <v>236</v>
      </c>
      <c r="C190" s="170"/>
      <c r="D190" s="153"/>
      <c r="E190" s="144"/>
      <c r="F190" s="144"/>
      <c r="G190" s="152"/>
      <c r="H190" s="151"/>
      <c r="I190" s="281"/>
      <c r="J190" s="147"/>
      <c r="K190" s="1206"/>
      <c r="L190" s="169"/>
      <c r="M190" s="170"/>
      <c r="N190" s="153"/>
      <c r="O190" s="144"/>
      <c r="P190" s="144"/>
      <c r="Q190" s="152"/>
      <c r="R190" s="151"/>
      <c r="S190" s="281"/>
      <c r="T190" s="147"/>
      <c r="U190" s="1206"/>
      <c r="V190" s="169"/>
      <c r="W190" s="170"/>
      <c r="X190" s="153"/>
      <c r="Y190" s="144"/>
      <c r="Z190" s="144"/>
      <c r="AA190" s="152"/>
      <c r="AB190" s="151"/>
      <c r="AC190" s="281"/>
      <c r="AD190" s="147"/>
      <c r="AE190" s="1206"/>
      <c r="AF190" s="169"/>
      <c r="AG190" s="170"/>
      <c r="AH190" s="153"/>
      <c r="AI190" s="144"/>
      <c r="AJ190" s="144"/>
      <c r="AK190" s="152"/>
      <c r="AL190" s="151"/>
      <c r="AM190" s="281"/>
      <c r="AN190" s="147"/>
    </row>
    <row r="191" spans="1:40" ht="13.5" thickBot="1">
      <c r="A191" s="1206"/>
      <c r="B191" s="154"/>
      <c r="C191" s="155"/>
      <c r="D191" s="155"/>
      <c r="E191" s="151"/>
      <c r="F191" s="144"/>
      <c r="G191" s="144"/>
      <c r="H191" s="151"/>
      <c r="I191" s="251"/>
      <c r="J191" s="147"/>
      <c r="K191" s="1206"/>
      <c r="L191" s="154"/>
      <c r="M191" s="155"/>
      <c r="N191" s="155"/>
      <c r="O191" s="151"/>
      <c r="P191" s="144"/>
      <c r="Q191" s="144"/>
      <c r="R191" s="151"/>
      <c r="S191" s="251"/>
      <c r="T191" s="147"/>
      <c r="U191" s="1206"/>
      <c r="V191" s="154"/>
      <c r="W191" s="155"/>
      <c r="X191" s="155"/>
      <c r="Y191" s="151"/>
      <c r="Z191" s="144"/>
      <c r="AA191" s="144"/>
      <c r="AB191" s="151"/>
      <c r="AC191" s="251"/>
      <c r="AD191" s="147"/>
      <c r="AE191" s="1206"/>
      <c r="AF191" s="154"/>
      <c r="AG191" s="155"/>
      <c r="AH191" s="155"/>
      <c r="AI191" s="151"/>
      <c r="AJ191" s="144"/>
      <c r="AK191" s="144"/>
      <c r="AL191" s="151"/>
      <c r="AM191" s="251"/>
      <c r="AN191" s="147"/>
    </row>
    <row r="192" spans="1:40" ht="13.5" thickBot="1">
      <c r="A192" s="1206"/>
      <c r="B192" s="364" t="s">
        <v>237</v>
      </c>
      <c r="C192" s="365"/>
      <c r="D192" s="144"/>
      <c r="E192" s="144"/>
      <c r="F192" s="144"/>
      <c r="G192" s="144"/>
      <c r="H192" s="144"/>
      <c r="I192" s="167"/>
      <c r="J192" s="147"/>
      <c r="K192" s="1206"/>
      <c r="L192" s="601"/>
      <c r="M192" s="602"/>
      <c r="N192" s="144"/>
      <c r="O192" s="144"/>
      <c r="P192" s="144"/>
      <c r="Q192" s="144"/>
      <c r="R192" s="144"/>
      <c r="S192" s="167"/>
      <c r="T192" s="147"/>
      <c r="U192" s="1206"/>
      <c r="V192" s="601"/>
      <c r="W192" s="602"/>
      <c r="X192" s="144"/>
      <c r="Y192" s="144"/>
      <c r="Z192" s="144"/>
      <c r="AA192" s="144"/>
      <c r="AB192" s="144"/>
      <c r="AC192" s="167"/>
      <c r="AD192" s="147"/>
      <c r="AE192" s="1206"/>
      <c r="AF192" s="601"/>
      <c r="AG192" s="602"/>
      <c r="AH192" s="144"/>
      <c r="AI192" s="144"/>
      <c r="AJ192" s="144"/>
      <c r="AK192" s="144"/>
      <c r="AL192" s="144"/>
      <c r="AM192" s="167"/>
      <c r="AN192" s="147"/>
    </row>
    <row r="193" spans="1:40" ht="13.5" thickBot="1">
      <c r="A193" s="1206"/>
      <c r="B193" s="156"/>
      <c r="C193" s="157"/>
      <c r="D193" s="157"/>
      <c r="E193" s="144"/>
      <c r="F193" s="144"/>
      <c r="G193" s="144"/>
      <c r="H193" s="1250" t="s">
        <v>75</v>
      </c>
      <c r="I193" s="1251"/>
      <c r="J193" s="1252"/>
      <c r="K193" s="1206"/>
      <c r="L193" s="156"/>
      <c r="M193" s="157"/>
      <c r="N193" s="157"/>
      <c r="O193" s="144"/>
      <c r="P193" s="144"/>
      <c r="Q193" s="144"/>
      <c r="R193" s="1250"/>
      <c r="S193" s="1251"/>
      <c r="T193" s="1252"/>
      <c r="U193" s="1206"/>
      <c r="V193" s="156"/>
      <c r="W193" s="157"/>
      <c r="X193" s="157"/>
      <c r="Y193" s="144"/>
      <c r="Z193" s="144"/>
      <c r="AA193" s="144"/>
      <c r="AB193" s="1250"/>
      <c r="AC193" s="1251"/>
      <c r="AD193" s="1252"/>
      <c r="AE193" s="1206"/>
      <c r="AF193" s="156"/>
      <c r="AG193" s="157"/>
      <c r="AH193" s="157"/>
      <c r="AI193" s="144"/>
      <c r="AJ193" s="144"/>
      <c r="AK193" s="144"/>
      <c r="AL193" s="1250"/>
      <c r="AM193" s="1251"/>
      <c r="AN193" s="1252"/>
    </row>
    <row r="194" spans="1:40" ht="33.75" customHeight="1">
      <c r="A194" s="1206"/>
      <c r="B194" s="265" t="s">
        <v>238</v>
      </c>
      <c r="C194" s="1253" t="s">
        <v>434</v>
      </c>
      <c r="D194" s="1254"/>
      <c r="E194" s="219" t="s">
        <v>435</v>
      </c>
      <c r="F194" s="158" t="s">
        <v>436</v>
      </c>
      <c r="G194" s="159" t="s">
        <v>242</v>
      </c>
      <c r="H194" s="273" t="s">
        <v>74</v>
      </c>
      <c r="I194" s="378" t="s">
        <v>76</v>
      </c>
      <c r="J194" s="271" t="s">
        <v>96</v>
      </c>
      <c r="K194" s="1206"/>
      <c r="L194" s="265"/>
      <c r="M194" s="1253"/>
      <c r="N194" s="1254"/>
      <c r="O194" s="219"/>
      <c r="P194" s="158"/>
      <c r="Q194" s="159"/>
      <c r="R194" s="273"/>
      <c r="S194" s="378"/>
      <c r="T194" s="271"/>
      <c r="U194" s="1206"/>
      <c r="V194" s="265"/>
      <c r="W194" s="1253"/>
      <c r="X194" s="1254"/>
      <c r="Y194" s="219"/>
      <c r="Z194" s="158"/>
      <c r="AA194" s="159"/>
      <c r="AB194" s="273"/>
      <c r="AC194" s="378"/>
      <c r="AD194" s="271"/>
      <c r="AE194" s="1206"/>
      <c r="AF194" s="265"/>
      <c r="AG194" s="1253"/>
      <c r="AH194" s="1254"/>
      <c r="AI194" s="219"/>
      <c r="AJ194" s="158"/>
      <c r="AK194" s="159"/>
      <c r="AL194" s="273"/>
      <c r="AM194" s="378"/>
      <c r="AN194" s="271"/>
    </row>
    <row r="195" spans="1:40" ht="10.5">
      <c r="A195" s="1206"/>
      <c r="B195" s="210"/>
      <c r="C195" s="1246"/>
      <c r="D195" s="1247"/>
      <c r="E195" s="379"/>
      <c r="F195" s="380"/>
      <c r="G195" s="404">
        <f>IFERROR(E195/(F195*12),0)</f>
        <v>0</v>
      </c>
      <c r="H195" s="261"/>
      <c r="I195" s="381"/>
      <c r="J195" s="262"/>
      <c r="K195" s="1206"/>
      <c r="L195" s="210"/>
      <c r="M195" s="1246"/>
      <c r="N195" s="1247"/>
      <c r="O195" s="379"/>
      <c r="P195" s="380"/>
      <c r="Q195" s="404"/>
      <c r="R195" s="261"/>
      <c r="S195" s="381"/>
      <c r="T195" s="262"/>
      <c r="U195" s="1206"/>
      <c r="V195" s="210"/>
      <c r="W195" s="1246"/>
      <c r="X195" s="1247"/>
      <c r="Y195" s="379"/>
      <c r="Z195" s="380"/>
      <c r="AA195" s="404"/>
      <c r="AB195" s="261"/>
      <c r="AC195" s="381"/>
      <c r="AD195" s="262"/>
      <c r="AE195" s="1206"/>
      <c r="AF195" s="210"/>
      <c r="AG195" s="1246"/>
      <c r="AH195" s="1247"/>
      <c r="AI195" s="379"/>
      <c r="AJ195" s="380"/>
      <c r="AK195" s="404"/>
      <c r="AL195" s="261"/>
      <c r="AM195" s="381"/>
      <c r="AN195" s="262"/>
    </row>
    <row r="196" spans="1:40" ht="10.5">
      <c r="A196" s="1206"/>
      <c r="B196" s="210"/>
      <c r="C196" s="1246"/>
      <c r="D196" s="1247"/>
      <c r="E196" s="382"/>
      <c r="F196" s="383"/>
      <c r="G196" s="404">
        <f t="shared" ref="G196:G198" si="1">IFERROR(E196/(F196*12),0)</f>
        <v>0</v>
      </c>
      <c r="H196" s="261"/>
      <c r="I196" s="381"/>
      <c r="J196" s="262"/>
      <c r="K196" s="1206"/>
      <c r="L196" s="210"/>
      <c r="M196" s="1246"/>
      <c r="N196" s="1247"/>
      <c r="O196" s="382"/>
      <c r="P196" s="383"/>
      <c r="Q196" s="404"/>
      <c r="R196" s="261"/>
      <c r="S196" s="381"/>
      <c r="T196" s="262"/>
      <c r="U196" s="1206"/>
      <c r="V196" s="210"/>
      <c r="W196" s="1246"/>
      <c r="X196" s="1247"/>
      <c r="Y196" s="382"/>
      <c r="Z196" s="383"/>
      <c r="AA196" s="404"/>
      <c r="AB196" s="261"/>
      <c r="AC196" s="381"/>
      <c r="AD196" s="262"/>
      <c r="AE196" s="1206"/>
      <c r="AF196" s="210"/>
      <c r="AG196" s="1246"/>
      <c r="AH196" s="1247"/>
      <c r="AI196" s="382"/>
      <c r="AJ196" s="383"/>
      <c r="AK196" s="404"/>
      <c r="AL196" s="261"/>
      <c r="AM196" s="381"/>
      <c r="AN196" s="262"/>
    </row>
    <row r="197" spans="1:40" ht="10.5">
      <c r="A197" s="1206"/>
      <c r="B197" s="210"/>
      <c r="C197" s="1246"/>
      <c r="D197" s="1247"/>
      <c r="E197" s="382"/>
      <c r="F197" s="383"/>
      <c r="G197" s="404">
        <f t="shared" si="1"/>
        <v>0</v>
      </c>
      <c r="H197" s="261"/>
      <c r="I197" s="381"/>
      <c r="J197" s="262"/>
      <c r="K197" s="1206"/>
      <c r="L197" s="210"/>
      <c r="M197" s="1246"/>
      <c r="N197" s="1247"/>
      <c r="O197" s="382"/>
      <c r="P197" s="383"/>
      <c r="Q197" s="404"/>
      <c r="R197" s="261"/>
      <c r="S197" s="381"/>
      <c r="T197" s="262"/>
      <c r="U197" s="1206"/>
      <c r="V197" s="210"/>
      <c r="W197" s="1246"/>
      <c r="X197" s="1247"/>
      <c r="Y197" s="382"/>
      <c r="Z197" s="383"/>
      <c r="AA197" s="404"/>
      <c r="AB197" s="261"/>
      <c r="AC197" s="381"/>
      <c r="AD197" s="262"/>
      <c r="AE197" s="1206"/>
      <c r="AF197" s="210"/>
      <c r="AG197" s="1246"/>
      <c r="AH197" s="1247"/>
      <c r="AI197" s="382"/>
      <c r="AJ197" s="383"/>
      <c r="AK197" s="404"/>
      <c r="AL197" s="261"/>
      <c r="AM197" s="381"/>
      <c r="AN197" s="262"/>
    </row>
    <row r="198" spans="1:40" ht="10.5">
      <c r="A198" s="1206"/>
      <c r="B198" s="210"/>
      <c r="C198" s="1246"/>
      <c r="D198" s="1247"/>
      <c r="E198" s="382"/>
      <c r="F198" s="383"/>
      <c r="G198" s="404">
        <f t="shared" si="1"/>
        <v>0</v>
      </c>
      <c r="H198" s="261"/>
      <c r="I198" s="381"/>
      <c r="J198" s="262"/>
      <c r="K198" s="1206"/>
      <c r="L198" s="210"/>
      <c r="M198" s="1246"/>
      <c r="N198" s="1247"/>
      <c r="O198" s="382"/>
      <c r="P198" s="383"/>
      <c r="Q198" s="404"/>
      <c r="R198" s="261"/>
      <c r="S198" s="381"/>
      <c r="T198" s="262"/>
      <c r="U198" s="1206"/>
      <c r="V198" s="210"/>
      <c r="W198" s="1246"/>
      <c r="X198" s="1247"/>
      <c r="Y198" s="382"/>
      <c r="Z198" s="383"/>
      <c r="AA198" s="404"/>
      <c r="AB198" s="261"/>
      <c r="AC198" s="381"/>
      <c r="AD198" s="262"/>
      <c r="AE198" s="1206"/>
      <c r="AF198" s="210"/>
      <c r="AG198" s="1246"/>
      <c r="AH198" s="1247"/>
      <c r="AI198" s="382"/>
      <c r="AJ198" s="383"/>
      <c r="AK198" s="404"/>
      <c r="AL198" s="261"/>
      <c r="AM198" s="381"/>
      <c r="AN198" s="262"/>
    </row>
    <row r="199" spans="1:40" ht="10.5">
      <c r="A199" s="1206"/>
      <c r="B199" s="1236" t="s">
        <v>243</v>
      </c>
      <c r="C199" s="1237"/>
      <c r="D199" s="1237"/>
      <c r="E199" s="1237"/>
      <c r="F199" s="1238"/>
      <c r="G199" s="1231">
        <f>SUM(G195:G198)</f>
        <v>0</v>
      </c>
      <c r="H199" s="261"/>
      <c r="I199" s="381"/>
      <c r="J199" s="262"/>
      <c r="K199" s="1206"/>
      <c r="L199" s="1236"/>
      <c r="M199" s="1237"/>
      <c r="N199" s="1237"/>
      <c r="O199" s="1237"/>
      <c r="P199" s="1238"/>
      <c r="Q199" s="1231"/>
      <c r="R199" s="261"/>
      <c r="S199" s="381"/>
      <c r="T199" s="262"/>
      <c r="U199" s="1206"/>
      <c r="V199" s="1236"/>
      <c r="W199" s="1237"/>
      <c r="X199" s="1237"/>
      <c r="Y199" s="1237"/>
      <c r="Z199" s="1238"/>
      <c r="AA199" s="1231"/>
      <c r="AB199" s="261"/>
      <c r="AC199" s="381"/>
      <c r="AD199" s="262"/>
      <c r="AE199" s="1206"/>
      <c r="AF199" s="1236"/>
      <c r="AG199" s="1237"/>
      <c r="AH199" s="1237"/>
      <c r="AI199" s="1237"/>
      <c r="AJ199" s="1238"/>
      <c r="AK199" s="1231"/>
      <c r="AL199" s="261"/>
      <c r="AM199" s="381"/>
      <c r="AN199" s="262"/>
    </row>
    <row r="200" spans="1:40" ht="11" thickBot="1">
      <c r="A200" s="1206"/>
      <c r="B200" s="1233" t="s">
        <v>244</v>
      </c>
      <c r="C200" s="1234"/>
      <c r="D200" s="1234"/>
      <c r="E200" s="1234"/>
      <c r="F200" s="1235"/>
      <c r="G200" s="1232"/>
      <c r="H200" s="261"/>
      <c r="I200" s="381"/>
      <c r="J200" s="262"/>
      <c r="K200" s="1206"/>
      <c r="L200" s="1233"/>
      <c r="M200" s="1234"/>
      <c r="N200" s="1234"/>
      <c r="O200" s="1234"/>
      <c r="P200" s="1235"/>
      <c r="Q200" s="1232"/>
      <c r="R200" s="261"/>
      <c r="S200" s="381"/>
      <c r="T200" s="262"/>
      <c r="U200" s="1206"/>
      <c r="V200" s="1233"/>
      <c r="W200" s="1234"/>
      <c r="X200" s="1234"/>
      <c r="Y200" s="1234"/>
      <c r="Z200" s="1235"/>
      <c r="AA200" s="1232"/>
      <c r="AB200" s="261"/>
      <c r="AC200" s="381"/>
      <c r="AD200" s="262"/>
      <c r="AE200" s="1206"/>
      <c r="AF200" s="1233"/>
      <c r="AG200" s="1234"/>
      <c r="AH200" s="1234"/>
      <c r="AI200" s="1234"/>
      <c r="AJ200" s="1235"/>
      <c r="AK200" s="1232"/>
      <c r="AL200" s="261"/>
      <c r="AM200" s="381"/>
      <c r="AN200" s="262"/>
    </row>
    <row r="201" spans="1:40" ht="10.5" thickBot="1">
      <c r="A201" s="1206"/>
      <c r="B201" s="156"/>
      <c r="C201" s="157"/>
      <c r="D201" s="157"/>
      <c r="E201" s="144"/>
      <c r="F201" s="160"/>
      <c r="G201" s="157"/>
      <c r="H201" s="398">
        <f>SUM(H195:H200)</f>
        <v>0</v>
      </c>
      <c r="I201" s="403">
        <f>SUM(I195:I200)</f>
        <v>0</v>
      </c>
      <c r="J201" s="385"/>
      <c r="K201" s="1206"/>
      <c r="L201" s="156"/>
      <c r="M201" s="157"/>
      <c r="N201" s="157"/>
      <c r="O201" s="144"/>
      <c r="P201" s="160"/>
      <c r="Q201" s="157"/>
      <c r="R201" s="398"/>
      <c r="S201" s="403"/>
      <c r="T201" s="385"/>
      <c r="U201" s="1206"/>
      <c r="V201" s="156"/>
      <c r="W201" s="157"/>
      <c r="X201" s="157"/>
      <c r="Y201" s="144"/>
      <c r="Z201" s="160"/>
      <c r="AA201" s="157"/>
      <c r="AB201" s="398"/>
      <c r="AC201" s="403"/>
      <c r="AD201" s="385"/>
      <c r="AE201" s="1206"/>
      <c r="AF201" s="156"/>
      <c r="AG201" s="157"/>
      <c r="AH201" s="157"/>
      <c r="AI201" s="144"/>
      <c r="AJ201" s="160"/>
      <c r="AK201" s="157"/>
      <c r="AL201" s="398"/>
      <c r="AM201" s="403"/>
      <c r="AN201" s="385"/>
    </row>
    <row r="202" spans="1:40" ht="42">
      <c r="A202" s="1206"/>
      <c r="B202" s="265" t="s">
        <v>295</v>
      </c>
      <c r="C202" s="219" t="s">
        <v>245</v>
      </c>
      <c r="D202" s="219"/>
      <c r="E202" s="219" t="s">
        <v>240</v>
      </c>
      <c r="F202" s="239" t="s">
        <v>241</v>
      </c>
      <c r="G202" s="182" t="s">
        <v>242</v>
      </c>
      <c r="H202" s="144"/>
      <c r="I202" s="157"/>
      <c r="J202" s="146"/>
      <c r="K202" s="1206"/>
      <c r="L202" s="265"/>
      <c r="M202" s="219"/>
      <c r="N202" s="219"/>
      <c r="O202" s="219"/>
      <c r="P202" s="239"/>
      <c r="Q202" s="182"/>
      <c r="R202" s="144"/>
      <c r="S202" s="157"/>
      <c r="T202" s="146"/>
      <c r="U202" s="1206"/>
      <c r="V202" s="265"/>
      <c r="W202" s="219"/>
      <c r="X202" s="219"/>
      <c r="Y202" s="219"/>
      <c r="Z202" s="239"/>
      <c r="AA202" s="182"/>
      <c r="AB202" s="144"/>
      <c r="AC202" s="157"/>
      <c r="AD202" s="146"/>
      <c r="AE202" s="1206"/>
      <c r="AF202" s="265"/>
      <c r="AG202" s="219"/>
      <c r="AH202" s="219"/>
      <c r="AI202" s="219"/>
      <c r="AJ202" s="239"/>
      <c r="AK202" s="182"/>
      <c r="AL202" s="144"/>
      <c r="AM202" s="157"/>
      <c r="AN202" s="146"/>
    </row>
    <row r="203" spans="1:40" ht="10.5">
      <c r="A203" s="1206"/>
      <c r="B203" s="207"/>
      <c r="C203" s="384"/>
      <c r="D203" s="384"/>
      <c r="E203" s="386"/>
      <c r="F203" s="387"/>
      <c r="G203" s="242"/>
      <c r="H203" s="144"/>
      <c r="I203" s="157"/>
      <c r="J203" s="147"/>
      <c r="K203" s="1206"/>
      <c r="L203" s="207"/>
      <c r="M203" s="384"/>
      <c r="N203" s="384"/>
      <c r="O203" s="386"/>
      <c r="P203" s="387"/>
      <c r="Q203" s="242"/>
      <c r="R203" s="144"/>
      <c r="S203" s="157"/>
      <c r="T203" s="147"/>
      <c r="U203" s="1206"/>
      <c r="V203" s="207"/>
      <c r="W203" s="384"/>
      <c r="X203" s="384"/>
      <c r="Y203" s="386"/>
      <c r="Z203" s="387"/>
      <c r="AA203" s="242"/>
      <c r="AB203" s="144"/>
      <c r="AC203" s="157"/>
      <c r="AD203" s="147"/>
      <c r="AE203" s="1206"/>
      <c r="AF203" s="207"/>
      <c r="AG203" s="384"/>
      <c r="AH203" s="384"/>
      <c r="AI203" s="386"/>
      <c r="AJ203" s="387"/>
      <c r="AK203" s="242"/>
      <c r="AL203" s="144"/>
      <c r="AM203" s="157"/>
      <c r="AN203" s="147"/>
    </row>
    <row r="204" spans="1:40" ht="11" thickBot="1">
      <c r="A204" s="1206"/>
      <c r="B204" s="278"/>
      <c r="C204" s="406"/>
      <c r="D204" s="406"/>
      <c r="E204" s="407"/>
      <c r="F204" s="408"/>
      <c r="G204" s="409"/>
      <c r="H204" s="144"/>
      <c r="I204" s="157"/>
      <c r="J204" s="147"/>
      <c r="K204" s="1206"/>
      <c r="L204" s="278"/>
      <c r="M204" s="406"/>
      <c r="N204" s="406"/>
      <c r="O204" s="407"/>
      <c r="P204" s="408"/>
      <c r="Q204" s="409"/>
      <c r="R204" s="144"/>
      <c r="S204" s="157"/>
      <c r="T204" s="147"/>
      <c r="U204" s="1206"/>
      <c r="V204" s="278"/>
      <c r="W204" s="406"/>
      <c r="X204" s="406"/>
      <c r="Y204" s="407"/>
      <c r="Z204" s="408"/>
      <c r="AA204" s="409"/>
      <c r="AB204" s="144"/>
      <c r="AC204" s="157"/>
      <c r="AD204" s="147"/>
      <c r="AE204" s="1206"/>
      <c r="AF204" s="278"/>
      <c r="AG204" s="406"/>
      <c r="AH204" s="406"/>
      <c r="AI204" s="407"/>
      <c r="AJ204" s="408"/>
      <c r="AK204" s="409"/>
      <c r="AL204" s="144"/>
      <c r="AM204" s="157"/>
      <c r="AN204" s="147"/>
    </row>
    <row r="205" spans="1:40" ht="11" thickBot="1">
      <c r="A205" s="1206"/>
      <c r="B205" s="1217" t="s">
        <v>246</v>
      </c>
      <c r="C205" s="1218"/>
      <c r="D205" s="1218"/>
      <c r="E205" s="1218"/>
      <c r="F205" s="1218"/>
      <c r="G205" s="410">
        <f>SUM(G203:G204)</f>
        <v>0</v>
      </c>
      <c r="H205" s="152"/>
      <c r="I205" s="157"/>
      <c r="J205" s="147"/>
      <c r="K205" s="1206"/>
      <c r="L205" s="1217"/>
      <c r="M205" s="1218"/>
      <c r="N205" s="1218"/>
      <c r="O205" s="1218"/>
      <c r="P205" s="1218"/>
      <c r="Q205" s="410"/>
      <c r="R205" s="152"/>
      <c r="S205" s="157"/>
      <c r="T205" s="147"/>
      <c r="U205" s="1206"/>
      <c r="V205" s="1217"/>
      <c r="W205" s="1218"/>
      <c r="X205" s="1218"/>
      <c r="Y205" s="1218"/>
      <c r="Z205" s="1218"/>
      <c r="AA205" s="410"/>
      <c r="AB205" s="152"/>
      <c r="AC205" s="157"/>
      <c r="AD205" s="147"/>
      <c r="AE205" s="1206"/>
      <c r="AF205" s="1217"/>
      <c r="AG205" s="1218"/>
      <c r="AH205" s="1218"/>
      <c r="AI205" s="1218"/>
      <c r="AJ205" s="1218"/>
      <c r="AK205" s="410"/>
      <c r="AL205" s="152"/>
      <c r="AM205" s="157"/>
      <c r="AN205" s="147"/>
    </row>
    <row r="206" spans="1:40" ht="10.5" thickBot="1">
      <c r="A206" s="1206"/>
      <c r="B206" s="191"/>
      <c r="C206" s="157"/>
      <c r="D206" s="157"/>
      <c r="E206" s="144"/>
      <c r="F206" s="160"/>
      <c r="G206" s="157"/>
      <c r="H206" s="144"/>
      <c r="I206" s="157"/>
      <c r="J206" s="147"/>
      <c r="K206" s="1206"/>
      <c r="L206" s="191"/>
      <c r="M206" s="157"/>
      <c r="N206" s="157"/>
      <c r="O206" s="144"/>
      <c r="P206" s="160"/>
      <c r="Q206" s="157"/>
      <c r="R206" s="144"/>
      <c r="S206" s="157"/>
      <c r="T206" s="147"/>
      <c r="U206" s="1206"/>
      <c r="V206" s="191"/>
      <c r="W206" s="157"/>
      <c r="X206" s="157"/>
      <c r="Y206" s="144"/>
      <c r="Z206" s="160"/>
      <c r="AA206" s="157"/>
      <c r="AB206" s="144"/>
      <c r="AC206" s="157"/>
      <c r="AD206" s="147"/>
      <c r="AE206" s="1206"/>
      <c r="AF206" s="191"/>
      <c r="AG206" s="157"/>
      <c r="AH206" s="157"/>
      <c r="AI206" s="144"/>
      <c r="AJ206" s="160"/>
      <c r="AK206" s="157"/>
      <c r="AL206" s="144"/>
      <c r="AM206" s="157"/>
      <c r="AN206" s="147"/>
    </row>
    <row r="207" spans="1:40" ht="14">
      <c r="A207" s="1206"/>
      <c r="B207" s="411" t="s">
        <v>247</v>
      </c>
      <c r="C207" s="415">
        <f>+C187</f>
        <v>0</v>
      </c>
      <c r="D207" s="162"/>
      <c r="E207" s="144"/>
      <c r="F207" s="160"/>
      <c r="G207" s="157"/>
      <c r="H207" s="144"/>
      <c r="I207" s="157"/>
      <c r="J207" s="147"/>
      <c r="K207" s="1206"/>
      <c r="L207" s="411"/>
      <c r="M207" s="415"/>
      <c r="N207" s="162"/>
      <c r="O207" s="144"/>
      <c r="P207" s="160"/>
      <c r="Q207" s="157"/>
      <c r="R207" s="144"/>
      <c r="S207" s="157"/>
      <c r="T207" s="147"/>
      <c r="U207" s="1206"/>
      <c r="V207" s="411"/>
      <c r="W207" s="415"/>
      <c r="X207" s="162"/>
      <c r="Y207" s="144"/>
      <c r="Z207" s="160"/>
      <c r="AA207" s="157"/>
      <c r="AB207" s="144"/>
      <c r="AC207" s="157"/>
      <c r="AD207" s="147"/>
      <c r="AE207" s="1206"/>
      <c r="AF207" s="411"/>
      <c r="AG207" s="415"/>
      <c r="AH207" s="162"/>
      <c r="AI207" s="144"/>
      <c r="AJ207" s="160"/>
      <c r="AK207" s="157"/>
      <c r="AL207" s="144"/>
      <c r="AM207" s="157"/>
      <c r="AN207" s="147"/>
    </row>
    <row r="208" spans="1:40" ht="15.5">
      <c r="A208" s="1206"/>
      <c r="B208" s="412" t="s">
        <v>248</v>
      </c>
      <c r="C208" s="416">
        <f>(G205+G200)</f>
        <v>0</v>
      </c>
      <c r="D208" s="162"/>
      <c r="E208" s="144"/>
      <c r="F208" s="163"/>
      <c r="G208" s="157"/>
      <c r="H208" s="144"/>
      <c r="I208" s="157"/>
      <c r="J208" s="147"/>
      <c r="K208" s="1206"/>
      <c r="L208" s="412"/>
      <c r="M208" s="416"/>
      <c r="N208" s="162"/>
      <c r="O208" s="144"/>
      <c r="P208" s="163"/>
      <c r="Q208" s="157"/>
      <c r="R208" s="144"/>
      <c r="S208" s="157"/>
      <c r="T208" s="147"/>
      <c r="U208" s="1206"/>
      <c r="V208" s="412"/>
      <c r="W208" s="416"/>
      <c r="X208" s="162"/>
      <c r="Y208" s="144"/>
      <c r="Z208" s="163"/>
      <c r="AA208" s="157"/>
      <c r="AB208" s="144"/>
      <c r="AC208" s="157"/>
      <c r="AD208" s="147"/>
      <c r="AE208" s="1206"/>
      <c r="AF208" s="412"/>
      <c r="AG208" s="416"/>
      <c r="AH208" s="162"/>
      <c r="AI208" s="144"/>
      <c r="AJ208" s="163"/>
      <c r="AK208" s="157"/>
      <c r="AL208" s="144"/>
      <c r="AM208" s="157"/>
      <c r="AN208" s="147"/>
    </row>
    <row r="209" spans="1:40" ht="15.5">
      <c r="A209" s="1206"/>
      <c r="B209" s="412" t="s">
        <v>249</v>
      </c>
      <c r="C209" s="416">
        <f>C207/100*1.5</f>
        <v>0</v>
      </c>
      <c r="D209" s="162"/>
      <c r="E209" s="144"/>
      <c r="F209" s="163"/>
      <c r="G209" s="157"/>
      <c r="H209" s="144"/>
      <c r="I209" s="157"/>
      <c r="J209" s="147"/>
      <c r="K209" s="1206"/>
      <c r="L209" s="412"/>
      <c r="M209" s="416"/>
      <c r="N209" s="162"/>
      <c r="O209" s="144"/>
      <c r="P209" s="163"/>
      <c r="Q209" s="157"/>
      <c r="R209" s="144"/>
      <c r="S209" s="157"/>
      <c r="T209" s="147"/>
      <c r="U209" s="1206"/>
      <c r="V209" s="412"/>
      <c r="W209" s="416"/>
      <c r="X209" s="162"/>
      <c r="Y209" s="144"/>
      <c r="Z209" s="163"/>
      <c r="AA209" s="157"/>
      <c r="AB209" s="144"/>
      <c r="AC209" s="157"/>
      <c r="AD209" s="147"/>
      <c r="AE209" s="1206"/>
      <c r="AF209" s="412"/>
      <c r="AG209" s="416"/>
      <c r="AH209" s="162"/>
      <c r="AI209" s="144"/>
      <c r="AJ209" s="163"/>
      <c r="AK209" s="157"/>
      <c r="AL209" s="144"/>
      <c r="AM209" s="157"/>
      <c r="AN209" s="147"/>
    </row>
    <row r="210" spans="1:40" ht="15.5">
      <c r="A210" s="1206"/>
      <c r="B210" s="412" t="s">
        <v>284</v>
      </c>
      <c r="C210" s="416">
        <f>C189</f>
        <v>0</v>
      </c>
      <c r="D210" s="162"/>
      <c r="E210" s="144"/>
      <c r="F210" s="163"/>
      <c r="G210" s="157"/>
      <c r="H210" s="144"/>
      <c r="I210" s="157"/>
      <c r="J210" s="147"/>
      <c r="K210" s="1206"/>
      <c r="L210" s="412"/>
      <c r="M210" s="416"/>
      <c r="N210" s="162"/>
      <c r="O210" s="144"/>
      <c r="P210" s="163"/>
      <c r="Q210" s="157"/>
      <c r="R210" s="144"/>
      <c r="S210" s="157"/>
      <c r="T210" s="147"/>
      <c r="U210" s="1206"/>
      <c r="V210" s="412"/>
      <c r="W210" s="416"/>
      <c r="X210" s="162"/>
      <c r="Y210" s="144"/>
      <c r="Z210" s="163"/>
      <c r="AA210" s="157"/>
      <c r="AB210" s="144"/>
      <c r="AC210" s="157"/>
      <c r="AD210" s="147"/>
      <c r="AE210" s="1206"/>
      <c r="AF210" s="412"/>
      <c r="AG210" s="416"/>
      <c r="AH210" s="162"/>
      <c r="AI210" s="144"/>
      <c r="AJ210" s="163"/>
      <c r="AK210" s="157"/>
      <c r="AL210" s="144"/>
      <c r="AM210" s="157"/>
      <c r="AN210" s="147"/>
    </row>
    <row r="211" spans="1:40" ht="15.5">
      <c r="A211" s="1206"/>
      <c r="B211" s="412" t="s">
        <v>292</v>
      </c>
      <c r="C211" s="416">
        <f>H189</f>
        <v>0</v>
      </c>
      <c r="D211" s="162"/>
      <c r="E211" s="144"/>
      <c r="F211" s="163"/>
      <c r="G211" s="157"/>
      <c r="H211" s="144"/>
      <c r="I211" s="157"/>
      <c r="J211" s="147"/>
      <c r="K211" s="1206"/>
      <c r="L211" s="412"/>
      <c r="M211" s="416"/>
      <c r="N211" s="162"/>
      <c r="O211" s="144"/>
      <c r="P211" s="163"/>
      <c r="Q211" s="157"/>
      <c r="R211" s="144"/>
      <c r="S211" s="157"/>
      <c r="T211" s="147"/>
      <c r="U211" s="1206"/>
      <c r="V211" s="412"/>
      <c r="W211" s="416"/>
      <c r="X211" s="162"/>
      <c r="Y211" s="144"/>
      <c r="Z211" s="163"/>
      <c r="AA211" s="157"/>
      <c r="AB211" s="144"/>
      <c r="AC211" s="157"/>
      <c r="AD211" s="147"/>
      <c r="AE211" s="1206"/>
      <c r="AF211" s="412"/>
      <c r="AG211" s="416"/>
      <c r="AH211" s="162"/>
      <c r="AI211" s="144"/>
      <c r="AJ211" s="163"/>
      <c r="AK211" s="157"/>
      <c r="AL211" s="144"/>
      <c r="AM211" s="157"/>
      <c r="AN211" s="147"/>
    </row>
    <row r="212" spans="1:40" ht="15.5">
      <c r="A212" s="1206"/>
      <c r="B212" s="412" t="s">
        <v>74</v>
      </c>
      <c r="C212" s="416">
        <f>H201</f>
        <v>0</v>
      </c>
      <c r="D212" s="162"/>
      <c r="E212" s="144"/>
      <c r="F212" s="163"/>
      <c r="G212" s="157"/>
      <c r="H212" s="144"/>
      <c r="I212" s="157"/>
      <c r="J212" s="147"/>
      <c r="K212" s="1206"/>
      <c r="L212" s="412"/>
      <c r="M212" s="416"/>
      <c r="N212" s="162"/>
      <c r="O212" s="144"/>
      <c r="P212" s="163"/>
      <c r="Q212" s="157"/>
      <c r="R212" s="144"/>
      <c r="S212" s="157"/>
      <c r="T212" s="147"/>
      <c r="U212" s="1206"/>
      <c r="V212" s="412"/>
      <c r="W212" s="416"/>
      <c r="X212" s="162"/>
      <c r="Y212" s="144"/>
      <c r="Z212" s="163"/>
      <c r="AA212" s="157"/>
      <c r="AB212" s="144"/>
      <c r="AC212" s="157"/>
      <c r="AD212" s="147"/>
      <c r="AE212" s="1206"/>
      <c r="AF212" s="412"/>
      <c r="AG212" s="416"/>
      <c r="AH212" s="162"/>
      <c r="AI212" s="144"/>
      <c r="AJ212" s="163"/>
      <c r="AK212" s="157"/>
      <c r="AL212" s="144"/>
      <c r="AM212" s="157"/>
      <c r="AN212" s="147"/>
    </row>
    <row r="213" spans="1:40" ht="15.5">
      <c r="A213" s="1206"/>
      <c r="B213" s="412" t="s">
        <v>293</v>
      </c>
      <c r="C213" s="416">
        <f>I201</f>
        <v>0</v>
      </c>
      <c r="D213" s="162"/>
      <c r="E213" s="144"/>
      <c r="F213" s="163"/>
      <c r="G213" s="157"/>
      <c r="H213" s="144"/>
      <c r="I213" s="157"/>
      <c r="J213" s="147"/>
      <c r="K213" s="1206"/>
      <c r="L213" s="412"/>
      <c r="M213" s="416"/>
      <c r="N213" s="162"/>
      <c r="O213" s="144"/>
      <c r="P213" s="163"/>
      <c r="Q213" s="157"/>
      <c r="R213" s="144"/>
      <c r="S213" s="157"/>
      <c r="T213" s="147"/>
      <c r="U213" s="1206"/>
      <c r="V213" s="412"/>
      <c r="W213" s="416"/>
      <c r="X213" s="162"/>
      <c r="Y213" s="144"/>
      <c r="Z213" s="163"/>
      <c r="AA213" s="157"/>
      <c r="AB213" s="144"/>
      <c r="AC213" s="157"/>
      <c r="AD213" s="147"/>
      <c r="AE213" s="1206"/>
      <c r="AF213" s="412"/>
      <c r="AG213" s="416"/>
      <c r="AH213" s="162"/>
      <c r="AI213" s="144"/>
      <c r="AJ213" s="163"/>
      <c r="AK213" s="157"/>
      <c r="AL213" s="144"/>
      <c r="AM213" s="157"/>
      <c r="AN213" s="147"/>
    </row>
    <row r="214" spans="1:40" ht="15.5">
      <c r="A214" s="1206"/>
      <c r="B214" s="412" t="s">
        <v>250</v>
      </c>
      <c r="C214" s="416">
        <f>(C207+C208)/100*2</f>
        <v>0</v>
      </c>
      <c r="D214" s="162"/>
      <c r="E214" s="144"/>
      <c r="F214" s="163"/>
      <c r="G214" s="157"/>
      <c r="H214" s="144"/>
      <c r="I214" s="157"/>
      <c r="J214" s="147"/>
      <c r="K214" s="1206"/>
      <c r="L214" s="412"/>
      <c r="M214" s="416"/>
      <c r="N214" s="162"/>
      <c r="O214" s="144"/>
      <c r="P214" s="163"/>
      <c r="Q214" s="157"/>
      <c r="R214" s="144"/>
      <c r="S214" s="157"/>
      <c r="T214" s="147"/>
      <c r="U214" s="1206"/>
      <c r="V214" s="412"/>
      <c r="W214" s="416"/>
      <c r="X214" s="162"/>
      <c r="Y214" s="144"/>
      <c r="Z214" s="163"/>
      <c r="AA214" s="157"/>
      <c r="AB214" s="144"/>
      <c r="AC214" s="157"/>
      <c r="AD214" s="147"/>
      <c r="AE214" s="1206"/>
      <c r="AF214" s="412"/>
      <c r="AG214" s="416"/>
      <c r="AH214" s="162"/>
      <c r="AI214" s="144"/>
      <c r="AJ214" s="163"/>
      <c r="AK214" s="157"/>
      <c r="AL214" s="144"/>
      <c r="AM214" s="157"/>
      <c r="AN214" s="147"/>
    </row>
    <row r="215" spans="1:40" ht="14">
      <c r="A215" s="1206"/>
      <c r="B215" s="413" t="s">
        <v>444</v>
      </c>
      <c r="C215" s="416">
        <v>0</v>
      </c>
      <c r="D215" s="162"/>
      <c r="E215" s="144"/>
      <c r="F215" s="160"/>
      <c r="G215" s="157"/>
      <c r="H215" s="144"/>
      <c r="I215" s="157"/>
      <c r="J215" s="147"/>
      <c r="K215" s="1206"/>
      <c r="L215" s="413"/>
      <c r="M215" s="416"/>
      <c r="N215" s="162"/>
      <c r="O215" s="144"/>
      <c r="P215" s="160"/>
      <c r="Q215" s="157"/>
      <c r="R215" s="144"/>
      <c r="S215" s="157"/>
      <c r="T215" s="147"/>
      <c r="U215" s="1206"/>
      <c r="V215" s="413"/>
      <c r="W215" s="416"/>
      <c r="X215" s="162"/>
      <c r="Y215" s="144"/>
      <c r="Z215" s="160"/>
      <c r="AA215" s="157"/>
      <c r="AB215" s="144"/>
      <c r="AC215" s="157"/>
      <c r="AD215" s="147"/>
      <c r="AE215" s="1206"/>
      <c r="AF215" s="413"/>
      <c r="AG215" s="416"/>
      <c r="AH215" s="162"/>
      <c r="AI215" s="144"/>
      <c r="AJ215" s="160"/>
      <c r="AK215" s="157"/>
      <c r="AL215" s="144"/>
      <c r="AM215" s="157"/>
      <c r="AN215" s="147"/>
    </row>
    <row r="216" spans="1:40" ht="14">
      <c r="A216" s="1206"/>
      <c r="B216" s="413" t="s">
        <v>253</v>
      </c>
      <c r="C216" s="416">
        <v>0</v>
      </c>
      <c r="D216" s="162"/>
      <c r="E216" s="144"/>
      <c r="F216" s="160"/>
      <c r="G216" s="157"/>
      <c r="H216" s="144"/>
      <c r="I216" s="157"/>
      <c r="J216" s="147"/>
      <c r="K216" s="1206"/>
      <c r="L216" s="413"/>
      <c r="M216" s="416"/>
      <c r="N216" s="162"/>
      <c r="O216" s="144"/>
      <c r="P216" s="160"/>
      <c r="Q216" s="157"/>
      <c r="R216" s="144"/>
      <c r="S216" s="157"/>
      <c r="T216" s="147"/>
      <c r="U216" s="1206"/>
      <c r="V216" s="413"/>
      <c r="W216" s="416"/>
      <c r="X216" s="162"/>
      <c r="Y216" s="144"/>
      <c r="Z216" s="160"/>
      <c r="AA216" s="157"/>
      <c r="AB216" s="144"/>
      <c r="AC216" s="157"/>
      <c r="AD216" s="147"/>
      <c r="AE216" s="1206"/>
      <c r="AF216" s="413"/>
      <c r="AG216" s="416"/>
      <c r="AH216" s="162"/>
      <c r="AI216" s="144"/>
      <c r="AJ216" s="160"/>
      <c r="AK216" s="157"/>
      <c r="AL216" s="144"/>
      <c r="AM216" s="157"/>
      <c r="AN216" s="147"/>
    </row>
    <row r="217" spans="1:40" ht="17.5" thickBot="1">
      <c r="A217" s="1206"/>
      <c r="B217" s="414" t="s">
        <v>246</v>
      </c>
      <c r="C217" s="417">
        <f>SUM(C207:C216)</f>
        <v>0</v>
      </c>
      <c r="D217" s="164"/>
      <c r="E217" s="165"/>
      <c r="F217" s="165"/>
      <c r="G217" s="166"/>
      <c r="H217" s="167"/>
      <c r="I217" s="166"/>
      <c r="J217" s="196"/>
      <c r="K217" s="1206"/>
      <c r="L217" s="414"/>
      <c r="M217" s="417"/>
      <c r="N217" s="164"/>
      <c r="O217" s="165"/>
      <c r="P217" s="165"/>
      <c r="Q217" s="166"/>
      <c r="R217" s="167"/>
      <c r="S217" s="166"/>
      <c r="T217" s="196"/>
      <c r="U217" s="1206"/>
      <c r="V217" s="414"/>
      <c r="W217" s="417"/>
      <c r="X217" s="164"/>
      <c r="Y217" s="165"/>
      <c r="Z217" s="165"/>
      <c r="AA217" s="166"/>
      <c r="AB217" s="167"/>
      <c r="AC217" s="166"/>
      <c r="AD217" s="196"/>
      <c r="AE217" s="1206"/>
      <c r="AF217" s="414"/>
      <c r="AG217" s="417"/>
      <c r="AH217" s="164"/>
      <c r="AI217" s="165"/>
      <c r="AJ217" s="165"/>
      <c r="AK217" s="166"/>
      <c r="AL217" s="167"/>
      <c r="AM217" s="166"/>
      <c r="AN217" s="196"/>
    </row>
  </sheetData>
  <mergeCells count="458">
    <mergeCell ref="C44:D44"/>
    <mergeCell ref="C45:D45"/>
    <mergeCell ref="B74:J74"/>
    <mergeCell ref="C40:D40"/>
    <mergeCell ref="L40:M40"/>
    <mergeCell ref="V40:W40"/>
    <mergeCell ref="AF40:AG40"/>
    <mergeCell ref="C41:D41"/>
    <mergeCell ref="V41:W41"/>
    <mergeCell ref="AF41:AG41"/>
    <mergeCell ref="C42:D42"/>
    <mergeCell ref="C43:D43"/>
    <mergeCell ref="V69:AD69"/>
    <mergeCell ref="W70:AD70"/>
    <mergeCell ref="W71:AD71"/>
    <mergeCell ref="A65:AN68"/>
    <mergeCell ref="C37:D37"/>
    <mergeCell ref="Q37:S37"/>
    <mergeCell ref="AA37:AC37"/>
    <mergeCell ref="AK37:AM37"/>
    <mergeCell ref="C38:D38"/>
    <mergeCell ref="L38:M38"/>
    <mergeCell ref="V38:W38"/>
    <mergeCell ref="AF38:AG38"/>
    <mergeCell ref="C39:D39"/>
    <mergeCell ref="L39:M39"/>
    <mergeCell ref="V39:W39"/>
    <mergeCell ref="AF39:AG39"/>
    <mergeCell ref="AK33:AM33"/>
    <mergeCell ref="B34:C34"/>
    <mergeCell ref="K34:L34"/>
    <mergeCell ref="U34:V34"/>
    <mergeCell ref="AE34:AF34"/>
    <mergeCell ref="H35:I35"/>
    <mergeCell ref="C36:D36"/>
    <mergeCell ref="K36:L36"/>
    <mergeCell ref="U36:V36"/>
    <mergeCell ref="AE36:AF36"/>
    <mergeCell ref="B32:C32"/>
    <mergeCell ref="L33:M33"/>
    <mergeCell ref="O33:P33"/>
    <mergeCell ref="Q33:S33"/>
    <mergeCell ref="V33:W33"/>
    <mergeCell ref="Y33:Z33"/>
    <mergeCell ref="AA33:AC33"/>
    <mergeCell ref="AF33:AG33"/>
    <mergeCell ref="AI33:AJ33"/>
    <mergeCell ref="C29:D29"/>
    <mergeCell ref="L29:M29"/>
    <mergeCell ref="V29:W29"/>
    <mergeCell ref="AF29:AG29"/>
    <mergeCell ref="C30:D30"/>
    <mergeCell ref="L30:M30"/>
    <mergeCell ref="V30:W30"/>
    <mergeCell ref="AF30:AG30"/>
    <mergeCell ref="C31:D31"/>
    <mergeCell ref="L31:M31"/>
    <mergeCell ref="V31:W31"/>
    <mergeCell ref="AF31:AG31"/>
    <mergeCell ref="AI26:AM26"/>
    <mergeCell ref="C27:D27"/>
    <mergeCell ref="L27:M27"/>
    <mergeCell ref="V27:W27"/>
    <mergeCell ref="AF27:AG27"/>
    <mergeCell ref="C28:D28"/>
    <mergeCell ref="L28:M28"/>
    <mergeCell ref="V28:W28"/>
    <mergeCell ref="AF28:AG28"/>
    <mergeCell ref="C24:D24"/>
    <mergeCell ref="L24:M24"/>
    <mergeCell ref="V24:W24"/>
    <mergeCell ref="AF24:AG24"/>
    <mergeCell ref="C25:D25"/>
    <mergeCell ref="C26:D26"/>
    <mergeCell ref="F26:I26"/>
    <mergeCell ref="L26:M26"/>
    <mergeCell ref="O26:S26"/>
    <mergeCell ref="V26:W26"/>
    <mergeCell ref="Y26:AC26"/>
    <mergeCell ref="AF26:AG26"/>
    <mergeCell ref="C16:D16"/>
    <mergeCell ref="C19:D19"/>
    <mergeCell ref="C22:D22"/>
    <mergeCell ref="L22:M22"/>
    <mergeCell ref="V22:W22"/>
    <mergeCell ref="AF22:AG22"/>
    <mergeCell ref="C23:D23"/>
    <mergeCell ref="L23:M23"/>
    <mergeCell ref="V23:W23"/>
    <mergeCell ref="AF23:AG23"/>
    <mergeCell ref="C10:D10"/>
    <mergeCell ref="L10:S10"/>
    <mergeCell ref="V10:AC10"/>
    <mergeCell ref="AF10:AM10"/>
    <mergeCell ref="C11:D11"/>
    <mergeCell ref="C12:D12"/>
    <mergeCell ref="C13:D13"/>
    <mergeCell ref="C14:D14"/>
    <mergeCell ref="C15:D15"/>
    <mergeCell ref="C7:I7"/>
    <mergeCell ref="L7:S7"/>
    <mergeCell ref="V7:AC7"/>
    <mergeCell ref="AF7:AM7"/>
    <mergeCell ref="C8:I8"/>
    <mergeCell ref="L8:S8"/>
    <mergeCell ref="V8:AC8"/>
    <mergeCell ref="AF8:AM8"/>
    <mergeCell ref="C9:I9"/>
    <mergeCell ref="K9:S9"/>
    <mergeCell ref="U9:AC9"/>
    <mergeCell ref="AE9:AM9"/>
    <mergeCell ref="A1:AM4"/>
    <mergeCell ref="B5:I5"/>
    <mergeCell ref="K5:S5"/>
    <mergeCell ref="V5:W5"/>
    <mergeCell ref="X5:AC5"/>
    <mergeCell ref="AF5:AG5"/>
    <mergeCell ref="AH5:AM5"/>
    <mergeCell ref="C6:I6"/>
    <mergeCell ref="L6:S6"/>
    <mergeCell ref="C127:D127"/>
    <mergeCell ref="C89:D89"/>
    <mergeCell ref="C73:D73"/>
    <mergeCell ref="C83:D83"/>
    <mergeCell ref="F84:J84"/>
    <mergeCell ref="F90:G90"/>
    <mergeCell ref="H90:J90"/>
    <mergeCell ref="L69:T69"/>
    <mergeCell ref="M70:T70"/>
    <mergeCell ref="M71:T71"/>
    <mergeCell ref="L72:T72"/>
    <mergeCell ref="M73:N73"/>
    <mergeCell ref="P73:T73"/>
    <mergeCell ref="B69:J69"/>
    <mergeCell ref="C70:J70"/>
    <mergeCell ref="B72:J72"/>
    <mergeCell ref="F73:J73"/>
    <mergeCell ref="C90:D90"/>
    <mergeCell ref="C91:D91"/>
    <mergeCell ref="B93:C93"/>
    <mergeCell ref="C84:D84"/>
    <mergeCell ref="C85:D85"/>
    <mergeCell ref="C86:D86"/>
    <mergeCell ref="C87:D87"/>
    <mergeCell ref="C88:D88"/>
    <mergeCell ref="V72:AD72"/>
    <mergeCell ref="W73:X73"/>
    <mergeCell ref="Z73:AD73"/>
    <mergeCell ref="M91:N91"/>
    <mergeCell ref="L93:M93"/>
    <mergeCell ref="M83:N83"/>
    <mergeCell ref="M84:N84"/>
    <mergeCell ref="P84:T84"/>
    <mergeCell ref="M85:N85"/>
    <mergeCell ref="M86:N86"/>
    <mergeCell ref="M87:N87"/>
    <mergeCell ref="W85:X85"/>
    <mergeCell ref="W86:X86"/>
    <mergeCell ref="W87:X87"/>
    <mergeCell ref="W91:X91"/>
    <mergeCell ref="V93:W93"/>
    <mergeCell ref="W88:X88"/>
    <mergeCell ref="W89:X89"/>
    <mergeCell ref="W90:X90"/>
    <mergeCell ref="Z90:AA90"/>
    <mergeCell ref="AB90:AD90"/>
    <mergeCell ref="W83:X83"/>
    <mergeCell ref="W84:X84"/>
    <mergeCell ref="Z84:AD84"/>
    <mergeCell ref="M88:N88"/>
    <mergeCell ref="M89:N89"/>
    <mergeCell ref="M90:N90"/>
    <mergeCell ref="P90:Q90"/>
    <mergeCell ref="R90:T90"/>
    <mergeCell ref="AF69:AN69"/>
    <mergeCell ref="AG70:AN70"/>
    <mergeCell ref="AG71:AN71"/>
    <mergeCell ref="AF72:AN72"/>
    <mergeCell ref="AG73:AH73"/>
    <mergeCell ref="AJ73:AN73"/>
    <mergeCell ref="AG96:AH96"/>
    <mergeCell ref="AG97:AH97"/>
    <mergeCell ref="AG88:AH88"/>
    <mergeCell ref="AG89:AH89"/>
    <mergeCell ref="AG90:AH90"/>
    <mergeCell ref="C131:D131"/>
    <mergeCell ref="F130:J130"/>
    <mergeCell ref="AG121:AN121"/>
    <mergeCell ref="AG122:AN122"/>
    <mergeCell ref="A114:AN115"/>
    <mergeCell ref="A69:A113"/>
    <mergeCell ref="K69:K113"/>
    <mergeCell ref="U69:U113"/>
    <mergeCell ref="AE69:AE113"/>
    <mergeCell ref="AG83:AH83"/>
    <mergeCell ref="AG84:AH84"/>
    <mergeCell ref="AJ84:AN84"/>
    <mergeCell ref="AG85:AH85"/>
    <mergeCell ref="AG86:AH86"/>
    <mergeCell ref="AG87:AH87"/>
    <mergeCell ref="W97:X97"/>
    <mergeCell ref="M94:N94"/>
    <mergeCell ref="M95:N95"/>
    <mergeCell ref="M96:N96"/>
    <mergeCell ref="AG100:AH100"/>
    <mergeCell ref="C120:D120"/>
    <mergeCell ref="E120:J120"/>
    <mergeCell ref="O120:T120"/>
    <mergeCell ref="AJ90:AK90"/>
    <mergeCell ref="AL90:AN90"/>
    <mergeCell ref="AG91:AH91"/>
    <mergeCell ref="AF93:AG93"/>
    <mergeCell ref="AG94:AH94"/>
    <mergeCell ref="W100:X100"/>
    <mergeCell ref="M97:N97"/>
    <mergeCell ref="M98:N98"/>
    <mergeCell ref="M99:N99"/>
    <mergeCell ref="M100:N100"/>
    <mergeCell ref="C96:D96"/>
    <mergeCell ref="C97:D97"/>
    <mergeCell ref="C98:D98"/>
    <mergeCell ref="C99:D99"/>
    <mergeCell ref="C100:D100"/>
    <mergeCell ref="C94:D94"/>
    <mergeCell ref="C95:D95"/>
    <mergeCell ref="AG98:AH98"/>
    <mergeCell ref="AG99:AH99"/>
    <mergeCell ref="AG95:AH95"/>
    <mergeCell ref="F137:G137"/>
    <mergeCell ref="H137:J137"/>
    <mergeCell ref="H141:J141"/>
    <mergeCell ref="M120:N120"/>
    <mergeCell ref="M121:T121"/>
    <mergeCell ref="M122:T122"/>
    <mergeCell ref="L123:T123"/>
    <mergeCell ref="M124:N124"/>
    <mergeCell ref="C121:J121"/>
    <mergeCell ref="C122:J122"/>
    <mergeCell ref="B123:J123"/>
    <mergeCell ref="C124:D124"/>
    <mergeCell ref="F124:J124"/>
    <mergeCell ref="C125:J125"/>
    <mergeCell ref="C133:D133"/>
    <mergeCell ref="C134:D134"/>
    <mergeCell ref="C135:D135"/>
    <mergeCell ref="C128:D128"/>
    <mergeCell ref="C129:D129"/>
    <mergeCell ref="C130:D130"/>
    <mergeCell ref="M131:N131"/>
    <mergeCell ref="M132:N132"/>
    <mergeCell ref="M133:N133"/>
    <mergeCell ref="C132:D132"/>
    <mergeCell ref="AE120:AE165"/>
    <mergeCell ref="AJ137:AK137"/>
    <mergeCell ref="W131:X131"/>
    <mergeCell ref="W132:X132"/>
    <mergeCell ref="W133:X133"/>
    <mergeCell ref="W134:X134"/>
    <mergeCell ref="W135:X135"/>
    <mergeCell ref="W137:X137"/>
    <mergeCell ref="M134:N134"/>
    <mergeCell ref="M135:N135"/>
    <mergeCell ref="M137:N137"/>
    <mergeCell ref="P137:Q137"/>
    <mergeCell ref="R137:T137"/>
    <mergeCell ref="W128:X128"/>
    <mergeCell ref="W129:X129"/>
    <mergeCell ref="W130:X130"/>
    <mergeCell ref="Z130:AD130"/>
    <mergeCell ref="W120:X120"/>
    <mergeCell ref="Y120:AD120"/>
    <mergeCell ref="W121:AD121"/>
    <mergeCell ref="W122:AD122"/>
    <mergeCell ref="V123:AD123"/>
    <mergeCell ref="W124:X124"/>
    <mergeCell ref="Z124:AD124"/>
    <mergeCell ref="W125:AD125"/>
    <mergeCell ref="W127:X127"/>
    <mergeCell ref="A116:AN119"/>
    <mergeCell ref="A120:A165"/>
    <mergeCell ref="AF123:AN123"/>
    <mergeCell ref="AG124:AH124"/>
    <mergeCell ref="AJ124:AN124"/>
    <mergeCell ref="AL137:AN137"/>
    <mergeCell ref="AL141:AN141"/>
    <mergeCell ref="AG131:AH131"/>
    <mergeCell ref="AG132:AH132"/>
    <mergeCell ref="AG133:AH133"/>
    <mergeCell ref="AG134:AH134"/>
    <mergeCell ref="AG135:AH135"/>
    <mergeCell ref="AG137:AH137"/>
    <mergeCell ref="AG125:AN125"/>
    <mergeCell ref="AG127:AH127"/>
    <mergeCell ref="AG128:AH128"/>
    <mergeCell ref="AG129:AH129"/>
    <mergeCell ref="AG130:AH130"/>
    <mergeCell ref="AJ130:AN130"/>
    <mergeCell ref="Z137:AA137"/>
    <mergeCell ref="AB137:AD137"/>
    <mergeCell ref="AB141:AD141"/>
    <mergeCell ref="AG120:AH120"/>
    <mergeCell ref="AI120:AN120"/>
    <mergeCell ref="W98:X98"/>
    <mergeCell ref="W99:X99"/>
    <mergeCell ref="W94:X94"/>
    <mergeCell ref="W95:X95"/>
    <mergeCell ref="W96:X96"/>
    <mergeCell ref="C170:D170"/>
    <mergeCell ref="E170:J170"/>
    <mergeCell ref="C171:J171"/>
    <mergeCell ref="C172:J172"/>
    <mergeCell ref="W170:X170"/>
    <mergeCell ref="B147:F147"/>
    <mergeCell ref="B148:F148"/>
    <mergeCell ref="G147:G148"/>
    <mergeCell ref="R141:T141"/>
    <mergeCell ref="K120:K165"/>
    <mergeCell ref="U120:U165"/>
    <mergeCell ref="P124:T124"/>
    <mergeCell ref="M125:T125"/>
    <mergeCell ref="M127:N127"/>
    <mergeCell ref="M128:N128"/>
    <mergeCell ref="M129:N129"/>
    <mergeCell ref="M130:N130"/>
    <mergeCell ref="P130:T130"/>
    <mergeCell ref="C137:D137"/>
    <mergeCell ref="B173:J173"/>
    <mergeCell ref="C174:D174"/>
    <mergeCell ref="F174:J174"/>
    <mergeCell ref="C175:J175"/>
    <mergeCell ref="C178:D178"/>
    <mergeCell ref="C198:D198"/>
    <mergeCell ref="C179:D179"/>
    <mergeCell ref="C180:D180"/>
    <mergeCell ref="C181:D181"/>
    <mergeCell ref="F181:J181"/>
    <mergeCell ref="C182:D182"/>
    <mergeCell ref="C183:D183"/>
    <mergeCell ref="C184:D184"/>
    <mergeCell ref="C185:D185"/>
    <mergeCell ref="C187:D187"/>
    <mergeCell ref="C195:D195"/>
    <mergeCell ref="C196:D196"/>
    <mergeCell ref="C197:D197"/>
    <mergeCell ref="M179:N179"/>
    <mergeCell ref="M180:N180"/>
    <mergeCell ref="M181:N181"/>
    <mergeCell ref="P181:T181"/>
    <mergeCell ref="M182:N182"/>
    <mergeCell ref="P189:Q189"/>
    <mergeCell ref="R189:T189"/>
    <mergeCell ref="H193:J193"/>
    <mergeCell ref="C177:D177"/>
    <mergeCell ref="C186:D186"/>
    <mergeCell ref="M183:N183"/>
    <mergeCell ref="M184:N184"/>
    <mergeCell ref="C189:D189"/>
    <mergeCell ref="F189:G189"/>
    <mergeCell ref="H189:J189"/>
    <mergeCell ref="M185:N185"/>
    <mergeCell ref="M186:N186"/>
    <mergeCell ref="M187:N187"/>
    <mergeCell ref="M189:N189"/>
    <mergeCell ref="W178:X178"/>
    <mergeCell ref="W179:X179"/>
    <mergeCell ref="W180:X180"/>
    <mergeCell ref="W181:X181"/>
    <mergeCell ref="Z181:AD181"/>
    <mergeCell ref="W182:X182"/>
    <mergeCell ref="W183:X183"/>
    <mergeCell ref="W184:X184"/>
    <mergeCell ref="W185:X185"/>
    <mergeCell ref="Y170:AD170"/>
    <mergeCell ref="W171:AD171"/>
    <mergeCell ref="W172:AD172"/>
    <mergeCell ref="V173:AD173"/>
    <mergeCell ref="W174:X174"/>
    <mergeCell ref="Z174:AD174"/>
    <mergeCell ref="W175:AD175"/>
    <mergeCell ref="W177:X177"/>
    <mergeCell ref="AG170:AH170"/>
    <mergeCell ref="AG179:AH179"/>
    <mergeCell ref="AG180:AH180"/>
    <mergeCell ref="AG181:AH181"/>
    <mergeCell ref="AE170:AE217"/>
    <mergeCell ref="AI170:AN170"/>
    <mergeCell ref="AG171:AN171"/>
    <mergeCell ref="AG172:AN172"/>
    <mergeCell ref="AF173:AN173"/>
    <mergeCell ref="AG174:AH174"/>
    <mergeCell ref="AJ174:AN174"/>
    <mergeCell ref="AG175:AN175"/>
    <mergeCell ref="AG177:AH177"/>
    <mergeCell ref="AG178:AH178"/>
    <mergeCell ref="AL193:AN193"/>
    <mergeCell ref="AG194:AH194"/>
    <mergeCell ref="AG195:AH195"/>
    <mergeCell ref="AG196:AH196"/>
    <mergeCell ref="AG197:AH197"/>
    <mergeCell ref="AG198:AH198"/>
    <mergeCell ref="AJ181:AN181"/>
    <mergeCell ref="AG182:AH182"/>
    <mergeCell ref="AG184:AH184"/>
    <mergeCell ref="AG185:AH185"/>
    <mergeCell ref="AG186:AH186"/>
    <mergeCell ref="W186:X186"/>
    <mergeCell ref="W187:X187"/>
    <mergeCell ref="W189:X189"/>
    <mergeCell ref="Z189:AA189"/>
    <mergeCell ref="AB189:AD189"/>
    <mergeCell ref="AB193:AD193"/>
    <mergeCell ref="W194:X194"/>
    <mergeCell ref="W195:X195"/>
    <mergeCell ref="W196:X196"/>
    <mergeCell ref="AJ189:AK189"/>
    <mergeCell ref="AL189:AN189"/>
    <mergeCell ref="V199:Z199"/>
    <mergeCell ref="AA199:AA200"/>
    <mergeCell ref="V200:Z200"/>
    <mergeCell ref="V205:Z205"/>
    <mergeCell ref="AF199:AJ199"/>
    <mergeCell ref="B205:F205"/>
    <mergeCell ref="W197:X197"/>
    <mergeCell ref="W198:X198"/>
    <mergeCell ref="R193:T193"/>
    <mergeCell ref="M194:N194"/>
    <mergeCell ref="M195:N195"/>
    <mergeCell ref="M196:N196"/>
    <mergeCell ref="M197:N197"/>
    <mergeCell ref="M198:N198"/>
    <mergeCell ref="C194:D194"/>
    <mergeCell ref="B199:F199"/>
    <mergeCell ref="B200:F200"/>
    <mergeCell ref="G199:G200"/>
    <mergeCell ref="A166:AN169"/>
    <mergeCell ref="A170:A217"/>
    <mergeCell ref="K170:K217"/>
    <mergeCell ref="U170:U217"/>
    <mergeCell ref="M170:N170"/>
    <mergeCell ref="O170:T170"/>
    <mergeCell ref="M171:T171"/>
    <mergeCell ref="M172:T172"/>
    <mergeCell ref="L173:T173"/>
    <mergeCell ref="M174:N174"/>
    <mergeCell ref="P174:T174"/>
    <mergeCell ref="M175:T175"/>
    <mergeCell ref="M177:N177"/>
    <mergeCell ref="M178:N178"/>
    <mergeCell ref="AG183:AH183"/>
    <mergeCell ref="AK199:AK200"/>
    <mergeCell ref="AF200:AJ200"/>
    <mergeCell ref="AF205:AJ205"/>
    <mergeCell ref="L199:P199"/>
    <mergeCell ref="Q199:Q200"/>
    <mergeCell ref="L200:P200"/>
    <mergeCell ref="L205:P205"/>
    <mergeCell ref="AG187:AH187"/>
    <mergeCell ref="AG189:AH189"/>
  </mergeCells>
  <dataValidations disablePrompts="1" count="3">
    <dataValidation type="list" allowBlank="1" showInputMessage="1" showErrorMessage="1" sqref="C177:D177 W177:X177 M177:N177 AG177:AH177">
      <formula1>"Nylon 6 Plane, Nylon 66 Plane, Nylon 6 (30% GF), Nylon 66 (33% GF), ABS, Pom Acetal, Poly Propelene"</formula1>
    </dataValidation>
    <dataValidation type="list" allowBlank="1" showInputMessage="1" showErrorMessage="1" sqref="E178 Y178 O178 AI178">
      <formula1>"Injection Mould, Hand Mould, Vertical Mould"</formula1>
    </dataValidation>
    <dataValidation type="list" allowBlank="1" showInputMessage="1" showErrorMessage="1" sqref="F178 Z178 P178 AJ178">
      <formula1>"60 Ton, 110 Ton, 150 Ton, 180 Ton"</formula1>
    </dataValidation>
  </dataValidations>
  <pageMargins left="0" right="0" top="0" bottom="0" header="0" footer="0"/>
  <pageSetup paperSize="9" scale="25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V36"/>
  <sheetViews>
    <sheetView zoomScale="80" zoomScaleNormal="80" workbookViewId="0">
      <selection activeCell="E15" sqref="E15"/>
    </sheetView>
  </sheetViews>
  <sheetFormatPr defaultColWidth="12" defaultRowHeight="10"/>
  <cols>
    <col min="1" max="1" width="30.6640625" style="2" bestFit="1" customWidth="1"/>
    <col min="2" max="2" width="39.33203125" style="2" customWidth="1"/>
    <col min="3" max="3" width="20" style="2" customWidth="1"/>
    <col min="4" max="4" width="21" style="2" customWidth="1"/>
    <col min="5" max="5" width="17.44140625" style="2" bestFit="1" customWidth="1"/>
    <col min="6" max="6" width="32" style="2" customWidth="1"/>
    <col min="7" max="7" width="21.44140625" style="2" bestFit="1" customWidth="1"/>
    <col min="8" max="8" width="29.33203125" style="2" customWidth="1"/>
    <col min="9" max="9" width="24" style="2" bestFit="1" customWidth="1"/>
    <col min="10" max="10" width="19.6640625" style="2" customWidth="1"/>
    <col min="11" max="11" width="17.6640625" style="2" customWidth="1"/>
    <col min="12" max="12" width="13.6640625" style="2" customWidth="1"/>
    <col min="13" max="13" width="17" style="2" bestFit="1" customWidth="1"/>
    <col min="14" max="14" width="16.6640625" style="2" customWidth="1"/>
    <col min="15" max="15" width="14.6640625" style="2" customWidth="1"/>
    <col min="16" max="16" width="18.6640625" style="2" customWidth="1"/>
    <col min="17" max="17" width="14.33203125" style="2" customWidth="1"/>
    <col min="18" max="18" width="21.44140625" style="2" customWidth="1"/>
    <col min="19" max="19" width="22.6640625" style="2" customWidth="1"/>
    <col min="20" max="20" width="19" style="2" customWidth="1"/>
    <col min="21" max="21" width="15.44140625" style="2" customWidth="1"/>
    <col min="22" max="22" width="14.6640625" style="2" customWidth="1"/>
    <col min="23" max="23" width="16.6640625" style="2" customWidth="1"/>
    <col min="24" max="24" width="15.33203125" style="2" customWidth="1"/>
    <col min="25" max="25" width="16" style="2" customWidth="1"/>
    <col min="26" max="16384" width="12" style="2"/>
  </cols>
  <sheetData>
    <row r="1" spans="1:22">
      <c r="A1" s="1388" t="s">
        <v>269</v>
      </c>
      <c r="B1" s="1389"/>
      <c r="C1" s="1389"/>
      <c r="D1" s="1389"/>
      <c r="E1" s="1389"/>
      <c r="F1" s="1389"/>
      <c r="G1" s="1389"/>
      <c r="H1" s="1389"/>
      <c r="I1" s="1389"/>
      <c r="J1" s="1389"/>
      <c r="K1" s="1389"/>
      <c r="L1" s="1389"/>
      <c r="M1" s="1389"/>
      <c r="N1" s="1389"/>
      <c r="O1" s="1389"/>
      <c r="P1" s="1390"/>
    </row>
    <row r="2" spans="1:22">
      <c r="A2" s="1391"/>
      <c r="B2" s="1392"/>
      <c r="C2" s="1392"/>
      <c r="D2" s="1392"/>
      <c r="E2" s="1392"/>
      <c r="F2" s="1392"/>
      <c r="G2" s="1392"/>
      <c r="H2" s="1392"/>
      <c r="I2" s="1392"/>
      <c r="J2" s="1392"/>
      <c r="K2" s="1392"/>
      <c r="L2" s="1392"/>
      <c r="M2" s="1392"/>
      <c r="N2" s="1392"/>
      <c r="O2" s="1392"/>
      <c r="P2" s="1393"/>
    </row>
    <row r="3" spans="1:22">
      <c r="A3" s="1391"/>
      <c r="B3" s="1392"/>
      <c r="C3" s="1392"/>
      <c r="D3" s="1392"/>
      <c r="E3" s="1392"/>
      <c r="F3" s="1392"/>
      <c r="G3" s="1392"/>
      <c r="H3" s="1392"/>
      <c r="I3" s="1392"/>
      <c r="J3" s="1392"/>
      <c r="K3" s="1392"/>
      <c r="L3" s="1392"/>
      <c r="M3" s="1392"/>
      <c r="N3" s="1392"/>
      <c r="O3" s="1392"/>
      <c r="P3" s="1393"/>
    </row>
    <row r="4" spans="1:22" ht="10.5" thickBot="1">
      <c r="A4" s="1394"/>
      <c r="B4" s="1395"/>
      <c r="C4" s="1395"/>
      <c r="D4" s="1395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1395"/>
      <c r="P4" s="1396"/>
    </row>
    <row r="5" spans="1:22" s="427" customFormat="1" ht="25.75" customHeight="1">
      <c r="A5" s="697" t="s">
        <v>448</v>
      </c>
      <c r="B5" s="698" t="s">
        <v>518</v>
      </c>
      <c r="C5" s="699" t="s">
        <v>1</v>
      </c>
      <c r="D5" s="709" t="s">
        <v>523</v>
      </c>
      <c r="E5" s="710"/>
    </row>
    <row r="6" spans="1:22" s="427" customFormat="1" ht="28.25" customHeight="1">
      <c r="A6" s="700" t="s">
        <v>0</v>
      </c>
      <c r="B6" s="701" t="s">
        <v>339</v>
      </c>
      <c r="C6" s="702" t="s">
        <v>2</v>
      </c>
      <c r="D6" s="701" t="s">
        <v>121</v>
      </c>
      <c r="E6" s="703"/>
    </row>
    <row r="7" spans="1:22" s="427" customFormat="1" ht="17.5">
      <c r="A7" s="700" t="s">
        <v>450</v>
      </c>
      <c r="B7" s="701">
        <v>1959782181</v>
      </c>
      <c r="C7" s="704" t="s">
        <v>113</v>
      </c>
      <c r="D7" s="701">
        <v>0</v>
      </c>
      <c r="E7" s="703"/>
    </row>
    <row r="8" spans="1:22" s="427" customFormat="1" ht="20" customHeight="1">
      <c r="A8" s="708" t="s">
        <v>3</v>
      </c>
      <c r="B8" s="707" t="s">
        <v>519</v>
      </c>
      <c r="C8" s="705" t="s">
        <v>29</v>
      </c>
      <c r="D8" s="1397" t="s">
        <v>270</v>
      </c>
      <c r="E8" s="1397"/>
    </row>
    <row r="9" spans="1:22" s="427" customFormat="1" ht="20" customHeight="1">
      <c r="A9" s="711"/>
      <c r="B9" s="712"/>
      <c r="C9" s="705" t="s">
        <v>30</v>
      </c>
      <c r="D9" s="707">
        <v>300</v>
      </c>
      <c r="E9" s="713"/>
    </row>
    <row r="10" spans="1:22" s="427" customFormat="1" ht="20" customHeight="1">
      <c r="A10" s="700" t="s">
        <v>4</v>
      </c>
      <c r="B10" s="701">
        <v>0</v>
      </c>
      <c r="C10" s="706" t="s">
        <v>31</v>
      </c>
      <c r="D10" s="707">
        <v>20</v>
      </c>
      <c r="E10" s="713"/>
    </row>
    <row r="11" spans="1:22" s="427" customFormat="1" ht="20" customHeight="1">
      <c r="A11" s="708" t="s">
        <v>5</v>
      </c>
      <c r="B11" s="707"/>
      <c r="C11" s="706"/>
      <c r="D11" s="707"/>
      <c r="E11" s="713"/>
    </row>
    <row r="12" spans="1:22" s="427" customFormat="1" ht="20" customHeight="1" thickBot="1">
      <c r="A12" s="1417" t="s">
        <v>524</v>
      </c>
      <c r="B12" s="1418"/>
      <c r="C12" s="1418"/>
      <c r="D12" s="1418"/>
      <c r="E12" s="1418"/>
      <c r="F12" s="1418"/>
      <c r="G12" s="1418"/>
      <c r="H12" s="1418"/>
      <c r="I12" s="1418"/>
      <c r="J12" s="1418"/>
      <c r="K12" s="1418"/>
      <c r="S12" s="442"/>
      <c r="T12" s="442"/>
      <c r="U12" s="442"/>
      <c r="V12" s="442"/>
    </row>
    <row r="13" spans="1:22" s="434" customFormat="1" ht="22" customHeight="1">
      <c r="A13" s="432" t="s">
        <v>6</v>
      </c>
      <c r="B13" s="1399" t="s">
        <v>17</v>
      </c>
      <c r="C13" s="661" t="s">
        <v>528</v>
      </c>
      <c r="D13" s="1398" t="s">
        <v>7</v>
      </c>
      <c r="E13" s="1398"/>
      <c r="F13" s="1398" t="s">
        <v>8</v>
      </c>
      <c r="G13" s="1398"/>
      <c r="H13" s="1398"/>
      <c r="I13" s="1403" t="s">
        <v>546</v>
      </c>
      <c r="J13" s="1422" t="s">
        <v>531</v>
      </c>
      <c r="K13" s="1416" t="s">
        <v>548</v>
      </c>
      <c r="M13" s="433"/>
      <c r="N13" s="433"/>
      <c r="O13" s="433"/>
      <c r="P13" s="433"/>
    </row>
    <row r="14" spans="1:22" s="434" customFormat="1" ht="37" customHeight="1" thickBot="1">
      <c r="A14" s="435" t="s">
        <v>11</v>
      </c>
      <c r="B14" s="1400"/>
      <c r="C14" s="431" t="s">
        <v>65</v>
      </c>
      <c r="D14" s="436" t="s">
        <v>12</v>
      </c>
      <c r="E14" s="436" t="s">
        <v>13</v>
      </c>
      <c r="F14" s="430" t="s">
        <v>549</v>
      </c>
      <c r="G14" s="430" t="s">
        <v>529</v>
      </c>
      <c r="H14" s="690" t="s">
        <v>547</v>
      </c>
      <c r="I14" s="1404"/>
      <c r="J14" s="1423"/>
      <c r="K14" s="1416"/>
      <c r="M14" s="433"/>
      <c r="N14" s="433"/>
      <c r="O14" s="433"/>
      <c r="P14" s="433"/>
    </row>
    <row r="15" spans="1:22" s="4" customFormat="1" ht="20" customHeight="1">
      <c r="A15" s="655">
        <v>1</v>
      </c>
      <c r="B15" s="655" t="s">
        <v>118</v>
      </c>
      <c r="C15" s="655">
        <v>180</v>
      </c>
      <c r="D15" s="656" t="e">
        <f>'BOP New'!#REF!</f>
        <v>#REF!</v>
      </c>
      <c r="E15" s="656" t="e">
        <f>'BOP New'!#REF!</f>
        <v>#REF!</v>
      </c>
      <c r="F15" s="656" t="e">
        <f>'BOP New'!#REF!</f>
        <v>#REF!</v>
      </c>
      <c r="G15" s="656" t="e">
        <f>'BOP New'!#REF!</f>
        <v>#REF!</v>
      </c>
      <c r="H15" s="656" t="e">
        <f>'BOP New'!#REF!</f>
        <v>#REF!</v>
      </c>
      <c r="I15" s="657" t="e">
        <f>F15+G15+H15*A15</f>
        <v>#REF!</v>
      </c>
      <c r="J15" s="662"/>
      <c r="K15" s="691" t="e">
        <f>I15/D15</f>
        <v>#REF!</v>
      </c>
      <c r="R15" s="2"/>
      <c r="S15" s="2"/>
      <c r="T15" s="2"/>
      <c r="U15" s="2"/>
    </row>
    <row r="16" spans="1:22" ht="20" customHeight="1">
      <c r="A16" s="658">
        <v>1</v>
      </c>
      <c r="B16" s="655" t="s">
        <v>313</v>
      </c>
      <c r="C16" s="655">
        <f>'BOP New'!C87</f>
        <v>100</v>
      </c>
      <c r="D16" s="659">
        <f>'BOP New'!C85</f>
        <v>6.0000000000000001E-3</v>
      </c>
      <c r="E16" s="659">
        <f>'BOP New'!C84</f>
        <v>0</v>
      </c>
      <c r="F16" s="659">
        <f>'BOP New'!C90</f>
        <v>8.4000000000000005E-2</v>
      </c>
      <c r="G16" s="659">
        <f>'BOP New'!C106</f>
        <v>2.5200000000000001E-3</v>
      </c>
      <c r="H16" s="659">
        <f>'BOP New'!C113</f>
        <v>9.8433720000000002E-2</v>
      </c>
      <c r="I16" s="660">
        <f t="shared" ref="I16:I17" si="0">F16+G16+H16*A16</f>
        <v>0.18495371999999999</v>
      </c>
      <c r="J16" s="662" t="e">
        <f>'BOP New'!#REF!</f>
        <v>#REF!</v>
      </c>
      <c r="K16" s="691">
        <f>I16/D16</f>
        <v>30.825619999999997</v>
      </c>
      <c r="M16" s="4"/>
      <c r="N16" s="4"/>
      <c r="O16" s="4"/>
      <c r="P16" s="4"/>
      <c r="Q16" s="4"/>
    </row>
    <row r="17" spans="1:20" ht="20" customHeight="1">
      <c r="A17" s="658">
        <v>1</v>
      </c>
      <c r="B17" s="655" t="s">
        <v>525</v>
      </c>
      <c r="C17" s="655">
        <f>'BOP New'!M87</f>
        <v>0</v>
      </c>
      <c r="D17" s="659">
        <f>'BOP New'!M85</f>
        <v>0</v>
      </c>
      <c r="E17" s="659">
        <f>'BOP New'!M84</f>
        <v>0</v>
      </c>
      <c r="F17" s="659">
        <f>'BOP New'!M90</f>
        <v>0</v>
      </c>
      <c r="G17" s="659">
        <f>'BOP New'!M106</f>
        <v>0</v>
      </c>
      <c r="H17" s="659">
        <f>'BOP New'!M113</f>
        <v>0</v>
      </c>
      <c r="I17" s="660">
        <f t="shared" si="0"/>
        <v>0</v>
      </c>
      <c r="J17" s="662"/>
      <c r="K17" s="691" t="e">
        <f>I17/D17</f>
        <v>#DIV/0!</v>
      </c>
      <c r="M17" s="4"/>
      <c r="N17" s="4"/>
      <c r="O17" s="4"/>
      <c r="P17" s="4"/>
      <c r="Q17" s="4"/>
    </row>
    <row r="18" spans="1:20" ht="20" customHeight="1">
      <c r="A18" s="658">
        <v>1</v>
      </c>
      <c r="B18" s="655" t="s">
        <v>526</v>
      </c>
      <c r="C18" s="655">
        <f>'BOP New'!W87</f>
        <v>0</v>
      </c>
      <c r="D18" s="659">
        <f>'BOP New'!W85</f>
        <v>0</v>
      </c>
      <c r="E18" s="659">
        <f>'BOP New'!W84</f>
        <v>0</v>
      </c>
      <c r="F18" s="659">
        <f>'BOP New'!W90</f>
        <v>0</v>
      </c>
      <c r="G18" s="1405" t="s">
        <v>198</v>
      </c>
      <c r="H18" s="1406"/>
      <c r="I18" s="660">
        <f>F18</f>
        <v>0</v>
      </c>
      <c r="J18" s="662"/>
      <c r="K18" s="691" t="e">
        <f>I18/D18</f>
        <v>#DIV/0!</v>
      </c>
      <c r="M18" s="4"/>
      <c r="N18" s="4"/>
      <c r="O18" s="4"/>
      <c r="P18" s="4"/>
      <c r="Q18" s="4"/>
    </row>
    <row r="19" spans="1:20" ht="20" customHeight="1" thickBot="1">
      <c r="A19" s="658">
        <v>1</v>
      </c>
      <c r="B19" s="655" t="s">
        <v>527</v>
      </c>
      <c r="C19" s="655">
        <f>'BOP New'!AG87</f>
        <v>0</v>
      </c>
      <c r="D19" s="659">
        <f>'BOP New'!AG85</f>
        <v>0</v>
      </c>
      <c r="E19" s="659">
        <f>'BOP New'!AG84</f>
        <v>0</v>
      </c>
      <c r="F19" s="659">
        <f>'BOP New'!AG90</f>
        <v>0</v>
      </c>
      <c r="G19" s="1407" t="s">
        <v>198</v>
      </c>
      <c r="H19" s="1408"/>
      <c r="I19" s="660">
        <f>F19</f>
        <v>0</v>
      </c>
      <c r="J19" s="662"/>
      <c r="K19" s="691" t="e">
        <f>I19/D19</f>
        <v>#DIV/0!</v>
      </c>
      <c r="M19" s="4"/>
      <c r="N19" s="4"/>
      <c r="O19" s="4"/>
      <c r="P19" s="4"/>
      <c r="Q19" s="4"/>
    </row>
    <row r="20" spans="1:20" s="654" customFormat="1" ht="20" customHeight="1" thickBot="1">
      <c r="A20" s="1409" t="s">
        <v>14</v>
      </c>
      <c r="B20" s="1410"/>
      <c r="C20" s="1410"/>
      <c r="D20" s="1410"/>
      <c r="E20" s="1410"/>
      <c r="F20" s="1410"/>
      <c r="G20" s="1410"/>
      <c r="H20" s="1410"/>
      <c r="I20" s="1410"/>
      <c r="J20" s="1411"/>
    </row>
    <row r="21" spans="1:20" ht="20" customHeight="1">
      <c r="A21" s="437"/>
      <c r="B21" s="1422" t="s">
        <v>20</v>
      </c>
      <c r="C21" s="1412" t="s">
        <v>451</v>
      </c>
      <c r="D21" s="1414"/>
      <c r="E21" s="1412" t="s">
        <v>452</v>
      </c>
      <c r="F21" s="1413"/>
      <c r="G21" s="1401" t="s">
        <v>28</v>
      </c>
      <c r="H21" s="1424" t="s">
        <v>532</v>
      </c>
      <c r="I21" s="1424" t="s">
        <v>543</v>
      </c>
      <c r="J21" s="1401" t="s">
        <v>544</v>
      </c>
      <c r="K21" s="649"/>
      <c r="L21" s="648"/>
      <c r="M21" s="650"/>
      <c r="N21" s="651"/>
      <c r="O21" s="648"/>
      <c r="P21" s="4"/>
      <c r="Q21" s="4"/>
      <c r="R21" s="4"/>
      <c r="S21" s="4"/>
      <c r="T21" s="4"/>
    </row>
    <row r="22" spans="1:20" ht="36.5" customHeight="1" thickBot="1">
      <c r="A22" s="438"/>
      <c r="B22" s="1423"/>
      <c r="C22" s="439" t="s">
        <v>27</v>
      </c>
      <c r="D22" s="439" t="s">
        <v>215</v>
      </c>
      <c r="E22" s="440" t="s">
        <v>27</v>
      </c>
      <c r="F22" s="441" t="s">
        <v>215</v>
      </c>
      <c r="G22" s="1402"/>
      <c r="H22" s="1425"/>
      <c r="I22" s="1425"/>
      <c r="J22" s="1402"/>
      <c r="K22" s="649"/>
      <c r="L22" s="648"/>
      <c r="M22" s="650"/>
      <c r="N22" s="651"/>
      <c r="O22" s="648"/>
      <c r="P22" s="4"/>
      <c r="Q22" s="4"/>
      <c r="R22" s="4"/>
      <c r="S22" s="4"/>
      <c r="T22" s="4"/>
    </row>
    <row r="23" spans="1:20" ht="47.5" customHeight="1">
      <c r="A23" s="418">
        <v>10</v>
      </c>
      <c r="B23" s="663" t="s">
        <v>185</v>
      </c>
      <c r="C23" s="419">
        <f>IFERROR((VLOOKUP(B23,'Future Value Table (Jan 18)'!$B$21:$AJ$54,35,0)),0)</f>
        <v>4.0207353765169076</v>
      </c>
      <c r="D23" s="420">
        <f>IFERROR((VLOOKUP(B23,'Future Value Table (Jan 18)'!$B$59:$R$83,17,0)),0)</f>
        <v>1.086318458337644</v>
      </c>
      <c r="E23" s="428"/>
      <c r="F23" s="428"/>
      <c r="G23" s="422" t="e">
        <f>((E23*C23)+(F23*D23))/((#REF!-H23))</f>
        <v>#REF!</v>
      </c>
      <c r="H23" s="421"/>
      <c r="I23" s="421"/>
      <c r="J23" s="421"/>
      <c r="K23" s="649"/>
      <c r="L23" s="648"/>
      <c r="M23" s="650"/>
      <c r="N23" s="651"/>
      <c r="O23" s="648"/>
      <c r="P23" s="4"/>
      <c r="Q23" s="4"/>
      <c r="R23" s="4"/>
      <c r="S23" s="4"/>
      <c r="T23" s="4"/>
    </row>
    <row r="24" spans="1:20" ht="20" customHeight="1">
      <c r="A24" s="197">
        <v>20</v>
      </c>
      <c r="B24" s="663" t="s">
        <v>50</v>
      </c>
      <c r="C24" s="198">
        <f>IFERROR((VLOOKUP(B24,'Future Value Table (Jan 18)'!$B$21:$AJ$54,35,0)),0)</f>
        <v>5.1600200167255545</v>
      </c>
      <c r="D24" s="199">
        <f>IFERROR((VLOOKUP(B24,'Future Value Table (Jan 18)'!$B$59:$R$83,17,0)),0)</f>
        <v>1.086318458337644</v>
      </c>
      <c r="E24" s="429"/>
      <c r="F24" s="429"/>
      <c r="G24" s="201" t="e">
        <f>((E24*C24)+(F24*D24))/((#REF!-H24))</f>
        <v>#REF!</v>
      </c>
      <c r="H24" s="200"/>
      <c r="I24" s="200"/>
      <c r="J24" s="200"/>
      <c r="K24" s="649"/>
      <c r="L24" s="648"/>
      <c r="M24" s="650"/>
      <c r="N24" s="651"/>
      <c r="O24" s="648"/>
      <c r="P24" s="4"/>
      <c r="Q24" s="4"/>
      <c r="R24" s="4"/>
      <c r="S24" s="4"/>
      <c r="T24" s="4"/>
    </row>
    <row r="25" spans="1:20" ht="20" customHeight="1">
      <c r="A25" s="197">
        <v>30</v>
      </c>
      <c r="B25" s="663" t="s">
        <v>185</v>
      </c>
      <c r="C25" s="198">
        <f>IFERROR((VLOOKUP(B25,'Future Value Table (Jan 18)'!$B$21:$AJ$54,35,0)),0)</f>
        <v>4.0207353765169076</v>
      </c>
      <c r="D25" s="199">
        <f>IFERROR((VLOOKUP(B25,'Future Value Table (Jan 18)'!$B$59:$R$83,17,0)),0)</f>
        <v>1.086318458337644</v>
      </c>
      <c r="E25" s="429"/>
      <c r="F25" s="429"/>
      <c r="G25" s="201" t="e">
        <f>((E25*C25)+(F25*D25))/((#REF!-H25))</f>
        <v>#REF!</v>
      </c>
      <c r="H25" s="200"/>
      <c r="I25" s="200"/>
      <c r="J25" s="200"/>
      <c r="K25" s="649"/>
      <c r="L25" s="648"/>
      <c r="M25" s="650"/>
      <c r="N25" s="651"/>
      <c r="O25" s="648"/>
      <c r="P25" s="4"/>
      <c r="Q25" s="4"/>
      <c r="R25" s="4"/>
      <c r="S25" s="4"/>
      <c r="T25" s="4"/>
    </row>
    <row r="26" spans="1:20" ht="20" customHeight="1">
      <c r="A26" s="197">
        <v>40</v>
      </c>
      <c r="B26" s="663" t="s">
        <v>21</v>
      </c>
      <c r="C26" s="198">
        <f>IFERROR((VLOOKUP(B26,'Future Value Table (Jan 18)'!$B$21:$AJ$54,35,0)),0)</f>
        <v>4.5423808641589298</v>
      </c>
      <c r="D26" s="199">
        <f>IFERROR((VLOOKUP(B26,'Future Value Table (Jan 18)'!$B$59:$R$83,17,0)),0)</f>
        <v>1.086318458337644</v>
      </c>
      <c r="E26" s="429"/>
      <c r="F26" s="429"/>
      <c r="G26" s="201" t="e">
        <f>((E26*C26)+(F26*D26))/((#REF!-H26))</f>
        <v>#REF!</v>
      </c>
      <c r="H26" s="200"/>
      <c r="I26" s="200"/>
      <c r="J26" s="200"/>
      <c r="K26" s="649"/>
      <c r="L26" s="648"/>
      <c r="M26" s="650"/>
      <c r="N26" s="651"/>
      <c r="O26" s="648"/>
      <c r="P26" s="4"/>
      <c r="Q26" s="4"/>
      <c r="R26" s="4"/>
      <c r="S26" s="4"/>
      <c r="T26" s="4"/>
    </row>
    <row r="27" spans="1:20" ht="20" customHeight="1">
      <c r="A27" s="197">
        <v>50</v>
      </c>
      <c r="B27" s="663" t="s">
        <v>144</v>
      </c>
      <c r="C27" s="198">
        <f>IFERROR((VLOOKUP(B27,'Future Value Table (Jan 18)'!$B$21:$AJ$54,35,0)),0)</f>
        <v>5.2541452711901151</v>
      </c>
      <c r="D27" s="199">
        <f>IFERROR((VLOOKUP(B27,'Future Value Table (Jan 18)'!$B$59:$R$83,17,0)),0)</f>
        <v>1.086318458337644</v>
      </c>
      <c r="E27" s="429"/>
      <c r="F27" s="429"/>
      <c r="G27" s="201" t="e">
        <f>((E27*C27)+(F27*D27))/((#REF!-H27))</f>
        <v>#REF!</v>
      </c>
      <c r="H27" s="200"/>
      <c r="I27" s="200"/>
      <c r="J27" s="200"/>
      <c r="K27" s="649"/>
      <c r="L27" s="648"/>
      <c r="M27" s="650"/>
      <c r="N27" s="651"/>
      <c r="O27" s="648"/>
      <c r="P27" s="4"/>
      <c r="Q27" s="4"/>
      <c r="R27" s="4"/>
      <c r="S27" s="4"/>
      <c r="T27" s="4"/>
    </row>
    <row r="28" spans="1:20" ht="20" customHeight="1">
      <c r="A28" s="197">
        <v>60</v>
      </c>
      <c r="B28" s="663" t="s">
        <v>32</v>
      </c>
      <c r="C28" s="198">
        <f>IFERROR((VLOOKUP(B28,'Future Value Table (Jan 18)'!$B$21:$AJ$54,35,0)),0)</f>
        <v>0.15134625676025579</v>
      </c>
      <c r="D28" s="199">
        <f>IFERROR((VLOOKUP(B28,'Future Value Table (Jan 18)'!$B$59:$R$83,17,0)),0)</f>
        <v>1.086318458337644</v>
      </c>
      <c r="E28" s="429"/>
      <c r="F28" s="429"/>
      <c r="G28" s="201" t="e">
        <f>((E28*C28)+(F28*D28))/((#REF!-H28))</f>
        <v>#REF!</v>
      </c>
      <c r="H28" s="200"/>
      <c r="I28" s="200"/>
      <c r="J28" s="200"/>
      <c r="K28" s="649"/>
      <c r="L28" s="648"/>
      <c r="M28" s="650"/>
      <c r="N28" s="651"/>
      <c r="O28" s="648"/>
      <c r="P28" s="4"/>
      <c r="Q28" s="4"/>
      <c r="R28" s="4"/>
      <c r="S28" s="4"/>
      <c r="T28" s="4"/>
    </row>
    <row r="29" spans="1:20" ht="20" customHeight="1" thickBot="1">
      <c r="A29" s="664">
        <v>70</v>
      </c>
      <c r="B29" s="665" t="s">
        <v>66</v>
      </c>
      <c r="C29" s="423">
        <f>IFERROR((VLOOKUP(B29,'Future Value Table (Jan 18)'!$B$21:$AJ$54,35,0)),0)</f>
        <v>0</v>
      </c>
      <c r="D29" s="424">
        <f>IFERROR((VLOOKUP(B29,'Future Value Table (Jan 18)'!$B$59:$R$83,17,0)),0)</f>
        <v>1.086318458337644</v>
      </c>
      <c r="E29" s="666"/>
      <c r="F29" s="666"/>
      <c r="G29" s="426" t="e">
        <f>((E29*C29)+(F29*D29))/((#REF!-H29))</f>
        <v>#REF!</v>
      </c>
      <c r="H29" s="425"/>
      <c r="I29" s="425"/>
      <c r="J29" s="425"/>
      <c r="K29" s="649"/>
      <c r="L29" s="648"/>
      <c r="M29" s="650"/>
      <c r="N29" s="651"/>
      <c r="O29" s="648"/>
      <c r="P29" s="4"/>
      <c r="Q29" s="4"/>
      <c r="R29" s="4"/>
      <c r="S29" s="4"/>
      <c r="T29" s="4"/>
    </row>
    <row r="30" spans="1:20" s="654" customFormat="1" ht="20" customHeight="1">
      <c r="A30" s="679" t="s">
        <v>530</v>
      </c>
      <c r="B30" s="680"/>
      <c r="C30" s="680"/>
      <c r="D30" s="680"/>
      <c r="E30" s="680"/>
      <c r="F30" s="680"/>
      <c r="G30" s="680"/>
      <c r="H30" s="680"/>
      <c r="I30" s="680"/>
      <c r="J30" s="681"/>
    </row>
    <row r="31" spans="1:20" s="434" customFormat="1" ht="15.5" customHeight="1">
      <c r="A31" s="1420"/>
      <c r="B31" s="1419" t="s">
        <v>24</v>
      </c>
      <c r="C31" s="1420" t="s">
        <v>445</v>
      </c>
      <c r="D31" s="1420" t="s">
        <v>446</v>
      </c>
      <c r="E31" s="1420" t="s">
        <v>397</v>
      </c>
      <c r="F31" s="1419" t="s">
        <v>533</v>
      </c>
      <c r="G31" s="1419" t="s">
        <v>26</v>
      </c>
      <c r="H31" s="1421" t="s">
        <v>534</v>
      </c>
      <c r="I31" s="1421" t="s">
        <v>16</v>
      </c>
      <c r="J31" s="1415" t="s">
        <v>535</v>
      </c>
    </row>
    <row r="32" spans="1:20" s="434" customFormat="1" ht="20" customHeight="1">
      <c r="A32" s="1420"/>
      <c r="B32" s="1419"/>
      <c r="C32" s="1420"/>
      <c r="D32" s="1420"/>
      <c r="E32" s="1420"/>
      <c r="F32" s="1419"/>
      <c r="G32" s="1419"/>
      <c r="H32" s="1421"/>
      <c r="I32" s="1421"/>
      <c r="J32" s="1415"/>
    </row>
    <row r="33" spans="1:22" s="4" customFormat="1" ht="20" customHeight="1">
      <c r="A33" s="667"/>
      <c r="B33" s="668" t="s">
        <v>70</v>
      </c>
      <c r="C33" s="669"/>
      <c r="D33" s="670"/>
      <c r="E33" s="671"/>
      <c r="F33" s="668"/>
      <c r="G33" s="672"/>
      <c r="H33" s="672"/>
      <c r="I33" s="672"/>
      <c r="J33" s="672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20" customHeight="1" thickBot="1">
      <c r="A34" s="673"/>
      <c r="B34" s="674" t="s">
        <v>209</v>
      </c>
      <c r="C34" s="675"/>
      <c r="D34" s="676"/>
      <c r="E34" s="677"/>
      <c r="F34" s="674"/>
      <c r="G34" s="678"/>
      <c r="H34" s="678"/>
      <c r="I34" s="678"/>
      <c r="J34" s="678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s="686" customFormat="1" ht="50" customHeight="1">
      <c r="A35" s="687" t="s">
        <v>542</v>
      </c>
      <c r="B35" s="687" t="s">
        <v>453</v>
      </c>
      <c r="C35" s="687" t="s">
        <v>541</v>
      </c>
      <c r="D35" s="687" t="s">
        <v>536</v>
      </c>
      <c r="E35" s="687" t="s">
        <v>537</v>
      </c>
      <c r="F35" s="687" t="s">
        <v>530</v>
      </c>
      <c r="G35" s="687" t="s">
        <v>538</v>
      </c>
      <c r="H35" s="687" t="s">
        <v>540</v>
      </c>
      <c r="I35" s="687" t="s">
        <v>539</v>
      </c>
      <c r="J35" s="687" t="s">
        <v>545</v>
      </c>
    </row>
    <row r="36" spans="1:22" s="689" customFormat="1" ht="35" customHeight="1">
      <c r="A36" s="688" t="e">
        <f>SUM(I15:I19)</f>
        <v>#REF!</v>
      </c>
      <c r="B36" s="682">
        <v>1</v>
      </c>
      <c r="C36" s="683">
        <v>0.85</v>
      </c>
      <c r="D36" s="683">
        <v>0.02</v>
      </c>
      <c r="E36" s="683">
        <v>0.02</v>
      </c>
      <c r="F36" s="682">
        <f>J33+J34</f>
        <v>0</v>
      </c>
      <c r="G36" s="684" t="e">
        <f>(A36*D36)+(A36*E36)+A36+(B36/C36)</f>
        <v>#REF!</v>
      </c>
      <c r="H36" s="683">
        <v>0.05</v>
      </c>
      <c r="I36" s="714" t="e">
        <f>(G36*H36)+G36</f>
        <v>#REF!</v>
      </c>
      <c r="J36" s="685" t="e">
        <f>SUM(H23:H29)+SUM(I23:I29)+SUM(J15:J19)</f>
        <v>#REF!</v>
      </c>
      <c r="K36" s="652"/>
      <c r="L36" s="652"/>
      <c r="M36" s="652"/>
      <c r="N36" s="652"/>
      <c r="O36" s="652"/>
      <c r="P36" s="653"/>
    </row>
  </sheetData>
  <sheetProtection insertRows="0"/>
  <mergeCells count="29">
    <mergeCell ref="J31:J32"/>
    <mergeCell ref="K13:K14"/>
    <mergeCell ref="A12:K12"/>
    <mergeCell ref="B31:B32"/>
    <mergeCell ref="C31:C32"/>
    <mergeCell ref="D31:D32"/>
    <mergeCell ref="E31:E32"/>
    <mergeCell ref="F31:F32"/>
    <mergeCell ref="A31:A32"/>
    <mergeCell ref="G31:G32"/>
    <mergeCell ref="H31:H32"/>
    <mergeCell ref="I31:I32"/>
    <mergeCell ref="J13:J14"/>
    <mergeCell ref="B21:B22"/>
    <mergeCell ref="H21:H22"/>
    <mergeCell ref="I21:I22"/>
    <mergeCell ref="G21:G22"/>
    <mergeCell ref="I13:I14"/>
    <mergeCell ref="J21:J22"/>
    <mergeCell ref="G18:H18"/>
    <mergeCell ref="G19:H19"/>
    <mergeCell ref="A20:J20"/>
    <mergeCell ref="E21:F21"/>
    <mergeCell ref="C21:D21"/>
    <mergeCell ref="A1:P4"/>
    <mergeCell ref="D8:E8"/>
    <mergeCell ref="D13:E13"/>
    <mergeCell ref="B13:B14"/>
    <mergeCell ref="F13:H13"/>
  </mergeCells>
  <phoneticPr fontId="0" type="noConversion"/>
  <pageMargins left="0.25" right="0.25" top="0.75" bottom="0.75" header="0.3" footer="0.3"/>
  <pageSetup paperSize="9" scale="22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'Future Value Table (Jan 18)'!$B$25:$B$54</xm:f>
          </x14:formula1>
          <xm:sqref>B23:B29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6"/>
  <sheetViews>
    <sheetView tabSelected="1" zoomScaleNormal="100" zoomScaleSheetLayoutView="100" workbookViewId="0">
      <pane xSplit="7" topLeftCell="H1" activePane="topRight" state="frozen"/>
      <selection pane="topRight" activeCell="F8" sqref="F8"/>
    </sheetView>
  </sheetViews>
  <sheetFormatPr defaultColWidth="11.6640625" defaultRowHeight="12.5"/>
  <cols>
    <col min="1" max="1" width="11.6640625" style="914"/>
    <col min="2" max="2" width="38.6640625" style="913" customWidth="1"/>
    <col min="3" max="3" width="22" style="914" customWidth="1"/>
    <col min="4" max="4" width="33.33203125" style="913" customWidth="1"/>
    <col min="5" max="5" width="5.5546875" style="913" bestFit="1" customWidth="1"/>
    <col min="6" max="6" width="9.44140625" style="913" customWidth="1"/>
    <col min="7" max="7" width="16.109375" style="914" customWidth="1"/>
    <col min="8" max="8" width="10.33203125" style="914" customWidth="1"/>
    <col min="9" max="9" width="7.33203125" style="914" customWidth="1"/>
    <col min="10" max="10" width="12.109375" style="913" customWidth="1"/>
    <col min="11" max="11" width="12.44140625" style="913" customWidth="1"/>
    <col min="12" max="14" width="12.88671875" style="915" customWidth="1"/>
    <col min="15" max="15" width="10" style="913" customWidth="1"/>
    <col min="16" max="16" width="10.33203125" style="913" customWidth="1"/>
    <col min="17" max="17" width="5.6640625" style="913" customWidth="1"/>
    <col min="18" max="18" width="5" style="913" customWidth="1"/>
    <col min="19" max="19" width="6" style="913" customWidth="1"/>
    <col min="20" max="20" width="6.44140625" style="913" customWidth="1"/>
    <col min="21" max="21" width="8.109375" style="913" customWidth="1"/>
    <col min="22" max="23" width="10.44140625" style="913" customWidth="1"/>
    <col min="24" max="25" width="6" style="913" customWidth="1"/>
    <col min="26" max="26" width="7.88671875" style="913" customWidth="1"/>
    <col min="27" max="27" width="11" style="913" customWidth="1"/>
    <col min="28" max="28" width="5.88671875" style="913" customWidth="1"/>
    <col min="29" max="29" width="11.44140625" style="913" customWidth="1"/>
    <col min="30" max="30" width="2.44140625" style="913" customWidth="1"/>
    <col min="31" max="31" width="9" style="913" customWidth="1"/>
    <col min="32" max="32" width="9.6640625" style="913" customWidth="1"/>
    <col min="33" max="33" width="15.109375" style="913" customWidth="1"/>
    <col min="34" max="34" width="8.88671875" style="913" customWidth="1"/>
    <col min="35" max="35" width="11.44140625" style="913" customWidth="1"/>
    <col min="36" max="37" width="13.44140625" style="913" customWidth="1"/>
    <col min="38" max="38" width="23.88671875" style="914" customWidth="1"/>
    <col min="39" max="39" width="11.6640625" style="914" customWidth="1"/>
    <col min="40" max="40" width="28.109375" style="913" customWidth="1"/>
    <col min="41" max="41" width="20.33203125" style="913" customWidth="1"/>
    <col min="42" max="42" width="17.109375" style="913" customWidth="1"/>
    <col min="43" max="43" width="16.5546875" style="913" customWidth="1"/>
    <col min="44" max="44" width="12.109375" style="913" customWidth="1"/>
    <col min="45" max="45" width="15.44140625" style="914" customWidth="1"/>
    <col min="46" max="46" width="16" style="914" customWidth="1"/>
    <col min="47" max="47" width="11.44140625" style="914" customWidth="1"/>
    <col min="48" max="48" width="15.109375" style="914" customWidth="1"/>
    <col min="49" max="49" width="11.44140625" style="914" customWidth="1"/>
    <col min="50" max="50" width="9" style="914" customWidth="1"/>
    <col min="51" max="51" width="8.44140625" style="914" customWidth="1"/>
    <col min="52" max="52" width="9.109375" style="914" customWidth="1"/>
    <col min="53" max="256" width="11.6640625" style="914"/>
    <col min="257" max="257" width="8.44140625" style="914" customWidth="1"/>
    <col min="258" max="258" width="22" style="914" customWidth="1"/>
    <col min="259" max="259" width="33.33203125" style="914" customWidth="1"/>
    <col min="260" max="260" width="5.5546875" style="914" bestFit="1" customWidth="1"/>
    <col min="261" max="261" width="9.44140625" style="914" customWidth="1"/>
    <col min="262" max="262" width="16.109375" style="914" customWidth="1"/>
    <col min="263" max="263" width="10.33203125" style="914" customWidth="1"/>
    <col min="264" max="264" width="7.33203125" style="914" customWidth="1"/>
    <col min="265" max="265" width="12.109375" style="914" customWidth="1"/>
    <col min="266" max="266" width="12.44140625" style="914" customWidth="1"/>
    <col min="267" max="269" width="12.88671875" style="914" customWidth="1"/>
    <col min="270" max="270" width="0" style="914" hidden="1" customWidth="1"/>
    <col min="271" max="271" width="10.33203125" style="914" customWidth="1"/>
    <col min="272" max="272" width="5.6640625" style="914" customWidth="1"/>
    <col min="273" max="273" width="5" style="914" customWidth="1"/>
    <col min="274" max="274" width="6" style="914" customWidth="1"/>
    <col min="275" max="275" width="6.44140625" style="914" customWidth="1"/>
    <col min="276" max="276" width="8.109375" style="914" customWidth="1"/>
    <col min="277" max="278" width="10.44140625" style="914" customWidth="1"/>
    <col min="279" max="280" width="6" style="914" customWidth="1"/>
    <col min="281" max="281" width="7.88671875" style="914" customWidth="1"/>
    <col min="282" max="282" width="11" style="914" customWidth="1"/>
    <col min="283" max="283" width="5.88671875" style="914" customWidth="1"/>
    <col min="284" max="284" width="11.44140625" style="914" customWidth="1"/>
    <col min="285" max="285" width="2.44140625" style="914" customWidth="1"/>
    <col min="286" max="286" width="9" style="914" customWidth="1"/>
    <col min="287" max="287" width="9.6640625" style="914" customWidth="1"/>
    <col min="288" max="288" width="0" style="914" hidden="1" customWidth="1"/>
    <col min="289" max="289" width="15.109375" style="914" customWidth="1"/>
    <col min="290" max="290" width="8.88671875" style="914" customWidth="1"/>
    <col min="291" max="291" width="11.44140625" style="914" customWidth="1"/>
    <col min="292" max="293" width="13.44140625" style="914" customWidth="1"/>
    <col min="294" max="294" width="23.88671875" style="914" customWidth="1"/>
    <col min="295" max="295" width="11.6640625" style="914" customWidth="1"/>
    <col min="296" max="296" width="14.88671875" style="914" bestFit="1" customWidth="1"/>
    <col min="297" max="303" width="0" style="914" hidden="1" customWidth="1"/>
    <col min="304" max="304" width="11.6640625" style="914"/>
    <col min="305" max="308" width="0" style="914" hidden="1" customWidth="1"/>
    <col min="309" max="512" width="11.6640625" style="914"/>
    <col min="513" max="513" width="8.44140625" style="914" customWidth="1"/>
    <col min="514" max="514" width="22" style="914" customWidth="1"/>
    <col min="515" max="515" width="33.33203125" style="914" customWidth="1"/>
    <col min="516" max="516" width="5.5546875" style="914" bestFit="1" customWidth="1"/>
    <col min="517" max="517" width="9.44140625" style="914" customWidth="1"/>
    <col min="518" max="518" width="16.109375" style="914" customWidth="1"/>
    <col min="519" max="519" width="10.33203125" style="914" customWidth="1"/>
    <col min="520" max="520" width="7.33203125" style="914" customWidth="1"/>
    <col min="521" max="521" width="12.109375" style="914" customWidth="1"/>
    <col min="522" max="522" width="12.44140625" style="914" customWidth="1"/>
    <col min="523" max="525" width="12.88671875" style="914" customWidth="1"/>
    <col min="526" max="526" width="0" style="914" hidden="1" customWidth="1"/>
    <col min="527" max="527" width="10.33203125" style="914" customWidth="1"/>
    <col min="528" max="528" width="5.6640625" style="914" customWidth="1"/>
    <col min="529" max="529" width="5" style="914" customWidth="1"/>
    <col min="530" max="530" width="6" style="914" customWidth="1"/>
    <col min="531" max="531" width="6.44140625" style="914" customWidth="1"/>
    <col min="532" max="532" width="8.109375" style="914" customWidth="1"/>
    <col min="533" max="534" width="10.44140625" style="914" customWidth="1"/>
    <col min="535" max="536" width="6" style="914" customWidth="1"/>
    <col min="537" max="537" width="7.88671875" style="914" customWidth="1"/>
    <col min="538" max="538" width="11" style="914" customWidth="1"/>
    <col min="539" max="539" width="5.88671875" style="914" customWidth="1"/>
    <col min="540" max="540" width="11.44140625" style="914" customWidth="1"/>
    <col min="541" max="541" width="2.44140625" style="914" customWidth="1"/>
    <col min="542" max="542" width="9" style="914" customWidth="1"/>
    <col min="543" max="543" width="9.6640625" style="914" customWidth="1"/>
    <col min="544" max="544" width="0" style="914" hidden="1" customWidth="1"/>
    <col min="545" max="545" width="15.109375" style="914" customWidth="1"/>
    <col min="546" max="546" width="8.88671875" style="914" customWidth="1"/>
    <col min="547" max="547" width="11.44140625" style="914" customWidth="1"/>
    <col min="548" max="549" width="13.44140625" style="914" customWidth="1"/>
    <col min="550" max="550" width="23.88671875" style="914" customWidth="1"/>
    <col min="551" max="551" width="11.6640625" style="914" customWidth="1"/>
    <col min="552" max="552" width="14.88671875" style="914" bestFit="1" customWidth="1"/>
    <col min="553" max="559" width="0" style="914" hidden="1" customWidth="1"/>
    <col min="560" max="560" width="11.6640625" style="914"/>
    <col min="561" max="564" width="0" style="914" hidden="1" customWidth="1"/>
    <col min="565" max="768" width="11.6640625" style="914"/>
    <col min="769" max="769" width="8.44140625" style="914" customWidth="1"/>
    <col min="770" max="770" width="22" style="914" customWidth="1"/>
    <col min="771" max="771" width="33.33203125" style="914" customWidth="1"/>
    <col min="772" max="772" width="5.5546875" style="914" bestFit="1" customWidth="1"/>
    <col min="773" max="773" width="9.44140625" style="914" customWidth="1"/>
    <col min="774" max="774" width="16.109375" style="914" customWidth="1"/>
    <col min="775" max="775" width="10.33203125" style="914" customWidth="1"/>
    <col min="776" max="776" width="7.33203125" style="914" customWidth="1"/>
    <col min="777" max="777" width="12.109375" style="914" customWidth="1"/>
    <col min="778" max="778" width="12.44140625" style="914" customWidth="1"/>
    <col min="779" max="781" width="12.88671875" style="914" customWidth="1"/>
    <col min="782" max="782" width="0" style="914" hidden="1" customWidth="1"/>
    <col min="783" max="783" width="10.33203125" style="914" customWidth="1"/>
    <col min="784" max="784" width="5.6640625" style="914" customWidth="1"/>
    <col min="785" max="785" width="5" style="914" customWidth="1"/>
    <col min="786" max="786" width="6" style="914" customWidth="1"/>
    <col min="787" max="787" width="6.44140625" style="914" customWidth="1"/>
    <col min="788" max="788" width="8.109375" style="914" customWidth="1"/>
    <col min="789" max="790" width="10.44140625" style="914" customWidth="1"/>
    <col min="791" max="792" width="6" style="914" customWidth="1"/>
    <col min="793" max="793" width="7.88671875" style="914" customWidth="1"/>
    <col min="794" max="794" width="11" style="914" customWidth="1"/>
    <col min="795" max="795" width="5.88671875" style="914" customWidth="1"/>
    <col min="796" max="796" width="11.44140625" style="914" customWidth="1"/>
    <col min="797" max="797" width="2.44140625" style="914" customWidth="1"/>
    <col min="798" max="798" width="9" style="914" customWidth="1"/>
    <col min="799" max="799" width="9.6640625" style="914" customWidth="1"/>
    <col min="800" max="800" width="0" style="914" hidden="1" customWidth="1"/>
    <col min="801" max="801" width="15.109375" style="914" customWidth="1"/>
    <col min="802" max="802" width="8.88671875" style="914" customWidth="1"/>
    <col min="803" max="803" width="11.44140625" style="914" customWidth="1"/>
    <col min="804" max="805" width="13.44140625" style="914" customWidth="1"/>
    <col min="806" max="806" width="23.88671875" style="914" customWidth="1"/>
    <col min="807" max="807" width="11.6640625" style="914" customWidth="1"/>
    <col min="808" max="808" width="14.88671875" style="914" bestFit="1" customWidth="1"/>
    <col min="809" max="815" width="0" style="914" hidden="1" customWidth="1"/>
    <col min="816" max="816" width="11.6640625" style="914"/>
    <col min="817" max="820" width="0" style="914" hidden="1" customWidth="1"/>
    <col min="821" max="1024" width="11.6640625" style="914"/>
    <col min="1025" max="1025" width="8.44140625" style="914" customWidth="1"/>
    <col min="1026" max="1026" width="22" style="914" customWidth="1"/>
    <col min="1027" max="1027" width="33.33203125" style="914" customWidth="1"/>
    <col min="1028" max="1028" width="5.5546875" style="914" bestFit="1" customWidth="1"/>
    <col min="1029" max="1029" width="9.44140625" style="914" customWidth="1"/>
    <col min="1030" max="1030" width="16.109375" style="914" customWidth="1"/>
    <col min="1031" max="1031" width="10.33203125" style="914" customWidth="1"/>
    <col min="1032" max="1032" width="7.33203125" style="914" customWidth="1"/>
    <col min="1033" max="1033" width="12.109375" style="914" customWidth="1"/>
    <col min="1034" max="1034" width="12.44140625" style="914" customWidth="1"/>
    <col min="1035" max="1037" width="12.88671875" style="914" customWidth="1"/>
    <col min="1038" max="1038" width="0" style="914" hidden="1" customWidth="1"/>
    <col min="1039" max="1039" width="10.33203125" style="914" customWidth="1"/>
    <col min="1040" max="1040" width="5.6640625" style="914" customWidth="1"/>
    <col min="1041" max="1041" width="5" style="914" customWidth="1"/>
    <col min="1042" max="1042" width="6" style="914" customWidth="1"/>
    <col min="1043" max="1043" width="6.44140625" style="914" customWidth="1"/>
    <col min="1044" max="1044" width="8.109375" style="914" customWidth="1"/>
    <col min="1045" max="1046" width="10.44140625" style="914" customWidth="1"/>
    <col min="1047" max="1048" width="6" style="914" customWidth="1"/>
    <col min="1049" max="1049" width="7.88671875" style="914" customWidth="1"/>
    <col min="1050" max="1050" width="11" style="914" customWidth="1"/>
    <col min="1051" max="1051" width="5.88671875" style="914" customWidth="1"/>
    <col min="1052" max="1052" width="11.44140625" style="914" customWidth="1"/>
    <col min="1053" max="1053" width="2.44140625" style="914" customWidth="1"/>
    <col min="1054" max="1054" width="9" style="914" customWidth="1"/>
    <col min="1055" max="1055" width="9.6640625" style="914" customWidth="1"/>
    <col min="1056" max="1056" width="0" style="914" hidden="1" customWidth="1"/>
    <col min="1057" max="1057" width="15.109375" style="914" customWidth="1"/>
    <col min="1058" max="1058" width="8.88671875" style="914" customWidth="1"/>
    <col min="1059" max="1059" width="11.44140625" style="914" customWidth="1"/>
    <col min="1060" max="1061" width="13.44140625" style="914" customWidth="1"/>
    <col min="1062" max="1062" width="23.88671875" style="914" customWidth="1"/>
    <col min="1063" max="1063" width="11.6640625" style="914" customWidth="1"/>
    <col min="1064" max="1064" width="14.88671875" style="914" bestFit="1" customWidth="1"/>
    <col min="1065" max="1071" width="0" style="914" hidden="1" customWidth="1"/>
    <col min="1072" max="1072" width="11.6640625" style="914"/>
    <col min="1073" max="1076" width="0" style="914" hidden="1" customWidth="1"/>
    <col min="1077" max="1280" width="11.6640625" style="914"/>
    <col min="1281" max="1281" width="8.44140625" style="914" customWidth="1"/>
    <col min="1282" max="1282" width="22" style="914" customWidth="1"/>
    <col min="1283" max="1283" width="33.33203125" style="914" customWidth="1"/>
    <col min="1284" max="1284" width="5.5546875" style="914" bestFit="1" customWidth="1"/>
    <col min="1285" max="1285" width="9.44140625" style="914" customWidth="1"/>
    <col min="1286" max="1286" width="16.109375" style="914" customWidth="1"/>
    <col min="1287" max="1287" width="10.33203125" style="914" customWidth="1"/>
    <col min="1288" max="1288" width="7.33203125" style="914" customWidth="1"/>
    <col min="1289" max="1289" width="12.109375" style="914" customWidth="1"/>
    <col min="1290" max="1290" width="12.44140625" style="914" customWidth="1"/>
    <col min="1291" max="1293" width="12.88671875" style="914" customWidth="1"/>
    <col min="1294" max="1294" width="0" style="914" hidden="1" customWidth="1"/>
    <col min="1295" max="1295" width="10.33203125" style="914" customWidth="1"/>
    <col min="1296" max="1296" width="5.6640625" style="914" customWidth="1"/>
    <col min="1297" max="1297" width="5" style="914" customWidth="1"/>
    <col min="1298" max="1298" width="6" style="914" customWidth="1"/>
    <col min="1299" max="1299" width="6.44140625" style="914" customWidth="1"/>
    <col min="1300" max="1300" width="8.109375" style="914" customWidth="1"/>
    <col min="1301" max="1302" width="10.44140625" style="914" customWidth="1"/>
    <col min="1303" max="1304" width="6" style="914" customWidth="1"/>
    <col min="1305" max="1305" width="7.88671875" style="914" customWidth="1"/>
    <col min="1306" max="1306" width="11" style="914" customWidth="1"/>
    <col min="1307" max="1307" width="5.88671875" style="914" customWidth="1"/>
    <col min="1308" max="1308" width="11.44140625" style="914" customWidth="1"/>
    <col min="1309" max="1309" width="2.44140625" style="914" customWidth="1"/>
    <col min="1310" max="1310" width="9" style="914" customWidth="1"/>
    <col min="1311" max="1311" width="9.6640625" style="914" customWidth="1"/>
    <col min="1312" max="1312" width="0" style="914" hidden="1" customWidth="1"/>
    <col min="1313" max="1313" width="15.109375" style="914" customWidth="1"/>
    <col min="1314" max="1314" width="8.88671875" style="914" customWidth="1"/>
    <col min="1315" max="1315" width="11.44140625" style="914" customWidth="1"/>
    <col min="1316" max="1317" width="13.44140625" style="914" customWidth="1"/>
    <col min="1318" max="1318" width="23.88671875" style="914" customWidth="1"/>
    <col min="1319" max="1319" width="11.6640625" style="914" customWidth="1"/>
    <col min="1320" max="1320" width="14.88671875" style="914" bestFit="1" customWidth="1"/>
    <col min="1321" max="1327" width="0" style="914" hidden="1" customWidth="1"/>
    <col min="1328" max="1328" width="11.6640625" style="914"/>
    <col min="1329" max="1332" width="0" style="914" hidden="1" customWidth="1"/>
    <col min="1333" max="1536" width="11.6640625" style="914"/>
    <col min="1537" max="1537" width="8.44140625" style="914" customWidth="1"/>
    <col min="1538" max="1538" width="22" style="914" customWidth="1"/>
    <col min="1539" max="1539" width="33.33203125" style="914" customWidth="1"/>
    <col min="1540" max="1540" width="5.5546875" style="914" bestFit="1" customWidth="1"/>
    <col min="1541" max="1541" width="9.44140625" style="914" customWidth="1"/>
    <col min="1542" max="1542" width="16.109375" style="914" customWidth="1"/>
    <col min="1543" max="1543" width="10.33203125" style="914" customWidth="1"/>
    <col min="1544" max="1544" width="7.33203125" style="914" customWidth="1"/>
    <col min="1545" max="1545" width="12.109375" style="914" customWidth="1"/>
    <col min="1546" max="1546" width="12.44140625" style="914" customWidth="1"/>
    <col min="1547" max="1549" width="12.88671875" style="914" customWidth="1"/>
    <col min="1550" max="1550" width="0" style="914" hidden="1" customWidth="1"/>
    <col min="1551" max="1551" width="10.33203125" style="914" customWidth="1"/>
    <col min="1552" max="1552" width="5.6640625" style="914" customWidth="1"/>
    <col min="1553" max="1553" width="5" style="914" customWidth="1"/>
    <col min="1554" max="1554" width="6" style="914" customWidth="1"/>
    <col min="1555" max="1555" width="6.44140625" style="914" customWidth="1"/>
    <col min="1556" max="1556" width="8.109375" style="914" customWidth="1"/>
    <col min="1557" max="1558" width="10.44140625" style="914" customWidth="1"/>
    <col min="1559" max="1560" width="6" style="914" customWidth="1"/>
    <col min="1561" max="1561" width="7.88671875" style="914" customWidth="1"/>
    <col min="1562" max="1562" width="11" style="914" customWidth="1"/>
    <col min="1563" max="1563" width="5.88671875" style="914" customWidth="1"/>
    <col min="1564" max="1564" width="11.44140625" style="914" customWidth="1"/>
    <col min="1565" max="1565" width="2.44140625" style="914" customWidth="1"/>
    <col min="1566" max="1566" width="9" style="914" customWidth="1"/>
    <col min="1567" max="1567" width="9.6640625" style="914" customWidth="1"/>
    <col min="1568" max="1568" width="0" style="914" hidden="1" customWidth="1"/>
    <col min="1569" max="1569" width="15.109375" style="914" customWidth="1"/>
    <col min="1570" max="1570" width="8.88671875" style="914" customWidth="1"/>
    <col min="1571" max="1571" width="11.44140625" style="914" customWidth="1"/>
    <col min="1572" max="1573" width="13.44140625" style="914" customWidth="1"/>
    <col min="1574" max="1574" width="23.88671875" style="914" customWidth="1"/>
    <col min="1575" max="1575" width="11.6640625" style="914" customWidth="1"/>
    <col min="1576" max="1576" width="14.88671875" style="914" bestFit="1" customWidth="1"/>
    <col min="1577" max="1583" width="0" style="914" hidden="1" customWidth="1"/>
    <col min="1584" max="1584" width="11.6640625" style="914"/>
    <col min="1585" max="1588" width="0" style="914" hidden="1" customWidth="1"/>
    <col min="1589" max="1792" width="11.6640625" style="914"/>
    <col min="1793" max="1793" width="8.44140625" style="914" customWidth="1"/>
    <col min="1794" max="1794" width="22" style="914" customWidth="1"/>
    <col min="1795" max="1795" width="33.33203125" style="914" customWidth="1"/>
    <col min="1796" max="1796" width="5.5546875" style="914" bestFit="1" customWidth="1"/>
    <col min="1797" max="1797" width="9.44140625" style="914" customWidth="1"/>
    <col min="1798" max="1798" width="16.109375" style="914" customWidth="1"/>
    <col min="1799" max="1799" width="10.33203125" style="914" customWidth="1"/>
    <col min="1800" max="1800" width="7.33203125" style="914" customWidth="1"/>
    <col min="1801" max="1801" width="12.109375" style="914" customWidth="1"/>
    <col min="1802" max="1802" width="12.44140625" style="914" customWidth="1"/>
    <col min="1803" max="1805" width="12.88671875" style="914" customWidth="1"/>
    <col min="1806" max="1806" width="0" style="914" hidden="1" customWidth="1"/>
    <col min="1807" max="1807" width="10.33203125" style="914" customWidth="1"/>
    <col min="1808" max="1808" width="5.6640625" style="914" customWidth="1"/>
    <col min="1809" max="1809" width="5" style="914" customWidth="1"/>
    <col min="1810" max="1810" width="6" style="914" customWidth="1"/>
    <col min="1811" max="1811" width="6.44140625" style="914" customWidth="1"/>
    <col min="1812" max="1812" width="8.109375" style="914" customWidth="1"/>
    <col min="1813" max="1814" width="10.44140625" style="914" customWidth="1"/>
    <col min="1815" max="1816" width="6" style="914" customWidth="1"/>
    <col min="1817" max="1817" width="7.88671875" style="914" customWidth="1"/>
    <col min="1818" max="1818" width="11" style="914" customWidth="1"/>
    <col min="1819" max="1819" width="5.88671875" style="914" customWidth="1"/>
    <col min="1820" max="1820" width="11.44140625" style="914" customWidth="1"/>
    <col min="1821" max="1821" width="2.44140625" style="914" customWidth="1"/>
    <col min="1822" max="1822" width="9" style="914" customWidth="1"/>
    <col min="1823" max="1823" width="9.6640625" style="914" customWidth="1"/>
    <col min="1824" max="1824" width="0" style="914" hidden="1" customWidth="1"/>
    <col min="1825" max="1825" width="15.109375" style="914" customWidth="1"/>
    <col min="1826" max="1826" width="8.88671875" style="914" customWidth="1"/>
    <col min="1827" max="1827" width="11.44140625" style="914" customWidth="1"/>
    <col min="1828" max="1829" width="13.44140625" style="914" customWidth="1"/>
    <col min="1830" max="1830" width="23.88671875" style="914" customWidth="1"/>
    <col min="1831" max="1831" width="11.6640625" style="914" customWidth="1"/>
    <col min="1832" max="1832" width="14.88671875" style="914" bestFit="1" customWidth="1"/>
    <col min="1833" max="1839" width="0" style="914" hidden="1" customWidth="1"/>
    <col min="1840" max="1840" width="11.6640625" style="914"/>
    <col min="1841" max="1844" width="0" style="914" hidden="1" customWidth="1"/>
    <col min="1845" max="2048" width="11.6640625" style="914"/>
    <col min="2049" max="2049" width="8.44140625" style="914" customWidth="1"/>
    <col min="2050" max="2050" width="22" style="914" customWidth="1"/>
    <col min="2051" max="2051" width="33.33203125" style="914" customWidth="1"/>
    <col min="2052" max="2052" width="5.5546875" style="914" bestFit="1" customWidth="1"/>
    <col min="2053" max="2053" width="9.44140625" style="914" customWidth="1"/>
    <col min="2054" max="2054" width="16.109375" style="914" customWidth="1"/>
    <col min="2055" max="2055" width="10.33203125" style="914" customWidth="1"/>
    <col min="2056" max="2056" width="7.33203125" style="914" customWidth="1"/>
    <col min="2057" max="2057" width="12.109375" style="914" customWidth="1"/>
    <col min="2058" max="2058" width="12.44140625" style="914" customWidth="1"/>
    <col min="2059" max="2061" width="12.88671875" style="914" customWidth="1"/>
    <col min="2062" max="2062" width="0" style="914" hidden="1" customWidth="1"/>
    <col min="2063" max="2063" width="10.33203125" style="914" customWidth="1"/>
    <col min="2064" max="2064" width="5.6640625" style="914" customWidth="1"/>
    <col min="2065" max="2065" width="5" style="914" customWidth="1"/>
    <col min="2066" max="2066" width="6" style="914" customWidth="1"/>
    <col min="2067" max="2067" width="6.44140625" style="914" customWidth="1"/>
    <col min="2068" max="2068" width="8.109375" style="914" customWidth="1"/>
    <col min="2069" max="2070" width="10.44140625" style="914" customWidth="1"/>
    <col min="2071" max="2072" width="6" style="914" customWidth="1"/>
    <col min="2073" max="2073" width="7.88671875" style="914" customWidth="1"/>
    <col min="2074" max="2074" width="11" style="914" customWidth="1"/>
    <col min="2075" max="2075" width="5.88671875" style="914" customWidth="1"/>
    <col min="2076" max="2076" width="11.44140625" style="914" customWidth="1"/>
    <col min="2077" max="2077" width="2.44140625" style="914" customWidth="1"/>
    <col min="2078" max="2078" width="9" style="914" customWidth="1"/>
    <col min="2079" max="2079" width="9.6640625" style="914" customWidth="1"/>
    <col min="2080" max="2080" width="0" style="914" hidden="1" customWidth="1"/>
    <col min="2081" max="2081" width="15.109375" style="914" customWidth="1"/>
    <col min="2082" max="2082" width="8.88671875" style="914" customWidth="1"/>
    <col min="2083" max="2083" width="11.44140625" style="914" customWidth="1"/>
    <col min="2084" max="2085" width="13.44140625" style="914" customWidth="1"/>
    <col min="2086" max="2086" width="23.88671875" style="914" customWidth="1"/>
    <col min="2087" max="2087" width="11.6640625" style="914" customWidth="1"/>
    <col min="2088" max="2088" width="14.88671875" style="914" bestFit="1" customWidth="1"/>
    <col min="2089" max="2095" width="0" style="914" hidden="1" customWidth="1"/>
    <col min="2096" max="2096" width="11.6640625" style="914"/>
    <col min="2097" max="2100" width="0" style="914" hidden="1" customWidth="1"/>
    <col min="2101" max="2304" width="11.6640625" style="914"/>
    <col min="2305" max="2305" width="8.44140625" style="914" customWidth="1"/>
    <col min="2306" max="2306" width="22" style="914" customWidth="1"/>
    <col min="2307" max="2307" width="33.33203125" style="914" customWidth="1"/>
    <col min="2308" max="2308" width="5.5546875" style="914" bestFit="1" customWidth="1"/>
    <col min="2309" max="2309" width="9.44140625" style="914" customWidth="1"/>
    <col min="2310" max="2310" width="16.109375" style="914" customWidth="1"/>
    <col min="2311" max="2311" width="10.33203125" style="914" customWidth="1"/>
    <col min="2312" max="2312" width="7.33203125" style="914" customWidth="1"/>
    <col min="2313" max="2313" width="12.109375" style="914" customWidth="1"/>
    <col min="2314" max="2314" width="12.44140625" style="914" customWidth="1"/>
    <col min="2315" max="2317" width="12.88671875" style="914" customWidth="1"/>
    <col min="2318" max="2318" width="0" style="914" hidden="1" customWidth="1"/>
    <col min="2319" max="2319" width="10.33203125" style="914" customWidth="1"/>
    <col min="2320" max="2320" width="5.6640625" style="914" customWidth="1"/>
    <col min="2321" max="2321" width="5" style="914" customWidth="1"/>
    <col min="2322" max="2322" width="6" style="914" customWidth="1"/>
    <col min="2323" max="2323" width="6.44140625" style="914" customWidth="1"/>
    <col min="2324" max="2324" width="8.109375" style="914" customWidth="1"/>
    <col min="2325" max="2326" width="10.44140625" style="914" customWidth="1"/>
    <col min="2327" max="2328" width="6" style="914" customWidth="1"/>
    <col min="2329" max="2329" width="7.88671875" style="914" customWidth="1"/>
    <col min="2330" max="2330" width="11" style="914" customWidth="1"/>
    <col min="2331" max="2331" width="5.88671875" style="914" customWidth="1"/>
    <col min="2332" max="2332" width="11.44140625" style="914" customWidth="1"/>
    <col min="2333" max="2333" width="2.44140625" style="914" customWidth="1"/>
    <col min="2334" max="2334" width="9" style="914" customWidth="1"/>
    <col min="2335" max="2335" width="9.6640625" style="914" customWidth="1"/>
    <col min="2336" max="2336" width="0" style="914" hidden="1" customWidth="1"/>
    <col min="2337" max="2337" width="15.109375" style="914" customWidth="1"/>
    <col min="2338" max="2338" width="8.88671875" style="914" customWidth="1"/>
    <col min="2339" max="2339" width="11.44140625" style="914" customWidth="1"/>
    <col min="2340" max="2341" width="13.44140625" style="914" customWidth="1"/>
    <col min="2342" max="2342" width="23.88671875" style="914" customWidth="1"/>
    <col min="2343" max="2343" width="11.6640625" style="914" customWidth="1"/>
    <col min="2344" max="2344" width="14.88671875" style="914" bestFit="1" customWidth="1"/>
    <col min="2345" max="2351" width="0" style="914" hidden="1" customWidth="1"/>
    <col min="2352" max="2352" width="11.6640625" style="914"/>
    <col min="2353" max="2356" width="0" style="914" hidden="1" customWidth="1"/>
    <col min="2357" max="2560" width="11.6640625" style="914"/>
    <col min="2561" max="2561" width="8.44140625" style="914" customWidth="1"/>
    <col min="2562" max="2562" width="22" style="914" customWidth="1"/>
    <col min="2563" max="2563" width="33.33203125" style="914" customWidth="1"/>
    <col min="2564" max="2564" width="5.5546875" style="914" bestFit="1" customWidth="1"/>
    <col min="2565" max="2565" width="9.44140625" style="914" customWidth="1"/>
    <col min="2566" max="2566" width="16.109375" style="914" customWidth="1"/>
    <col min="2567" max="2567" width="10.33203125" style="914" customWidth="1"/>
    <col min="2568" max="2568" width="7.33203125" style="914" customWidth="1"/>
    <col min="2569" max="2569" width="12.109375" style="914" customWidth="1"/>
    <col min="2570" max="2570" width="12.44140625" style="914" customWidth="1"/>
    <col min="2571" max="2573" width="12.88671875" style="914" customWidth="1"/>
    <col min="2574" max="2574" width="0" style="914" hidden="1" customWidth="1"/>
    <col min="2575" max="2575" width="10.33203125" style="914" customWidth="1"/>
    <col min="2576" max="2576" width="5.6640625" style="914" customWidth="1"/>
    <col min="2577" max="2577" width="5" style="914" customWidth="1"/>
    <col min="2578" max="2578" width="6" style="914" customWidth="1"/>
    <col min="2579" max="2579" width="6.44140625" style="914" customWidth="1"/>
    <col min="2580" max="2580" width="8.109375" style="914" customWidth="1"/>
    <col min="2581" max="2582" width="10.44140625" style="914" customWidth="1"/>
    <col min="2583" max="2584" width="6" style="914" customWidth="1"/>
    <col min="2585" max="2585" width="7.88671875" style="914" customWidth="1"/>
    <col min="2586" max="2586" width="11" style="914" customWidth="1"/>
    <col min="2587" max="2587" width="5.88671875" style="914" customWidth="1"/>
    <col min="2588" max="2588" width="11.44140625" style="914" customWidth="1"/>
    <col min="2589" max="2589" width="2.44140625" style="914" customWidth="1"/>
    <col min="2590" max="2590" width="9" style="914" customWidth="1"/>
    <col min="2591" max="2591" width="9.6640625" style="914" customWidth="1"/>
    <col min="2592" max="2592" width="0" style="914" hidden="1" customWidth="1"/>
    <col min="2593" max="2593" width="15.109375" style="914" customWidth="1"/>
    <col min="2594" max="2594" width="8.88671875" style="914" customWidth="1"/>
    <col min="2595" max="2595" width="11.44140625" style="914" customWidth="1"/>
    <col min="2596" max="2597" width="13.44140625" style="914" customWidth="1"/>
    <col min="2598" max="2598" width="23.88671875" style="914" customWidth="1"/>
    <col min="2599" max="2599" width="11.6640625" style="914" customWidth="1"/>
    <col min="2600" max="2600" width="14.88671875" style="914" bestFit="1" customWidth="1"/>
    <col min="2601" max="2607" width="0" style="914" hidden="1" customWidth="1"/>
    <col min="2608" max="2608" width="11.6640625" style="914"/>
    <col min="2609" max="2612" width="0" style="914" hidden="1" customWidth="1"/>
    <col min="2613" max="2816" width="11.6640625" style="914"/>
    <col min="2817" max="2817" width="8.44140625" style="914" customWidth="1"/>
    <col min="2818" max="2818" width="22" style="914" customWidth="1"/>
    <col min="2819" max="2819" width="33.33203125" style="914" customWidth="1"/>
    <col min="2820" max="2820" width="5.5546875" style="914" bestFit="1" customWidth="1"/>
    <col min="2821" max="2821" width="9.44140625" style="914" customWidth="1"/>
    <col min="2822" max="2822" width="16.109375" style="914" customWidth="1"/>
    <col min="2823" max="2823" width="10.33203125" style="914" customWidth="1"/>
    <col min="2824" max="2824" width="7.33203125" style="914" customWidth="1"/>
    <col min="2825" max="2825" width="12.109375" style="914" customWidth="1"/>
    <col min="2826" max="2826" width="12.44140625" style="914" customWidth="1"/>
    <col min="2827" max="2829" width="12.88671875" style="914" customWidth="1"/>
    <col min="2830" max="2830" width="0" style="914" hidden="1" customWidth="1"/>
    <col min="2831" max="2831" width="10.33203125" style="914" customWidth="1"/>
    <col min="2832" max="2832" width="5.6640625" style="914" customWidth="1"/>
    <col min="2833" max="2833" width="5" style="914" customWidth="1"/>
    <col min="2834" max="2834" width="6" style="914" customWidth="1"/>
    <col min="2835" max="2835" width="6.44140625" style="914" customWidth="1"/>
    <col min="2836" max="2836" width="8.109375" style="914" customWidth="1"/>
    <col min="2837" max="2838" width="10.44140625" style="914" customWidth="1"/>
    <col min="2839" max="2840" width="6" style="914" customWidth="1"/>
    <col min="2841" max="2841" width="7.88671875" style="914" customWidth="1"/>
    <col min="2842" max="2842" width="11" style="914" customWidth="1"/>
    <col min="2843" max="2843" width="5.88671875" style="914" customWidth="1"/>
    <col min="2844" max="2844" width="11.44140625" style="914" customWidth="1"/>
    <col min="2845" max="2845" width="2.44140625" style="914" customWidth="1"/>
    <col min="2846" max="2846" width="9" style="914" customWidth="1"/>
    <col min="2847" max="2847" width="9.6640625" style="914" customWidth="1"/>
    <col min="2848" max="2848" width="0" style="914" hidden="1" customWidth="1"/>
    <col min="2849" max="2849" width="15.109375" style="914" customWidth="1"/>
    <col min="2850" max="2850" width="8.88671875" style="914" customWidth="1"/>
    <col min="2851" max="2851" width="11.44140625" style="914" customWidth="1"/>
    <col min="2852" max="2853" width="13.44140625" style="914" customWidth="1"/>
    <col min="2854" max="2854" width="23.88671875" style="914" customWidth="1"/>
    <col min="2855" max="2855" width="11.6640625" style="914" customWidth="1"/>
    <col min="2856" max="2856" width="14.88671875" style="914" bestFit="1" customWidth="1"/>
    <col min="2857" max="2863" width="0" style="914" hidden="1" customWidth="1"/>
    <col min="2864" max="2864" width="11.6640625" style="914"/>
    <col min="2865" max="2868" width="0" style="914" hidden="1" customWidth="1"/>
    <col min="2869" max="3072" width="11.6640625" style="914"/>
    <col min="3073" max="3073" width="8.44140625" style="914" customWidth="1"/>
    <col min="3074" max="3074" width="22" style="914" customWidth="1"/>
    <col min="3075" max="3075" width="33.33203125" style="914" customWidth="1"/>
    <col min="3076" max="3076" width="5.5546875" style="914" bestFit="1" customWidth="1"/>
    <col min="3077" max="3077" width="9.44140625" style="914" customWidth="1"/>
    <col min="3078" max="3078" width="16.109375" style="914" customWidth="1"/>
    <col min="3079" max="3079" width="10.33203125" style="914" customWidth="1"/>
    <col min="3080" max="3080" width="7.33203125" style="914" customWidth="1"/>
    <col min="3081" max="3081" width="12.109375" style="914" customWidth="1"/>
    <col min="3082" max="3082" width="12.44140625" style="914" customWidth="1"/>
    <col min="3083" max="3085" width="12.88671875" style="914" customWidth="1"/>
    <col min="3086" max="3086" width="0" style="914" hidden="1" customWidth="1"/>
    <col min="3087" max="3087" width="10.33203125" style="914" customWidth="1"/>
    <col min="3088" max="3088" width="5.6640625" style="914" customWidth="1"/>
    <col min="3089" max="3089" width="5" style="914" customWidth="1"/>
    <col min="3090" max="3090" width="6" style="914" customWidth="1"/>
    <col min="3091" max="3091" width="6.44140625" style="914" customWidth="1"/>
    <col min="3092" max="3092" width="8.109375" style="914" customWidth="1"/>
    <col min="3093" max="3094" width="10.44140625" style="914" customWidth="1"/>
    <col min="3095" max="3096" width="6" style="914" customWidth="1"/>
    <col min="3097" max="3097" width="7.88671875" style="914" customWidth="1"/>
    <col min="3098" max="3098" width="11" style="914" customWidth="1"/>
    <col min="3099" max="3099" width="5.88671875" style="914" customWidth="1"/>
    <col min="3100" max="3100" width="11.44140625" style="914" customWidth="1"/>
    <col min="3101" max="3101" width="2.44140625" style="914" customWidth="1"/>
    <col min="3102" max="3102" width="9" style="914" customWidth="1"/>
    <col min="3103" max="3103" width="9.6640625" style="914" customWidth="1"/>
    <col min="3104" max="3104" width="0" style="914" hidden="1" customWidth="1"/>
    <col min="3105" max="3105" width="15.109375" style="914" customWidth="1"/>
    <col min="3106" max="3106" width="8.88671875" style="914" customWidth="1"/>
    <col min="3107" max="3107" width="11.44140625" style="914" customWidth="1"/>
    <col min="3108" max="3109" width="13.44140625" style="914" customWidth="1"/>
    <col min="3110" max="3110" width="23.88671875" style="914" customWidth="1"/>
    <col min="3111" max="3111" width="11.6640625" style="914" customWidth="1"/>
    <col min="3112" max="3112" width="14.88671875" style="914" bestFit="1" customWidth="1"/>
    <col min="3113" max="3119" width="0" style="914" hidden="1" customWidth="1"/>
    <col min="3120" max="3120" width="11.6640625" style="914"/>
    <col min="3121" max="3124" width="0" style="914" hidden="1" customWidth="1"/>
    <col min="3125" max="3328" width="11.6640625" style="914"/>
    <col min="3329" max="3329" width="8.44140625" style="914" customWidth="1"/>
    <col min="3330" max="3330" width="22" style="914" customWidth="1"/>
    <col min="3331" max="3331" width="33.33203125" style="914" customWidth="1"/>
    <col min="3332" max="3332" width="5.5546875" style="914" bestFit="1" customWidth="1"/>
    <col min="3333" max="3333" width="9.44140625" style="914" customWidth="1"/>
    <col min="3334" max="3334" width="16.109375" style="914" customWidth="1"/>
    <col min="3335" max="3335" width="10.33203125" style="914" customWidth="1"/>
    <col min="3336" max="3336" width="7.33203125" style="914" customWidth="1"/>
    <col min="3337" max="3337" width="12.109375" style="914" customWidth="1"/>
    <col min="3338" max="3338" width="12.44140625" style="914" customWidth="1"/>
    <col min="3339" max="3341" width="12.88671875" style="914" customWidth="1"/>
    <col min="3342" max="3342" width="0" style="914" hidden="1" customWidth="1"/>
    <col min="3343" max="3343" width="10.33203125" style="914" customWidth="1"/>
    <col min="3344" max="3344" width="5.6640625" style="914" customWidth="1"/>
    <col min="3345" max="3345" width="5" style="914" customWidth="1"/>
    <col min="3346" max="3346" width="6" style="914" customWidth="1"/>
    <col min="3347" max="3347" width="6.44140625" style="914" customWidth="1"/>
    <col min="3348" max="3348" width="8.109375" style="914" customWidth="1"/>
    <col min="3349" max="3350" width="10.44140625" style="914" customWidth="1"/>
    <col min="3351" max="3352" width="6" style="914" customWidth="1"/>
    <col min="3353" max="3353" width="7.88671875" style="914" customWidth="1"/>
    <col min="3354" max="3354" width="11" style="914" customWidth="1"/>
    <col min="3355" max="3355" width="5.88671875" style="914" customWidth="1"/>
    <col min="3356" max="3356" width="11.44140625" style="914" customWidth="1"/>
    <col min="3357" max="3357" width="2.44140625" style="914" customWidth="1"/>
    <col min="3358" max="3358" width="9" style="914" customWidth="1"/>
    <col min="3359" max="3359" width="9.6640625" style="914" customWidth="1"/>
    <col min="3360" max="3360" width="0" style="914" hidden="1" customWidth="1"/>
    <col min="3361" max="3361" width="15.109375" style="914" customWidth="1"/>
    <col min="3362" max="3362" width="8.88671875" style="914" customWidth="1"/>
    <col min="3363" max="3363" width="11.44140625" style="914" customWidth="1"/>
    <col min="3364" max="3365" width="13.44140625" style="914" customWidth="1"/>
    <col min="3366" max="3366" width="23.88671875" style="914" customWidth="1"/>
    <col min="3367" max="3367" width="11.6640625" style="914" customWidth="1"/>
    <col min="3368" max="3368" width="14.88671875" style="914" bestFit="1" customWidth="1"/>
    <col min="3369" max="3375" width="0" style="914" hidden="1" customWidth="1"/>
    <col min="3376" max="3376" width="11.6640625" style="914"/>
    <col min="3377" max="3380" width="0" style="914" hidden="1" customWidth="1"/>
    <col min="3381" max="3584" width="11.6640625" style="914"/>
    <col min="3585" max="3585" width="8.44140625" style="914" customWidth="1"/>
    <col min="3586" max="3586" width="22" style="914" customWidth="1"/>
    <col min="3587" max="3587" width="33.33203125" style="914" customWidth="1"/>
    <col min="3588" max="3588" width="5.5546875" style="914" bestFit="1" customWidth="1"/>
    <col min="3589" max="3589" width="9.44140625" style="914" customWidth="1"/>
    <col min="3590" max="3590" width="16.109375" style="914" customWidth="1"/>
    <col min="3591" max="3591" width="10.33203125" style="914" customWidth="1"/>
    <col min="3592" max="3592" width="7.33203125" style="914" customWidth="1"/>
    <col min="3593" max="3593" width="12.109375" style="914" customWidth="1"/>
    <col min="3594" max="3594" width="12.44140625" style="914" customWidth="1"/>
    <col min="3595" max="3597" width="12.88671875" style="914" customWidth="1"/>
    <col min="3598" max="3598" width="0" style="914" hidden="1" customWidth="1"/>
    <col min="3599" max="3599" width="10.33203125" style="914" customWidth="1"/>
    <col min="3600" max="3600" width="5.6640625" style="914" customWidth="1"/>
    <col min="3601" max="3601" width="5" style="914" customWidth="1"/>
    <col min="3602" max="3602" width="6" style="914" customWidth="1"/>
    <col min="3603" max="3603" width="6.44140625" style="914" customWidth="1"/>
    <col min="3604" max="3604" width="8.109375" style="914" customWidth="1"/>
    <col min="3605" max="3606" width="10.44140625" style="914" customWidth="1"/>
    <col min="3607" max="3608" width="6" style="914" customWidth="1"/>
    <col min="3609" max="3609" width="7.88671875" style="914" customWidth="1"/>
    <col min="3610" max="3610" width="11" style="914" customWidth="1"/>
    <col min="3611" max="3611" width="5.88671875" style="914" customWidth="1"/>
    <col min="3612" max="3612" width="11.44140625" style="914" customWidth="1"/>
    <col min="3613" max="3613" width="2.44140625" style="914" customWidth="1"/>
    <col min="3614" max="3614" width="9" style="914" customWidth="1"/>
    <col min="3615" max="3615" width="9.6640625" style="914" customWidth="1"/>
    <col min="3616" max="3616" width="0" style="914" hidden="1" customWidth="1"/>
    <col min="3617" max="3617" width="15.109375" style="914" customWidth="1"/>
    <col min="3618" max="3618" width="8.88671875" style="914" customWidth="1"/>
    <col min="3619" max="3619" width="11.44140625" style="914" customWidth="1"/>
    <col min="3620" max="3621" width="13.44140625" style="914" customWidth="1"/>
    <col min="3622" max="3622" width="23.88671875" style="914" customWidth="1"/>
    <col min="3623" max="3623" width="11.6640625" style="914" customWidth="1"/>
    <col min="3624" max="3624" width="14.88671875" style="914" bestFit="1" customWidth="1"/>
    <col min="3625" max="3631" width="0" style="914" hidden="1" customWidth="1"/>
    <col min="3632" max="3632" width="11.6640625" style="914"/>
    <col min="3633" max="3636" width="0" style="914" hidden="1" customWidth="1"/>
    <col min="3637" max="3840" width="11.6640625" style="914"/>
    <col min="3841" max="3841" width="8.44140625" style="914" customWidth="1"/>
    <col min="3842" max="3842" width="22" style="914" customWidth="1"/>
    <col min="3843" max="3843" width="33.33203125" style="914" customWidth="1"/>
    <col min="3844" max="3844" width="5.5546875" style="914" bestFit="1" customWidth="1"/>
    <col min="3845" max="3845" width="9.44140625" style="914" customWidth="1"/>
    <col min="3846" max="3846" width="16.109375" style="914" customWidth="1"/>
    <col min="3847" max="3847" width="10.33203125" style="914" customWidth="1"/>
    <col min="3848" max="3848" width="7.33203125" style="914" customWidth="1"/>
    <col min="3849" max="3849" width="12.109375" style="914" customWidth="1"/>
    <col min="3850" max="3850" width="12.44140625" style="914" customWidth="1"/>
    <col min="3851" max="3853" width="12.88671875" style="914" customWidth="1"/>
    <col min="3854" max="3854" width="0" style="914" hidden="1" customWidth="1"/>
    <col min="3855" max="3855" width="10.33203125" style="914" customWidth="1"/>
    <col min="3856" max="3856" width="5.6640625" style="914" customWidth="1"/>
    <col min="3857" max="3857" width="5" style="914" customWidth="1"/>
    <col min="3858" max="3858" width="6" style="914" customWidth="1"/>
    <col min="3859" max="3859" width="6.44140625" style="914" customWidth="1"/>
    <col min="3860" max="3860" width="8.109375" style="914" customWidth="1"/>
    <col min="3861" max="3862" width="10.44140625" style="914" customWidth="1"/>
    <col min="3863" max="3864" width="6" style="914" customWidth="1"/>
    <col min="3865" max="3865" width="7.88671875" style="914" customWidth="1"/>
    <col min="3866" max="3866" width="11" style="914" customWidth="1"/>
    <col min="3867" max="3867" width="5.88671875" style="914" customWidth="1"/>
    <col min="3868" max="3868" width="11.44140625" style="914" customWidth="1"/>
    <col min="3869" max="3869" width="2.44140625" style="914" customWidth="1"/>
    <col min="3870" max="3870" width="9" style="914" customWidth="1"/>
    <col min="3871" max="3871" width="9.6640625" style="914" customWidth="1"/>
    <col min="3872" max="3872" width="0" style="914" hidden="1" customWidth="1"/>
    <col min="3873" max="3873" width="15.109375" style="914" customWidth="1"/>
    <col min="3874" max="3874" width="8.88671875" style="914" customWidth="1"/>
    <col min="3875" max="3875" width="11.44140625" style="914" customWidth="1"/>
    <col min="3876" max="3877" width="13.44140625" style="914" customWidth="1"/>
    <col min="3878" max="3878" width="23.88671875" style="914" customWidth="1"/>
    <col min="3879" max="3879" width="11.6640625" style="914" customWidth="1"/>
    <col min="3880" max="3880" width="14.88671875" style="914" bestFit="1" customWidth="1"/>
    <col min="3881" max="3887" width="0" style="914" hidden="1" customWidth="1"/>
    <col min="3888" max="3888" width="11.6640625" style="914"/>
    <col min="3889" max="3892" width="0" style="914" hidden="1" customWidth="1"/>
    <col min="3893" max="4096" width="11.6640625" style="914"/>
    <col min="4097" max="4097" width="8.44140625" style="914" customWidth="1"/>
    <col min="4098" max="4098" width="22" style="914" customWidth="1"/>
    <col min="4099" max="4099" width="33.33203125" style="914" customWidth="1"/>
    <col min="4100" max="4100" width="5.5546875" style="914" bestFit="1" customWidth="1"/>
    <col min="4101" max="4101" width="9.44140625" style="914" customWidth="1"/>
    <col min="4102" max="4102" width="16.109375" style="914" customWidth="1"/>
    <col min="4103" max="4103" width="10.33203125" style="914" customWidth="1"/>
    <col min="4104" max="4104" width="7.33203125" style="914" customWidth="1"/>
    <col min="4105" max="4105" width="12.109375" style="914" customWidth="1"/>
    <col min="4106" max="4106" width="12.44140625" style="914" customWidth="1"/>
    <col min="4107" max="4109" width="12.88671875" style="914" customWidth="1"/>
    <col min="4110" max="4110" width="0" style="914" hidden="1" customWidth="1"/>
    <col min="4111" max="4111" width="10.33203125" style="914" customWidth="1"/>
    <col min="4112" max="4112" width="5.6640625" style="914" customWidth="1"/>
    <col min="4113" max="4113" width="5" style="914" customWidth="1"/>
    <col min="4114" max="4114" width="6" style="914" customWidth="1"/>
    <col min="4115" max="4115" width="6.44140625" style="914" customWidth="1"/>
    <col min="4116" max="4116" width="8.109375" style="914" customWidth="1"/>
    <col min="4117" max="4118" width="10.44140625" style="914" customWidth="1"/>
    <col min="4119" max="4120" width="6" style="914" customWidth="1"/>
    <col min="4121" max="4121" width="7.88671875" style="914" customWidth="1"/>
    <col min="4122" max="4122" width="11" style="914" customWidth="1"/>
    <col min="4123" max="4123" width="5.88671875" style="914" customWidth="1"/>
    <col min="4124" max="4124" width="11.44140625" style="914" customWidth="1"/>
    <col min="4125" max="4125" width="2.44140625" style="914" customWidth="1"/>
    <col min="4126" max="4126" width="9" style="914" customWidth="1"/>
    <col min="4127" max="4127" width="9.6640625" style="914" customWidth="1"/>
    <col min="4128" max="4128" width="0" style="914" hidden="1" customWidth="1"/>
    <col min="4129" max="4129" width="15.109375" style="914" customWidth="1"/>
    <col min="4130" max="4130" width="8.88671875" style="914" customWidth="1"/>
    <col min="4131" max="4131" width="11.44140625" style="914" customWidth="1"/>
    <col min="4132" max="4133" width="13.44140625" style="914" customWidth="1"/>
    <col min="4134" max="4134" width="23.88671875" style="914" customWidth="1"/>
    <col min="4135" max="4135" width="11.6640625" style="914" customWidth="1"/>
    <col min="4136" max="4136" width="14.88671875" style="914" bestFit="1" customWidth="1"/>
    <col min="4137" max="4143" width="0" style="914" hidden="1" customWidth="1"/>
    <col min="4144" max="4144" width="11.6640625" style="914"/>
    <col min="4145" max="4148" width="0" style="914" hidden="1" customWidth="1"/>
    <col min="4149" max="4352" width="11.6640625" style="914"/>
    <col min="4353" max="4353" width="8.44140625" style="914" customWidth="1"/>
    <col min="4354" max="4354" width="22" style="914" customWidth="1"/>
    <col min="4355" max="4355" width="33.33203125" style="914" customWidth="1"/>
    <col min="4356" max="4356" width="5.5546875" style="914" bestFit="1" customWidth="1"/>
    <col min="4357" max="4357" width="9.44140625" style="914" customWidth="1"/>
    <col min="4358" max="4358" width="16.109375" style="914" customWidth="1"/>
    <col min="4359" max="4359" width="10.33203125" style="914" customWidth="1"/>
    <col min="4360" max="4360" width="7.33203125" style="914" customWidth="1"/>
    <col min="4361" max="4361" width="12.109375" style="914" customWidth="1"/>
    <col min="4362" max="4362" width="12.44140625" style="914" customWidth="1"/>
    <col min="4363" max="4365" width="12.88671875" style="914" customWidth="1"/>
    <col min="4366" max="4366" width="0" style="914" hidden="1" customWidth="1"/>
    <col min="4367" max="4367" width="10.33203125" style="914" customWidth="1"/>
    <col min="4368" max="4368" width="5.6640625" style="914" customWidth="1"/>
    <col min="4369" max="4369" width="5" style="914" customWidth="1"/>
    <col min="4370" max="4370" width="6" style="914" customWidth="1"/>
    <col min="4371" max="4371" width="6.44140625" style="914" customWidth="1"/>
    <col min="4372" max="4372" width="8.109375" style="914" customWidth="1"/>
    <col min="4373" max="4374" width="10.44140625" style="914" customWidth="1"/>
    <col min="4375" max="4376" width="6" style="914" customWidth="1"/>
    <col min="4377" max="4377" width="7.88671875" style="914" customWidth="1"/>
    <col min="4378" max="4378" width="11" style="914" customWidth="1"/>
    <col min="4379" max="4379" width="5.88671875" style="914" customWidth="1"/>
    <col min="4380" max="4380" width="11.44140625" style="914" customWidth="1"/>
    <col min="4381" max="4381" width="2.44140625" style="914" customWidth="1"/>
    <col min="4382" max="4382" width="9" style="914" customWidth="1"/>
    <col min="4383" max="4383" width="9.6640625" style="914" customWidth="1"/>
    <col min="4384" max="4384" width="0" style="914" hidden="1" customWidth="1"/>
    <col min="4385" max="4385" width="15.109375" style="914" customWidth="1"/>
    <col min="4386" max="4386" width="8.88671875" style="914" customWidth="1"/>
    <col min="4387" max="4387" width="11.44140625" style="914" customWidth="1"/>
    <col min="4388" max="4389" width="13.44140625" style="914" customWidth="1"/>
    <col min="4390" max="4390" width="23.88671875" style="914" customWidth="1"/>
    <col min="4391" max="4391" width="11.6640625" style="914" customWidth="1"/>
    <col min="4392" max="4392" width="14.88671875" style="914" bestFit="1" customWidth="1"/>
    <col min="4393" max="4399" width="0" style="914" hidden="1" customWidth="1"/>
    <col min="4400" max="4400" width="11.6640625" style="914"/>
    <col min="4401" max="4404" width="0" style="914" hidden="1" customWidth="1"/>
    <col min="4405" max="4608" width="11.6640625" style="914"/>
    <col min="4609" max="4609" width="8.44140625" style="914" customWidth="1"/>
    <col min="4610" max="4610" width="22" style="914" customWidth="1"/>
    <col min="4611" max="4611" width="33.33203125" style="914" customWidth="1"/>
    <col min="4612" max="4612" width="5.5546875" style="914" bestFit="1" customWidth="1"/>
    <col min="4613" max="4613" width="9.44140625" style="914" customWidth="1"/>
    <col min="4614" max="4614" width="16.109375" style="914" customWidth="1"/>
    <col min="4615" max="4615" width="10.33203125" style="914" customWidth="1"/>
    <col min="4616" max="4616" width="7.33203125" style="914" customWidth="1"/>
    <col min="4617" max="4617" width="12.109375" style="914" customWidth="1"/>
    <col min="4618" max="4618" width="12.44140625" style="914" customWidth="1"/>
    <col min="4619" max="4621" width="12.88671875" style="914" customWidth="1"/>
    <col min="4622" max="4622" width="0" style="914" hidden="1" customWidth="1"/>
    <col min="4623" max="4623" width="10.33203125" style="914" customWidth="1"/>
    <col min="4624" max="4624" width="5.6640625" style="914" customWidth="1"/>
    <col min="4625" max="4625" width="5" style="914" customWidth="1"/>
    <col min="4626" max="4626" width="6" style="914" customWidth="1"/>
    <col min="4627" max="4627" width="6.44140625" style="914" customWidth="1"/>
    <col min="4628" max="4628" width="8.109375" style="914" customWidth="1"/>
    <col min="4629" max="4630" width="10.44140625" style="914" customWidth="1"/>
    <col min="4631" max="4632" width="6" style="914" customWidth="1"/>
    <col min="4633" max="4633" width="7.88671875" style="914" customWidth="1"/>
    <col min="4634" max="4634" width="11" style="914" customWidth="1"/>
    <col min="4635" max="4635" width="5.88671875" style="914" customWidth="1"/>
    <col min="4636" max="4636" width="11.44140625" style="914" customWidth="1"/>
    <col min="4637" max="4637" width="2.44140625" style="914" customWidth="1"/>
    <col min="4638" max="4638" width="9" style="914" customWidth="1"/>
    <col min="4639" max="4639" width="9.6640625" style="914" customWidth="1"/>
    <col min="4640" max="4640" width="0" style="914" hidden="1" customWidth="1"/>
    <col min="4641" max="4641" width="15.109375" style="914" customWidth="1"/>
    <col min="4642" max="4642" width="8.88671875" style="914" customWidth="1"/>
    <col min="4643" max="4643" width="11.44140625" style="914" customWidth="1"/>
    <col min="4644" max="4645" width="13.44140625" style="914" customWidth="1"/>
    <col min="4646" max="4646" width="23.88671875" style="914" customWidth="1"/>
    <col min="4647" max="4647" width="11.6640625" style="914" customWidth="1"/>
    <col min="4648" max="4648" width="14.88671875" style="914" bestFit="1" customWidth="1"/>
    <col min="4649" max="4655" width="0" style="914" hidden="1" customWidth="1"/>
    <col min="4656" max="4656" width="11.6640625" style="914"/>
    <col min="4657" max="4660" width="0" style="914" hidden="1" customWidth="1"/>
    <col min="4661" max="4864" width="11.6640625" style="914"/>
    <col min="4865" max="4865" width="8.44140625" style="914" customWidth="1"/>
    <col min="4866" max="4866" width="22" style="914" customWidth="1"/>
    <col min="4867" max="4867" width="33.33203125" style="914" customWidth="1"/>
    <col min="4868" max="4868" width="5.5546875" style="914" bestFit="1" customWidth="1"/>
    <col min="4869" max="4869" width="9.44140625" style="914" customWidth="1"/>
    <col min="4870" max="4870" width="16.109375" style="914" customWidth="1"/>
    <col min="4871" max="4871" width="10.33203125" style="914" customWidth="1"/>
    <col min="4872" max="4872" width="7.33203125" style="914" customWidth="1"/>
    <col min="4873" max="4873" width="12.109375" style="914" customWidth="1"/>
    <col min="4874" max="4874" width="12.44140625" style="914" customWidth="1"/>
    <col min="4875" max="4877" width="12.88671875" style="914" customWidth="1"/>
    <col min="4878" max="4878" width="0" style="914" hidden="1" customWidth="1"/>
    <col min="4879" max="4879" width="10.33203125" style="914" customWidth="1"/>
    <col min="4880" max="4880" width="5.6640625" style="914" customWidth="1"/>
    <col min="4881" max="4881" width="5" style="914" customWidth="1"/>
    <col min="4882" max="4882" width="6" style="914" customWidth="1"/>
    <col min="4883" max="4883" width="6.44140625" style="914" customWidth="1"/>
    <col min="4884" max="4884" width="8.109375" style="914" customWidth="1"/>
    <col min="4885" max="4886" width="10.44140625" style="914" customWidth="1"/>
    <col min="4887" max="4888" width="6" style="914" customWidth="1"/>
    <col min="4889" max="4889" width="7.88671875" style="914" customWidth="1"/>
    <col min="4890" max="4890" width="11" style="914" customWidth="1"/>
    <col min="4891" max="4891" width="5.88671875" style="914" customWidth="1"/>
    <col min="4892" max="4892" width="11.44140625" style="914" customWidth="1"/>
    <col min="4893" max="4893" width="2.44140625" style="914" customWidth="1"/>
    <col min="4894" max="4894" width="9" style="914" customWidth="1"/>
    <col min="4895" max="4895" width="9.6640625" style="914" customWidth="1"/>
    <col min="4896" max="4896" width="0" style="914" hidden="1" customWidth="1"/>
    <col min="4897" max="4897" width="15.109375" style="914" customWidth="1"/>
    <col min="4898" max="4898" width="8.88671875" style="914" customWidth="1"/>
    <col min="4899" max="4899" width="11.44140625" style="914" customWidth="1"/>
    <col min="4900" max="4901" width="13.44140625" style="914" customWidth="1"/>
    <col min="4902" max="4902" width="23.88671875" style="914" customWidth="1"/>
    <col min="4903" max="4903" width="11.6640625" style="914" customWidth="1"/>
    <col min="4904" max="4904" width="14.88671875" style="914" bestFit="1" customWidth="1"/>
    <col min="4905" max="4911" width="0" style="914" hidden="1" customWidth="1"/>
    <col min="4912" max="4912" width="11.6640625" style="914"/>
    <col min="4913" max="4916" width="0" style="914" hidden="1" customWidth="1"/>
    <col min="4917" max="5120" width="11.6640625" style="914"/>
    <col min="5121" max="5121" width="8.44140625" style="914" customWidth="1"/>
    <col min="5122" max="5122" width="22" style="914" customWidth="1"/>
    <col min="5123" max="5123" width="33.33203125" style="914" customWidth="1"/>
    <col min="5124" max="5124" width="5.5546875" style="914" bestFit="1" customWidth="1"/>
    <col min="5125" max="5125" width="9.44140625" style="914" customWidth="1"/>
    <col min="5126" max="5126" width="16.109375" style="914" customWidth="1"/>
    <col min="5127" max="5127" width="10.33203125" style="914" customWidth="1"/>
    <col min="5128" max="5128" width="7.33203125" style="914" customWidth="1"/>
    <col min="5129" max="5129" width="12.109375" style="914" customWidth="1"/>
    <col min="5130" max="5130" width="12.44140625" style="914" customWidth="1"/>
    <col min="5131" max="5133" width="12.88671875" style="914" customWidth="1"/>
    <col min="5134" max="5134" width="0" style="914" hidden="1" customWidth="1"/>
    <col min="5135" max="5135" width="10.33203125" style="914" customWidth="1"/>
    <col min="5136" max="5136" width="5.6640625" style="914" customWidth="1"/>
    <col min="5137" max="5137" width="5" style="914" customWidth="1"/>
    <col min="5138" max="5138" width="6" style="914" customWidth="1"/>
    <col min="5139" max="5139" width="6.44140625" style="914" customWidth="1"/>
    <col min="5140" max="5140" width="8.109375" style="914" customWidth="1"/>
    <col min="5141" max="5142" width="10.44140625" style="914" customWidth="1"/>
    <col min="5143" max="5144" width="6" style="914" customWidth="1"/>
    <col min="5145" max="5145" width="7.88671875" style="914" customWidth="1"/>
    <col min="5146" max="5146" width="11" style="914" customWidth="1"/>
    <col min="5147" max="5147" width="5.88671875" style="914" customWidth="1"/>
    <col min="5148" max="5148" width="11.44140625" style="914" customWidth="1"/>
    <col min="5149" max="5149" width="2.44140625" style="914" customWidth="1"/>
    <col min="5150" max="5150" width="9" style="914" customWidth="1"/>
    <col min="5151" max="5151" width="9.6640625" style="914" customWidth="1"/>
    <col min="5152" max="5152" width="0" style="914" hidden="1" customWidth="1"/>
    <col min="5153" max="5153" width="15.109375" style="914" customWidth="1"/>
    <col min="5154" max="5154" width="8.88671875" style="914" customWidth="1"/>
    <col min="5155" max="5155" width="11.44140625" style="914" customWidth="1"/>
    <col min="5156" max="5157" width="13.44140625" style="914" customWidth="1"/>
    <col min="5158" max="5158" width="23.88671875" style="914" customWidth="1"/>
    <col min="5159" max="5159" width="11.6640625" style="914" customWidth="1"/>
    <col min="5160" max="5160" width="14.88671875" style="914" bestFit="1" customWidth="1"/>
    <col min="5161" max="5167" width="0" style="914" hidden="1" customWidth="1"/>
    <col min="5168" max="5168" width="11.6640625" style="914"/>
    <col min="5169" max="5172" width="0" style="914" hidden="1" customWidth="1"/>
    <col min="5173" max="5376" width="11.6640625" style="914"/>
    <col min="5377" max="5377" width="8.44140625" style="914" customWidth="1"/>
    <col min="5378" max="5378" width="22" style="914" customWidth="1"/>
    <col min="5379" max="5379" width="33.33203125" style="914" customWidth="1"/>
    <col min="5380" max="5380" width="5.5546875" style="914" bestFit="1" customWidth="1"/>
    <col min="5381" max="5381" width="9.44140625" style="914" customWidth="1"/>
    <col min="5382" max="5382" width="16.109375" style="914" customWidth="1"/>
    <col min="5383" max="5383" width="10.33203125" style="914" customWidth="1"/>
    <col min="5384" max="5384" width="7.33203125" style="914" customWidth="1"/>
    <col min="5385" max="5385" width="12.109375" style="914" customWidth="1"/>
    <col min="5386" max="5386" width="12.44140625" style="914" customWidth="1"/>
    <col min="5387" max="5389" width="12.88671875" style="914" customWidth="1"/>
    <col min="5390" max="5390" width="0" style="914" hidden="1" customWidth="1"/>
    <col min="5391" max="5391" width="10.33203125" style="914" customWidth="1"/>
    <col min="5392" max="5392" width="5.6640625" style="914" customWidth="1"/>
    <col min="5393" max="5393" width="5" style="914" customWidth="1"/>
    <col min="5394" max="5394" width="6" style="914" customWidth="1"/>
    <col min="5395" max="5395" width="6.44140625" style="914" customWidth="1"/>
    <col min="5396" max="5396" width="8.109375" style="914" customWidth="1"/>
    <col min="5397" max="5398" width="10.44140625" style="914" customWidth="1"/>
    <col min="5399" max="5400" width="6" style="914" customWidth="1"/>
    <col min="5401" max="5401" width="7.88671875" style="914" customWidth="1"/>
    <col min="5402" max="5402" width="11" style="914" customWidth="1"/>
    <col min="5403" max="5403" width="5.88671875" style="914" customWidth="1"/>
    <col min="5404" max="5404" width="11.44140625" style="914" customWidth="1"/>
    <col min="5405" max="5405" width="2.44140625" style="914" customWidth="1"/>
    <col min="5406" max="5406" width="9" style="914" customWidth="1"/>
    <col min="5407" max="5407" width="9.6640625" style="914" customWidth="1"/>
    <col min="5408" max="5408" width="0" style="914" hidden="1" customWidth="1"/>
    <col min="5409" max="5409" width="15.109375" style="914" customWidth="1"/>
    <col min="5410" max="5410" width="8.88671875" style="914" customWidth="1"/>
    <col min="5411" max="5411" width="11.44140625" style="914" customWidth="1"/>
    <col min="5412" max="5413" width="13.44140625" style="914" customWidth="1"/>
    <col min="5414" max="5414" width="23.88671875" style="914" customWidth="1"/>
    <col min="5415" max="5415" width="11.6640625" style="914" customWidth="1"/>
    <col min="5416" max="5416" width="14.88671875" style="914" bestFit="1" customWidth="1"/>
    <col min="5417" max="5423" width="0" style="914" hidden="1" customWidth="1"/>
    <col min="5424" max="5424" width="11.6640625" style="914"/>
    <col min="5425" max="5428" width="0" style="914" hidden="1" customWidth="1"/>
    <col min="5429" max="5632" width="11.6640625" style="914"/>
    <col min="5633" max="5633" width="8.44140625" style="914" customWidth="1"/>
    <col min="5634" max="5634" width="22" style="914" customWidth="1"/>
    <col min="5635" max="5635" width="33.33203125" style="914" customWidth="1"/>
    <col min="5636" max="5636" width="5.5546875" style="914" bestFit="1" customWidth="1"/>
    <col min="5637" max="5637" width="9.44140625" style="914" customWidth="1"/>
    <col min="5638" max="5638" width="16.109375" style="914" customWidth="1"/>
    <col min="5639" max="5639" width="10.33203125" style="914" customWidth="1"/>
    <col min="5640" max="5640" width="7.33203125" style="914" customWidth="1"/>
    <col min="5641" max="5641" width="12.109375" style="914" customWidth="1"/>
    <col min="5642" max="5642" width="12.44140625" style="914" customWidth="1"/>
    <col min="5643" max="5645" width="12.88671875" style="914" customWidth="1"/>
    <col min="5646" max="5646" width="0" style="914" hidden="1" customWidth="1"/>
    <col min="5647" max="5647" width="10.33203125" style="914" customWidth="1"/>
    <col min="5648" max="5648" width="5.6640625" style="914" customWidth="1"/>
    <col min="5649" max="5649" width="5" style="914" customWidth="1"/>
    <col min="5650" max="5650" width="6" style="914" customWidth="1"/>
    <col min="5651" max="5651" width="6.44140625" style="914" customWidth="1"/>
    <col min="5652" max="5652" width="8.109375" style="914" customWidth="1"/>
    <col min="5653" max="5654" width="10.44140625" style="914" customWidth="1"/>
    <col min="5655" max="5656" width="6" style="914" customWidth="1"/>
    <col min="5657" max="5657" width="7.88671875" style="914" customWidth="1"/>
    <col min="5658" max="5658" width="11" style="914" customWidth="1"/>
    <col min="5659" max="5659" width="5.88671875" style="914" customWidth="1"/>
    <col min="5660" max="5660" width="11.44140625" style="914" customWidth="1"/>
    <col min="5661" max="5661" width="2.44140625" style="914" customWidth="1"/>
    <col min="5662" max="5662" width="9" style="914" customWidth="1"/>
    <col min="5663" max="5663" width="9.6640625" style="914" customWidth="1"/>
    <col min="5664" max="5664" width="0" style="914" hidden="1" customWidth="1"/>
    <col min="5665" max="5665" width="15.109375" style="914" customWidth="1"/>
    <col min="5666" max="5666" width="8.88671875" style="914" customWidth="1"/>
    <col min="5667" max="5667" width="11.44140625" style="914" customWidth="1"/>
    <col min="5668" max="5669" width="13.44140625" style="914" customWidth="1"/>
    <col min="5670" max="5670" width="23.88671875" style="914" customWidth="1"/>
    <col min="5671" max="5671" width="11.6640625" style="914" customWidth="1"/>
    <col min="5672" max="5672" width="14.88671875" style="914" bestFit="1" customWidth="1"/>
    <col min="5673" max="5679" width="0" style="914" hidden="1" customWidth="1"/>
    <col min="5680" max="5680" width="11.6640625" style="914"/>
    <col min="5681" max="5684" width="0" style="914" hidden="1" customWidth="1"/>
    <col min="5685" max="5888" width="11.6640625" style="914"/>
    <col min="5889" max="5889" width="8.44140625" style="914" customWidth="1"/>
    <col min="5890" max="5890" width="22" style="914" customWidth="1"/>
    <col min="5891" max="5891" width="33.33203125" style="914" customWidth="1"/>
    <col min="5892" max="5892" width="5.5546875" style="914" bestFit="1" customWidth="1"/>
    <col min="5893" max="5893" width="9.44140625" style="914" customWidth="1"/>
    <col min="5894" max="5894" width="16.109375" style="914" customWidth="1"/>
    <col min="5895" max="5895" width="10.33203125" style="914" customWidth="1"/>
    <col min="5896" max="5896" width="7.33203125" style="914" customWidth="1"/>
    <col min="5897" max="5897" width="12.109375" style="914" customWidth="1"/>
    <col min="5898" max="5898" width="12.44140625" style="914" customWidth="1"/>
    <col min="5899" max="5901" width="12.88671875" style="914" customWidth="1"/>
    <col min="5902" max="5902" width="0" style="914" hidden="1" customWidth="1"/>
    <col min="5903" max="5903" width="10.33203125" style="914" customWidth="1"/>
    <col min="5904" max="5904" width="5.6640625" style="914" customWidth="1"/>
    <col min="5905" max="5905" width="5" style="914" customWidth="1"/>
    <col min="5906" max="5906" width="6" style="914" customWidth="1"/>
    <col min="5907" max="5907" width="6.44140625" style="914" customWidth="1"/>
    <col min="5908" max="5908" width="8.109375" style="914" customWidth="1"/>
    <col min="5909" max="5910" width="10.44140625" style="914" customWidth="1"/>
    <col min="5911" max="5912" width="6" style="914" customWidth="1"/>
    <col min="5913" max="5913" width="7.88671875" style="914" customWidth="1"/>
    <col min="5914" max="5914" width="11" style="914" customWidth="1"/>
    <col min="5915" max="5915" width="5.88671875" style="914" customWidth="1"/>
    <col min="5916" max="5916" width="11.44140625" style="914" customWidth="1"/>
    <col min="5917" max="5917" width="2.44140625" style="914" customWidth="1"/>
    <col min="5918" max="5918" width="9" style="914" customWidth="1"/>
    <col min="5919" max="5919" width="9.6640625" style="914" customWidth="1"/>
    <col min="5920" max="5920" width="0" style="914" hidden="1" customWidth="1"/>
    <col min="5921" max="5921" width="15.109375" style="914" customWidth="1"/>
    <col min="5922" max="5922" width="8.88671875" style="914" customWidth="1"/>
    <col min="5923" max="5923" width="11.44140625" style="914" customWidth="1"/>
    <col min="5924" max="5925" width="13.44140625" style="914" customWidth="1"/>
    <col min="5926" max="5926" width="23.88671875" style="914" customWidth="1"/>
    <col min="5927" max="5927" width="11.6640625" style="914" customWidth="1"/>
    <col min="5928" max="5928" width="14.88671875" style="914" bestFit="1" customWidth="1"/>
    <col min="5929" max="5935" width="0" style="914" hidden="1" customWidth="1"/>
    <col min="5936" max="5936" width="11.6640625" style="914"/>
    <col min="5937" max="5940" width="0" style="914" hidden="1" customWidth="1"/>
    <col min="5941" max="6144" width="11.6640625" style="914"/>
    <col min="6145" max="6145" width="8.44140625" style="914" customWidth="1"/>
    <col min="6146" max="6146" width="22" style="914" customWidth="1"/>
    <col min="6147" max="6147" width="33.33203125" style="914" customWidth="1"/>
    <col min="6148" max="6148" width="5.5546875" style="914" bestFit="1" customWidth="1"/>
    <col min="6149" max="6149" width="9.44140625" style="914" customWidth="1"/>
    <col min="6150" max="6150" width="16.109375" style="914" customWidth="1"/>
    <col min="6151" max="6151" width="10.33203125" style="914" customWidth="1"/>
    <col min="6152" max="6152" width="7.33203125" style="914" customWidth="1"/>
    <col min="6153" max="6153" width="12.109375" style="914" customWidth="1"/>
    <col min="6154" max="6154" width="12.44140625" style="914" customWidth="1"/>
    <col min="6155" max="6157" width="12.88671875" style="914" customWidth="1"/>
    <col min="6158" max="6158" width="0" style="914" hidden="1" customWidth="1"/>
    <col min="6159" max="6159" width="10.33203125" style="914" customWidth="1"/>
    <col min="6160" max="6160" width="5.6640625" style="914" customWidth="1"/>
    <col min="6161" max="6161" width="5" style="914" customWidth="1"/>
    <col min="6162" max="6162" width="6" style="914" customWidth="1"/>
    <col min="6163" max="6163" width="6.44140625" style="914" customWidth="1"/>
    <col min="6164" max="6164" width="8.109375" style="914" customWidth="1"/>
    <col min="6165" max="6166" width="10.44140625" style="914" customWidth="1"/>
    <col min="6167" max="6168" width="6" style="914" customWidth="1"/>
    <col min="6169" max="6169" width="7.88671875" style="914" customWidth="1"/>
    <col min="6170" max="6170" width="11" style="914" customWidth="1"/>
    <col min="6171" max="6171" width="5.88671875" style="914" customWidth="1"/>
    <col min="6172" max="6172" width="11.44140625" style="914" customWidth="1"/>
    <col min="6173" max="6173" width="2.44140625" style="914" customWidth="1"/>
    <col min="6174" max="6174" width="9" style="914" customWidth="1"/>
    <col min="6175" max="6175" width="9.6640625" style="914" customWidth="1"/>
    <col min="6176" max="6176" width="0" style="914" hidden="1" customWidth="1"/>
    <col min="6177" max="6177" width="15.109375" style="914" customWidth="1"/>
    <col min="6178" max="6178" width="8.88671875" style="914" customWidth="1"/>
    <col min="6179" max="6179" width="11.44140625" style="914" customWidth="1"/>
    <col min="6180" max="6181" width="13.44140625" style="914" customWidth="1"/>
    <col min="6182" max="6182" width="23.88671875" style="914" customWidth="1"/>
    <col min="6183" max="6183" width="11.6640625" style="914" customWidth="1"/>
    <col min="6184" max="6184" width="14.88671875" style="914" bestFit="1" customWidth="1"/>
    <col min="6185" max="6191" width="0" style="914" hidden="1" customWidth="1"/>
    <col min="6192" max="6192" width="11.6640625" style="914"/>
    <col min="6193" max="6196" width="0" style="914" hidden="1" customWidth="1"/>
    <col min="6197" max="6400" width="11.6640625" style="914"/>
    <col min="6401" max="6401" width="8.44140625" style="914" customWidth="1"/>
    <col min="6402" max="6402" width="22" style="914" customWidth="1"/>
    <col min="6403" max="6403" width="33.33203125" style="914" customWidth="1"/>
    <col min="6404" max="6404" width="5.5546875" style="914" bestFit="1" customWidth="1"/>
    <col min="6405" max="6405" width="9.44140625" style="914" customWidth="1"/>
    <col min="6406" max="6406" width="16.109375" style="914" customWidth="1"/>
    <col min="6407" max="6407" width="10.33203125" style="914" customWidth="1"/>
    <col min="6408" max="6408" width="7.33203125" style="914" customWidth="1"/>
    <col min="6409" max="6409" width="12.109375" style="914" customWidth="1"/>
    <col min="6410" max="6410" width="12.44140625" style="914" customWidth="1"/>
    <col min="6411" max="6413" width="12.88671875" style="914" customWidth="1"/>
    <col min="6414" max="6414" width="0" style="914" hidden="1" customWidth="1"/>
    <col min="6415" max="6415" width="10.33203125" style="914" customWidth="1"/>
    <col min="6416" max="6416" width="5.6640625" style="914" customWidth="1"/>
    <col min="6417" max="6417" width="5" style="914" customWidth="1"/>
    <col min="6418" max="6418" width="6" style="914" customWidth="1"/>
    <col min="6419" max="6419" width="6.44140625" style="914" customWidth="1"/>
    <col min="6420" max="6420" width="8.109375" style="914" customWidth="1"/>
    <col min="6421" max="6422" width="10.44140625" style="914" customWidth="1"/>
    <col min="6423" max="6424" width="6" style="914" customWidth="1"/>
    <col min="6425" max="6425" width="7.88671875" style="914" customWidth="1"/>
    <col min="6426" max="6426" width="11" style="914" customWidth="1"/>
    <col min="6427" max="6427" width="5.88671875" style="914" customWidth="1"/>
    <col min="6428" max="6428" width="11.44140625" style="914" customWidth="1"/>
    <col min="6429" max="6429" width="2.44140625" style="914" customWidth="1"/>
    <col min="6430" max="6430" width="9" style="914" customWidth="1"/>
    <col min="6431" max="6431" width="9.6640625" style="914" customWidth="1"/>
    <col min="6432" max="6432" width="0" style="914" hidden="1" customWidth="1"/>
    <col min="6433" max="6433" width="15.109375" style="914" customWidth="1"/>
    <col min="6434" max="6434" width="8.88671875" style="914" customWidth="1"/>
    <col min="6435" max="6435" width="11.44140625" style="914" customWidth="1"/>
    <col min="6436" max="6437" width="13.44140625" style="914" customWidth="1"/>
    <col min="6438" max="6438" width="23.88671875" style="914" customWidth="1"/>
    <col min="6439" max="6439" width="11.6640625" style="914" customWidth="1"/>
    <col min="6440" max="6440" width="14.88671875" style="914" bestFit="1" customWidth="1"/>
    <col min="6441" max="6447" width="0" style="914" hidden="1" customWidth="1"/>
    <col min="6448" max="6448" width="11.6640625" style="914"/>
    <col min="6449" max="6452" width="0" style="914" hidden="1" customWidth="1"/>
    <col min="6453" max="6656" width="11.6640625" style="914"/>
    <col min="6657" max="6657" width="8.44140625" style="914" customWidth="1"/>
    <col min="6658" max="6658" width="22" style="914" customWidth="1"/>
    <col min="6659" max="6659" width="33.33203125" style="914" customWidth="1"/>
    <col min="6660" max="6660" width="5.5546875" style="914" bestFit="1" customWidth="1"/>
    <col min="6661" max="6661" width="9.44140625" style="914" customWidth="1"/>
    <col min="6662" max="6662" width="16.109375" style="914" customWidth="1"/>
    <col min="6663" max="6663" width="10.33203125" style="914" customWidth="1"/>
    <col min="6664" max="6664" width="7.33203125" style="914" customWidth="1"/>
    <col min="6665" max="6665" width="12.109375" style="914" customWidth="1"/>
    <col min="6666" max="6666" width="12.44140625" style="914" customWidth="1"/>
    <col min="6667" max="6669" width="12.88671875" style="914" customWidth="1"/>
    <col min="6670" max="6670" width="0" style="914" hidden="1" customWidth="1"/>
    <col min="6671" max="6671" width="10.33203125" style="914" customWidth="1"/>
    <col min="6672" max="6672" width="5.6640625" style="914" customWidth="1"/>
    <col min="6673" max="6673" width="5" style="914" customWidth="1"/>
    <col min="6674" max="6674" width="6" style="914" customWidth="1"/>
    <col min="6675" max="6675" width="6.44140625" style="914" customWidth="1"/>
    <col min="6676" max="6676" width="8.109375" style="914" customWidth="1"/>
    <col min="6677" max="6678" width="10.44140625" style="914" customWidth="1"/>
    <col min="6679" max="6680" width="6" style="914" customWidth="1"/>
    <col min="6681" max="6681" width="7.88671875" style="914" customWidth="1"/>
    <col min="6682" max="6682" width="11" style="914" customWidth="1"/>
    <col min="6683" max="6683" width="5.88671875" style="914" customWidth="1"/>
    <col min="6684" max="6684" width="11.44140625" style="914" customWidth="1"/>
    <col min="6685" max="6685" width="2.44140625" style="914" customWidth="1"/>
    <col min="6686" max="6686" width="9" style="914" customWidth="1"/>
    <col min="6687" max="6687" width="9.6640625" style="914" customWidth="1"/>
    <col min="6688" max="6688" width="0" style="914" hidden="1" customWidth="1"/>
    <col min="6689" max="6689" width="15.109375" style="914" customWidth="1"/>
    <col min="6690" max="6690" width="8.88671875" style="914" customWidth="1"/>
    <col min="6691" max="6691" width="11.44140625" style="914" customWidth="1"/>
    <col min="6692" max="6693" width="13.44140625" style="914" customWidth="1"/>
    <col min="6694" max="6694" width="23.88671875" style="914" customWidth="1"/>
    <col min="6695" max="6695" width="11.6640625" style="914" customWidth="1"/>
    <col min="6696" max="6696" width="14.88671875" style="914" bestFit="1" customWidth="1"/>
    <col min="6697" max="6703" width="0" style="914" hidden="1" customWidth="1"/>
    <col min="6704" max="6704" width="11.6640625" style="914"/>
    <col min="6705" max="6708" width="0" style="914" hidden="1" customWidth="1"/>
    <col min="6709" max="6912" width="11.6640625" style="914"/>
    <col min="6913" max="6913" width="8.44140625" style="914" customWidth="1"/>
    <col min="6914" max="6914" width="22" style="914" customWidth="1"/>
    <col min="6915" max="6915" width="33.33203125" style="914" customWidth="1"/>
    <col min="6916" max="6916" width="5.5546875" style="914" bestFit="1" customWidth="1"/>
    <col min="6917" max="6917" width="9.44140625" style="914" customWidth="1"/>
    <col min="6918" max="6918" width="16.109375" style="914" customWidth="1"/>
    <col min="6919" max="6919" width="10.33203125" style="914" customWidth="1"/>
    <col min="6920" max="6920" width="7.33203125" style="914" customWidth="1"/>
    <col min="6921" max="6921" width="12.109375" style="914" customWidth="1"/>
    <col min="6922" max="6922" width="12.44140625" style="914" customWidth="1"/>
    <col min="6923" max="6925" width="12.88671875" style="914" customWidth="1"/>
    <col min="6926" max="6926" width="0" style="914" hidden="1" customWidth="1"/>
    <col min="6927" max="6927" width="10.33203125" style="914" customWidth="1"/>
    <col min="6928" max="6928" width="5.6640625" style="914" customWidth="1"/>
    <col min="6929" max="6929" width="5" style="914" customWidth="1"/>
    <col min="6930" max="6930" width="6" style="914" customWidth="1"/>
    <col min="6931" max="6931" width="6.44140625" style="914" customWidth="1"/>
    <col min="6932" max="6932" width="8.109375" style="914" customWidth="1"/>
    <col min="6933" max="6934" width="10.44140625" style="914" customWidth="1"/>
    <col min="6935" max="6936" width="6" style="914" customWidth="1"/>
    <col min="6937" max="6937" width="7.88671875" style="914" customWidth="1"/>
    <col min="6938" max="6938" width="11" style="914" customWidth="1"/>
    <col min="6939" max="6939" width="5.88671875" style="914" customWidth="1"/>
    <col min="6940" max="6940" width="11.44140625" style="914" customWidth="1"/>
    <col min="6941" max="6941" width="2.44140625" style="914" customWidth="1"/>
    <col min="6942" max="6942" width="9" style="914" customWidth="1"/>
    <col min="6943" max="6943" width="9.6640625" style="914" customWidth="1"/>
    <col min="6944" max="6944" width="0" style="914" hidden="1" customWidth="1"/>
    <col min="6945" max="6945" width="15.109375" style="914" customWidth="1"/>
    <col min="6946" max="6946" width="8.88671875" style="914" customWidth="1"/>
    <col min="6947" max="6947" width="11.44140625" style="914" customWidth="1"/>
    <col min="6948" max="6949" width="13.44140625" style="914" customWidth="1"/>
    <col min="6950" max="6950" width="23.88671875" style="914" customWidth="1"/>
    <col min="6951" max="6951" width="11.6640625" style="914" customWidth="1"/>
    <col min="6952" max="6952" width="14.88671875" style="914" bestFit="1" customWidth="1"/>
    <col min="6953" max="6959" width="0" style="914" hidden="1" customWidth="1"/>
    <col min="6960" max="6960" width="11.6640625" style="914"/>
    <col min="6961" max="6964" width="0" style="914" hidden="1" customWidth="1"/>
    <col min="6965" max="7168" width="11.6640625" style="914"/>
    <col min="7169" max="7169" width="8.44140625" style="914" customWidth="1"/>
    <col min="7170" max="7170" width="22" style="914" customWidth="1"/>
    <col min="7171" max="7171" width="33.33203125" style="914" customWidth="1"/>
    <col min="7172" max="7172" width="5.5546875" style="914" bestFit="1" customWidth="1"/>
    <col min="7173" max="7173" width="9.44140625" style="914" customWidth="1"/>
    <col min="7174" max="7174" width="16.109375" style="914" customWidth="1"/>
    <col min="7175" max="7175" width="10.33203125" style="914" customWidth="1"/>
    <col min="7176" max="7176" width="7.33203125" style="914" customWidth="1"/>
    <col min="7177" max="7177" width="12.109375" style="914" customWidth="1"/>
    <col min="7178" max="7178" width="12.44140625" style="914" customWidth="1"/>
    <col min="7179" max="7181" width="12.88671875" style="914" customWidth="1"/>
    <col min="7182" max="7182" width="0" style="914" hidden="1" customWidth="1"/>
    <col min="7183" max="7183" width="10.33203125" style="914" customWidth="1"/>
    <col min="7184" max="7184" width="5.6640625" style="914" customWidth="1"/>
    <col min="7185" max="7185" width="5" style="914" customWidth="1"/>
    <col min="7186" max="7186" width="6" style="914" customWidth="1"/>
    <col min="7187" max="7187" width="6.44140625" style="914" customWidth="1"/>
    <col min="7188" max="7188" width="8.109375" style="914" customWidth="1"/>
    <col min="7189" max="7190" width="10.44140625" style="914" customWidth="1"/>
    <col min="7191" max="7192" width="6" style="914" customWidth="1"/>
    <col min="7193" max="7193" width="7.88671875" style="914" customWidth="1"/>
    <col min="7194" max="7194" width="11" style="914" customWidth="1"/>
    <col min="7195" max="7195" width="5.88671875" style="914" customWidth="1"/>
    <col min="7196" max="7196" width="11.44140625" style="914" customWidth="1"/>
    <col min="7197" max="7197" width="2.44140625" style="914" customWidth="1"/>
    <col min="7198" max="7198" width="9" style="914" customWidth="1"/>
    <col min="7199" max="7199" width="9.6640625" style="914" customWidth="1"/>
    <col min="7200" max="7200" width="0" style="914" hidden="1" customWidth="1"/>
    <col min="7201" max="7201" width="15.109375" style="914" customWidth="1"/>
    <col min="7202" max="7202" width="8.88671875" style="914" customWidth="1"/>
    <col min="7203" max="7203" width="11.44140625" style="914" customWidth="1"/>
    <col min="7204" max="7205" width="13.44140625" style="914" customWidth="1"/>
    <col min="7206" max="7206" width="23.88671875" style="914" customWidth="1"/>
    <col min="7207" max="7207" width="11.6640625" style="914" customWidth="1"/>
    <col min="7208" max="7208" width="14.88671875" style="914" bestFit="1" customWidth="1"/>
    <col min="7209" max="7215" width="0" style="914" hidden="1" customWidth="1"/>
    <col min="7216" max="7216" width="11.6640625" style="914"/>
    <col min="7217" max="7220" width="0" style="914" hidden="1" customWidth="1"/>
    <col min="7221" max="7424" width="11.6640625" style="914"/>
    <col min="7425" max="7425" width="8.44140625" style="914" customWidth="1"/>
    <col min="7426" max="7426" width="22" style="914" customWidth="1"/>
    <col min="7427" max="7427" width="33.33203125" style="914" customWidth="1"/>
    <col min="7428" max="7428" width="5.5546875" style="914" bestFit="1" customWidth="1"/>
    <col min="7429" max="7429" width="9.44140625" style="914" customWidth="1"/>
    <col min="7430" max="7430" width="16.109375" style="914" customWidth="1"/>
    <col min="7431" max="7431" width="10.33203125" style="914" customWidth="1"/>
    <col min="7432" max="7432" width="7.33203125" style="914" customWidth="1"/>
    <col min="7433" max="7433" width="12.109375" style="914" customWidth="1"/>
    <col min="7434" max="7434" width="12.44140625" style="914" customWidth="1"/>
    <col min="7435" max="7437" width="12.88671875" style="914" customWidth="1"/>
    <col min="7438" max="7438" width="0" style="914" hidden="1" customWidth="1"/>
    <col min="7439" max="7439" width="10.33203125" style="914" customWidth="1"/>
    <col min="7440" max="7440" width="5.6640625" style="914" customWidth="1"/>
    <col min="7441" max="7441" width="5" style="914" customWidth="1"/>
    <col min="7442" max="7442" width="6" style="914" customWidth="1"/>
    <col min="7443" max="7443" width="6.44140625" style="914" customWidth="1"/>
    <col min="7444" max="7444" width="8.109375" style="914" customWidth="1"/>
    <col min="7445" max="7446" width="10.44140625" style="914" customWidth="1"/>
    <col min="7447" max="7448" width="6" style="914" customWidth="1"/>
    <col min="7449" max="7449" width="7.88671875" style="914" customWidth="1"/>
    <col min="7450" max="7450" width="11" style="914" customWidth="1"/>
    <col min="7451" max="7451" width="5.88671875" style="914" customWidth="1"/>
    <col min="7452" max="7452" width="11.44140625" style="914" customWidth="1"/>
    <col min="7453" max="7453" width="2.44140625" style="914" customWidth="1"/>
    <col min="7454" max="7454" width="9" style="914" customWidth="1"/>
    <col min="7455" max="7455" width="9.6640625" style="914" customWidth="1"/>
    <col min="7456" max="7456" width="0" style="914" hidden="1" customWidth="1"/>
    <col min="7457" max="7457" width="15.109375" style="914" customWidth="1"/>
    <col min="7458" max="7458" width="8.88671875" style="914" customWidth="1"/>
    <col min="7459" max="7459" width="11.44140625" style="914" customWidth="1"/>
    <col min="7460" max="7461" width="13.44140625" style="914" customWidth="1"/>
    <col min="7462" max="7462" width="23.88671875" style="914" customWidth="1"/>
    <col min="7463" max="7463" width="11.6640625" style="914" customWidth="1"/>
    <col min="7464" max="7464" width="14.88671875" style="914" bestFit="1" customWidth="1"/>
    <col min="7465" max="7471" width="0" style="914" hidden="1" customWidth="1"/>
    <col min="7472" max="7472" width="11.6640625" style="914"/>
    <col min="7473" max="7476" width="0" style="914" hidden="1" customWidth="1"/>
    <col min="7477" max="7680" width="11.6640625" style="914"/>
    <col min="7681" max="7681" width="8.44140625" style="914" customWidth="1"/>
    <col min="7682" max="7682" width="22" style="914" customWidth="1"/>
    <col min="7683" max="7683" width="33.33203125" style="914" customWidth="1"/>
    <col min="7684" max="7684" width="5.5546875" style="914" bestFit="1" customWidth="1"/>
    <col min="7685" max="7685" width="9.44140625" style="914" customWidth="1"/>
    <col min="7686" max="7686" width="16.109375" style="914" customWidth="1"/>
    <col min="7687" max="7687" width="10.33203125" style="914" customWidth="1"/>
    <col min="7688" max="7688" width="7.33203125" style="914" customWidth="1"/>
    <col min="7689" max="7689" width="12.109375" style="914" customWidth="1"/>
    <col min="7690" max="7690" width="12.44140625" style="914" customWidth="1"/>
    <col min="7691" max="7693" width="12.88671875" style="914" customWidth="1"/>
    <col min="7694" max="7694" width="0" style="914" hidden="1" customWidth="1"/>
    <col min="7695" max="7695" width="10.33203125" style="914" customWidth="1"/>
    <col min="7696" max="7696" width="5.6640625" style="914" customWidth="1"/>
    <col min="7697" max="7697" width="5" style="914" customWidth="1"/>
    <col min="7698" max="7698" width="6" style="914" customWidth="1"/>
    <col min="7699" max="7699" width="6.44140625" style="914" customWidth="1"/>
    <col min="7700" max="7700" width="8.109375" style="914" customWidth="1"/>
    <col min="7701" max="7702" width="10.44140625" style="914" customWidth="1"/>
    <col min="7703" max="7704" width="6" style="914" customWidth="1"/>
    <col min="7705" max="7705" width="7.88671875" style="914" customWidth="1"/>
    <col min="7706" max="7706" width="11" style="914" customWidth="1"/>
    <col min="7707" max="7707" width="5.88671875" style="914" customWidth="1"/>
    <col min="7708" max="7708" width="11.44140625" style="914" customWidth="1"/>
    <col min="7709" max="7709" width="2.44140625" style="914" customWidth="1"/>
    <col min="7710" max="7710" width="9" style="914" customWidth="1"/>
    <col min="7711" max="7711" width="9.6640625" style="914" customWidth="1"/>
    <col min="7712" max="7712" width="0" style="914" hidden="1" customWidth="1"/>
    <col min="7713" max="7713" width="15.109375" style="914" customWidth="1"/>
    <col min="7714" max="7714" width="8.88671875" style="914" customWidth="1"/>
    <col min="7715" max="7715" width="11.44140625" style="914" customWidth="1"/>
    <col min="7716" max="7717" width="13.44140625" style="914" customWidth="1"/>
    <col min="7718" max="7718" width="23.88671875" style="914" customWidth="1"/>
    <col min="7719" max="7719" width="11.6640625" style="914" customWidth="1"/>
    <col min="7720" max="7720" width="14.88671875" style="914" bestFit="1" customWidth="1"/>
    <col min="7721" max="7727" width="0" style="914" hidden="1" customWidth="1"/>
    <col min="7728" max="7728" width="11.6640625" style="914"/>
    <col min="7729" max="7732" width="0" style="914" hidden="1" customWidth="1"/>
    <col min="7733" max="7936" width="11.6640625" style="914"/>
    <col min="7937" max="7937" width="8.44140625" style="914" customWidth="1"/>
    <col min="7938" max="7938" width="22" style="914" customWidth="1"/>
    <col min="7939" max="7939" width="33.33203125" style="914" customWidth="1"/>
    <col min="7940" max="7940" width="5.5546875" style="914" bestFit="1" customWidth="1"/>
    <col min="7941" max="7941" width="9.44140625" style="914" customWidth="1"/>
    <col min="7942" max="7942" width="16.109375" style="914" customWidth="1"/>
    <col min="7943" max="7943" width="10.33203125" style="914" customWidth="1"/>
    <col min="7944" max="7944" width="7.33203125" style="914" customWidth="1"/>
    <col min="7945" max="7945" width="12.109375" style="914" customWidth="1"/>
    <col min="7946" max="7946" width="12.44140625" style="914" customWidth="1"/>
    <col min="7947" max="7949" width="12.88671875" style="914" customWidth="1"/>
    <col min="7950" max="7950" width="0" style="914" hidden="1" customWidth="1"/>
    <col min="7951" max="7951" width="10.33203125" style="914" customWidth="1"/>
    <col min="7952" max="7952" width="5.6640625" style="914" customWidth="1"/>
    <col min="7953" max="7953" width="5" style="914" customWidth="1"/>
    <col min="7954" max="7954" width="6" style="914" customWidth="1"/>
    <col min="7955" max="7955" width="6.44140625" style="914" customWidth="1"/>
    <col min="7956" max="7956" width="8.109375" style="914" customWidth="1"/>
    <col min="7957" max="7958" width="10.44140625" style="914" customWidth="1"/>
    <col min="7959" max="7960" width="6" style="914" customWidth="1"/>
    <col min="7961" max="7961" width="7.88671875" style="914" customWidth="1"/>
    <col min="7962" max="7962" width="11" style="914" customWidth="1"/>
    <col min="7963" max="7963" width="5.88671875" style="914" customWidth="1"/>
    <col min="7964" max="7964" width="11.44140625" style="914" customWidth="1"/>
    <col min="7965" max="7965" width="2.44140625" style="914" customWidth="1"/>
    <col min="7966" max="7966" width="9" style="914" customWidth="1"/>
    <col min="7967" max="7967" width="9.6640625" style="914" customWidth="1"/>
    <col min="7968" max="7968" width="0" style="914" hidden="1" customWidth="1"/>
    <col min="7969" max="7969" width="15.109375" style="914" customWidth="1"/>
    <col min="7970" max="7970" width="8.88671875" style="914" customWidth="1"/>
    <col min="7971" max="7971" width="11.44140625" style="914" customWidth="1"/>
    <col min="7972" max="7973" width="13.44140625" style="914" customWidth="1"/>
    <col min="7974" max="7974" width="23.88671875" style="914" customWidth="1"/>
    <col min="7975" max="7975" width="11.6640625" style="914" customWidth="1"/>
    <col min="7976" max="7976" width="14.88671875" style="914" bestFit="1" customWidth="1"/>
    <col min="7977" max="7983" width="0" style="914" hidden="1" customWidth="1"/>
    <col min="7984" max="7984" width="11.6640625" style="914"/>
    <col min="7985" max="7988" width="0" style="914" hidden="1" customWidth="1"/>
    <col min="7989" max="8192" width="11.6640625" style="914"/>
    <col min="8193" max="8193" width="8.44140625" style="914" customWidth="1"/>
    <col min="8194" max="8194" width="22" style="914" customWidth="1"/>
    <col min="8195" max="8195" width="33.33203125" style="914" customWidth="1"/>
    <col min="8196" max="8196" width="5.5546875" style="914" bestFit="1" customWidth="1"/>
    <col min="8197" max="8197" width="9.44140625" style="914" customWidth="1"/>
    <col min="8198" max="8198" width="16.109375" style="914" customWidth="1"/>
    <col min="8199" max="8199" width="10.33203125" style="914" customWidth="1"/>
    <col min="8200" max="8200" width="7.33203125" style="914" customWidth="1"/>
    <col min="8201" max="8201" width="12.109375" style="914" customWidth="1"/>
    <col min="8202" max="8202" width="12.44140625" style="914" customWidth="1"/>
    <col min="8203" max="8205" width="12.88671875" style="914" customWidth="1"/>
    <col min="8206" max="8206" width="0" style="914" hidden="1" customWidth="1"/>
    <col min="8207" max="8207" width="10.33203125" style="914" customWidth="1"/>
    <col min="8208" max="8208" width="5.6640625" style="914" customWidth="1"/>
    <col min="8209" max="8209" width="5" style="914" customWidth="1"/>
    <col min="8210" max="8210" width="6" style="914" customWidth="1"/>
    <col min="8211" max="8211" width="6.44140625" style="914" customWidth="1"/>
    <col min="8212" max="8212" width="8.109375" style="914" customWidth="1"/>
    <col min="8213" max="8214" width="10.44140625" style="914" customWidth="1"/>
    <col min="8215" max="8216" width="6" style="914" customWidth="1"/>
    <col min="8217" max="8217" width="7.88671875" style="914" customWidth="1"/>
    <col min="8218" max="8218" width="11" style="914" customWidth="1"/>
    <col min="8219" max="8219" width="5.88671875" style="914" customWidth="1"/>
    <col min="8220" max="8220" width="11.44140625" style="914" customWidth="1"/>
    <col min="8221" max="8221" width="2.44140625" style="914" customWidth="1"/>
    <col min="8222" max="8222" width="9" style="914" customWidth="1"/>
    <col min="8223" max="8223" width="9.6640625" style="914" customWidth="1"/>
    <col min="8224" max="8224" width="0" style="914" hidden="1" customWidth="1"/>
    <col min="8225" max="8225" width="15.109375" style="914" customWidth="1"/>
    <col min="8226" max="8226" width="8.88671875" style="914" customWidth="1"/>
    <col min="8227" max="8227" width="11.44140625" style="914" customWidth="1"/>
    <col min="8228" max="8229" width="13.44140625" style="914" customWidth="1"/>
    <col min="8230" max="8230" width="23.88671875" style="914" customWidth="1"/>
    <col min="8231" max="8231" width="11.6640625" style="914" customWidth="1"/>
    <col min="8232" max="8232" width="14.88671875" style="914" bestFit="1" customWidth="1"/>
    <col min="8233" max="8239" width="0" style="914" hidden="1" customWidth="1"/>
    <col min="8240" max="8240" width="11.6640625" style="914"/>
    <col min="8241" max="8244" width="0" style="914" hidden="1" customWidth="1"/>
    <col min="8245" max="8448" width="11.6640625" style="914"/>
    <col min="8449" max="8449" width="8.44140625" style="914" customWidth="1"/>
    <col min="8450" max="8450" width="22" style="914" customWidth="1"/>
    <col min="8451" max="8451" width="33.33203125" style="914" customWidth="1"/>
    <col min="8452" max="8452" width="5.5546875" style="914" bestFit="1" customWidth="1"/>
    <col min="8453" max="8453" width="9.44140625" style="914" customWidth="1"/>
    <col min="8454" max="8454" width="16.109375" style="914" customWidth="1"/>
    <col min="8455" max="8455" width="10.33203125" style="914" customWidth="1"/>
    <col min="8456" max="8456" width="7.33203125" style="914" customWidth="1"/>
    <col min="8457" max="8457" width="12.109375" style="914" customWidth="1"/>
    <col min="8458" max="8458" width="12.44140625" style="914" customWidth="1"/>
    <col min="8459" max="8461" width="12.88671875" style="914" customWidth="1"/>
    <col min="8462" max="8462" width="0" style="914" hidden="1" customWidth="1"/>
    <col min="8463" max="8463" width="10.33203125" style="914" customWidth="1"/>
    <col min="8464" max="8464" width="5.6640625" style="914" customWidth="1"/>
    <col min="8465" max="8465" width="5" style="914" customWidth="1"/>
    <col min="8466" max="8466" width="6" style="914" customWidth="1"/>
    <col min="8467" max="8467" width="6.44140625" style="914" customWidth="1"/>
    <col min="8468" max="8468" width="8.109375" style="914" customWidth="1"/>
    <col min="8469" max="8470" width="10.44140625" style="914" customWidth="1"/>
    <col min="8471" max="8472" width="6" style="914" customWidth="1"/>
    <col min="8473" max="8473" width="7.88671875" style="914" customWidth="1"/>
    <col min="8474" max="8474" width="11" style="914" customWidth="1"/>
    <col min="8475" max="8475" width="5.88671875" style="914" customWidth="1"/>
    <col min="8476" max="8476" width="11.44140625" style="914" customWidth="1"/>
    <col min="8477" max="8477" width="2.44140625" style="914" customWidth="1"/>
    <col min="8478" max="8478" width="9" style="914" customWidth="1"/>
    <col min="8479" max="8479" width="9.6640625" style="914" customWidth="1"/>
    <col min="8480" max="8480" width="0" style="914" hidden="1" customWidth="1"/>
    <col min="8481" max="8481" width="15.109375" style="914" customWidth="1"/>
    <col min="8482" max="8482" width="8.88671875" style="914" customWidth="1"/>
    <col min="8483" max="8483" width="11.44140625" style="914" customWidth="1"/>
    <col min="8484" max="8485" width="13.44140625" style="914" customWidth="1"/>
    <col min="8486" max="8486" width="23.88671875" style="914" customWidth="1"/>
    <col min="8487" max="8487" width="11.6640625" style="914" customWidth="1"/>
    <col min="8488" max="8488" width="14.88671875" style="914" bestFit="1" customWidth="1"/>
    <col min="8489" max="8495" width="0" style="914" hidden="1" customWidth="1"/>
    <col min="8496" max="8496" width="11.6640625" style="914"/>
    <col min="8497" max="8500" width="0" style="914" hidden="1" customWidth="1"/>
    <col min="8501" max="8704" width="11.6640625" style="914"/>
    <col min="8705" max="8705" width="8.44140625" style="914" customWidth="1"/>
    <col min="8706" max="8706" width="22" style="914" customWidth="1"/>
    <col min="8707" max="8707" width="33.33203125" style="914" customWidth="1"/>
    <col min="8708" max="8708" width="5.5546875" style="914" bestFit="1" customWidth="1"/>
    <col min="8709" max="8709" width="9.44140625" style="914" customWidth="1"/>
    <col min="8710" max="8710" width="16.109375" style="914" customWidth="1"/>
    <col min="8711" max="8711" width="10.33203125" style="914" customWidth="1"/>
    <col min="8712" max="8712" width="7.33203125" style="914" customWidth="1"/>
    <col min="8713" max="8713" width="12.109375" style="914" customWidth="1"/>
    <col min="8714" max="8714" width="12.44140625" style="914" customWidth="1"/>
    <col min="8715" max="8717" width="12.88671875" style="914" customWidth="1"/>
    <col min="8718" max="8718" width="0" style="914" hidden="1" customWidth="1"/>
    <col min="8719" max="8719" width="10.33203125" style="914" customWidth="1"/>
    <col min="8720" max="8720" width="5.6640625" style="914" customWidth="1"/>
    <col min="8721" max="8721" width="5" style="914" customWidth="1"/>
    <col min="8722" max="8722" width="6" style="914" customWidth="1"/>
    <col min="8723" max="8723" width="6.44140625" style="914" customWidth="1"/>
    <col min="8724" max="8724" width="8.109375" style="914" customWidth="1"/>
    <col min="8725" max="8726" width="10.44140625" style="914" customWidth="1"/>
    <col min="8727" max="8728" width="6" style="914" customWidth="1"/>
    <col min="8729" max="8729" width="7.88671875" style="914" customWidth="1"/>
    <col min="8730" max="8730" width="11" style="914" customWidth="1"/>
    <col min="8731" max="8731" width="5.88671875" style="914" customWidth="1"/>
    <col min="8732" max="8732" width="11.44140625" style="914" customWidth="1"/>
    <col min="8733" max="8733" width="2.44140625" style="914" customWidth="1"/>
    <col min="8734" max="8734" width="9" style="914" customWidth="1"/>
    <col min="8735" max="8735" width="9.6640625" style="914" customWidth="1"/>
    <col min="8736" max="8736" width="0" style="914" hidden="1" customWidth="1"/>
    <col min="8737" max="8737" width="15.109375" style="914" customWidth="1"/>
    <col min="8738" max="8738" width="8.88671875" style="914" customWidth="1"/>
    <col min="8739" max="8739" width="11.44140625" style="914" customWidth="1"/>
    <col min="8740" max="8741" width="13.44140625" style="914" customWidth="1"/>
    <col min="8742" max="8742" width="23.88671875" style="914" customWidth="1"/>
    <col min="8743" max="8743" width="11.6640625" style="914" customWidth="1"/>
    <col min="8744" max="8744" width="14.88671875" style="914" bestFit="1" customWidth="1"/>
    <col min="8745" max="8751" width="0" style="914" hidden="1" customWidth="1"/>
    <col min="8752" max="8752" width="11.6640625" style="914"/>
    <col min="8753" max="8756" width="0" style="914" hidden="1" customWidth="1"/>
    <col min="8757" max="8960" width="11.6640625" style="914"/>
    <col min="8961" max="8961" width="8.44140625" style="914" customWidth="1"/>
    <col min="8962" max="8962" width="22" style="914" customWidth="1"/>
    <col min="8963" max="8963" width="33.33203125" style="914" customWidth="1"/>
    <col min="8964" max="8964" width="5.5546875" style="914" bestFit="1" customWidth="1"/>
    <col min="8965" max="8965" width="9.44140625" style="914" customWidth="1"/>
    <col min="8966" max="8966" width="16.109375" style="914" customWidth="1"/>
    <col min="8967" max="8967" width="10.33203125" style="914" customWidth="1"/>
    <col min="8968" max="8968" width="7.33203125" style="914" customWidth="1"/>
    <col min="8969" max="8969" width="12.109375" style="914" customWidth="1"/>
    <col min="8970" max="8970" width="12.44140625" style="914" customWidth="1"/>
    <col min="8971" max="8973" width="12.88671875" style="914" customWidth="1"/>
    <col min="8974" max="8974" width="0" style="914" hidden="1" customWidth="1"/>
    <col min="8975" max="8975" width="10.33203125" style="914" customWidth="1"/>
    <col min="8976" max="8976" width="5.6640625" style="914" customWidth="1"/>
    <col min="8977" max="8977" width="5" style="914" customWidth="1"/>
    <col min="8978" max="8978" width="6" style="914" customWidth="1"/>
    <col min="8979" max="8979" width="6.44140625" style="914" customWidth="1"/>
    <col min="8980" max="8980" width="8.109375" style="914" customWidth="1"/>
    <col min="8981" max="8982" width="10.44140625" style="914" customWidth="1"/>
    <col min="8983" max="8984" width="6" style="914" customWidth="1"/>
    <col min="8985" max="8985" width="7.88671875" style="914" customWidth="1"/>
    <col min="8986" max="8986" width="11" style="914" customWidth="1"/>
    <col min="8987" max="8987" width="5.88671875" style="914" customWidth="1"/>
    <col min="8988" max="8988" width="11.44140625" style="914" customWidth="1"/>
    <col min="8989" max="8989" width="2.44140625" style="914" customWidth="1"/>
    <col min="8990" max="8990" width="9" style="914" customWidth="1"/>
    <col min="8991" max="8991" width="9.6640625" style="914" customWidth="1"/>
    <col min="8992" max="8992" width="0" style="914" hidden="1" customWidth="1"/>
    <col min="8993" max="8993" width="15.109375" style="914" customWidth="1"/>
    <col min="8994" max="8994" width="8.88671875" style="914" customWidth="1"/>
    <col min="8995" max="8995" width="11.44140625" style="914" customWidth="1"/>
    <col min="8996" max="8997" width="13.44140625" style="914" customWidth="1"/>
    <col min="8998" max="8998" width="23.88671875" style="914" customWidth="1"/>
    <col min="8999" max="8999" width="11.6640625" style="914" customWidth="1"/>
    <col min="9000" max="9000" width="14.88671875" style="914" bestFit="1" customWidth="1"/>
    <col min="9001" max="9007" width="0" style="914" hidden="1" customWidth="1"/>
    <col min="9008" max="9008" width="11.6640625" style="914"/>
    <col min="9009" max="9012" width="0" style="914" hidden="1" customWidth="1"/>
    <col min="9013" max="9216" width="11.6640625" style="914"/>
    <col min="9217" max="9217" width="8.44140625" style="914" customWidth="1"/>
    <col min="9218" max="9218" width="22" style="914" customWidth="1"/>
    <col min="9219" max="9219" width="33.33203125" style="914" customWidth="1"/>
    <col min="9220" max="9220" width="5.5546875" style="914" bestFit="1" customWidth="1"/>
    <col min="9221" max="9221" width="9.44140625" style="914" customWidth="1"/>
    <col min="9222" max="9222" width="16.109375" style="914" customWidth="1"/>
    <col min="9223" max="9223" width="10.33203125" style="914" customWidth="1"/>
    <col min="9224" max="9224" width="7.33203125" style="914" customWidth="1"/>
    <col min="9225" max="9225" width="12.109375" style="914" customWidth="1"/>
    <col min="9226" max="9226" width="12.44140625" style="914" customWidth="1"/>
    <col min="9227" max="9229" width="12.88671875" style="914" customWidth="1"/>
    <col min="9230" max="9230" width="0" style="914" hidden="1" customWidth="1"/>
    <col min="9231" max="9231" width="10.33203125" style="914" customWidth="1"/>
    <col min="9232" max="9232" width="5.6640625" style="914" customWidth="1"/>
    <col min="9233" max="9233" width="5" style="914" customWidth="1"/>
    <col min="9234" max="9234" width="6" style="914" customWidth="1"/>
    <col min="9235" max="9235" width="6.44140625" style="914" customWidth="1"/>
    <col min="9236" max="9236" width="8.109375" style="914" customWidth="1"/>
    <col min="9237" max="9238" width="10.44140625" style="914" customWidth="1"/>
    <col min="9239" max="9240" width="6" style="914" customWidth="1"/>
    <col min="9241" max="9241" width="7.88671875" style="914" customWidth="1"/>
    <col min="9242" max="9242" width="11" style="914" customWidth="1"/>
    <col min="9243" max="9243" width="5.88671875" style="914" customWidth="1"/>
    <col min="9244" max="9244" width="11.44140625" style="914" customWidth="1"/>
    <col min="9245" max="9245" width="2.44140625" style="914" customWidth="1"/>
    <col min="9246" max="9246" width="9" style="914" customWidth="1"/>
    <col min="9247" max="9247" width="9.6640625" style="914" customWidth="1"/>
    <col min="9248" max="9248" width="0" style="914" hidden="1" customWidth="1"/>
    <col min="9249" max="9249" width="15.109375" style="914" customWidth="1"/>
    <col min="9250" max="9250" width="8.88671875" style="914" customWidth="1"/>
    <col min="9251" max="9251" width="11.44140625" style="914" customWidth="1"/>
    <col min="9252" max="9253" width="13.44140625" style="914" customWidth="1"/>
    <col min="9254" max="9254" width="23.88671875" style="914" customWidth="1"/>
    <col min="9255" max="9255" width="11.6640625" style="914" customWidth="1"/>
    <col min="9256" max="9256" width="14.88671875" style="914" bestFit="1" customWidth="1"/>
    <col min="9257" max="9263" width="0" style="914" hidden="1" customWidth="1"/>
    <col min="9264" max="9264" width="11.6640625" style="914"/>
    <col min="9265" max="9268" width="0" style="914" hidden="1" customWidth="1"/>
    <col min="9269" max="9472" width="11.6640625" style="914"/>
    <col min="9473" max="9473" width="8.44140625" style="914" customWidth="1"/>
    <col min="9474" max="9474" width="22" style="914" customWidth="1"/>
    <col min="9475" max="9475" width="33.33203125" style="914" customWidth="1"/>
    <col min="9476" max="9476" width="5.5546875" style="914" bestFit="1" customWidth="1"/>
    <col min="9477" max="9477" width="9.44140625" style="914" customWidth="1"/>
    <col min="9478" max="9478" width="16.109375" style="914" customWidth="1"/>
    <col min="9479" max="9479" width="10.33203125" style="914" customWidth="1"/>
    <col min="9480" max="9480" width="7.33203125" style="914" customWidth="1"/>
    <col min="9481" max="9481" width="12.109375" style="914" customWidth="1"/>
    <col min="9482" max="9482" width="12.44140625" style="914" customWidth="1"/>
    <col min="9483" max="9485" width="12.88671875" style="914" customWidth="1"/>
    <col min="9486" max="9486" width="0" style="914" hidden="1" customWidth="1"/>
    <col min="9487" max="9487" width="10.33203125" style="914" customWidth="1"/>
    <col min="9488" max="9488" width="5.6640625" style="914" customWidth="1"/>
    <col min="9489" max="9489" width="5" style="914" customWidth="1"/>
    <col min="9490" max="9490" width="6" style="914" customWidth="1"/>
    <col min="9491" max="9491" width="6.44140625" style="914" customWidth="1"/>
    <col min="9492" max="9492" width="8.109375" style="914" customWidth="1"/>
    <col min="9493" max="9494" width="10.44140625" style="914" customWidth="1"/>
    <col min="9495" max="9496" width="6" style="914" customWidth="1"/>
    <col min="9497" max="9497" width="7.88671875" style="914" customWidth="1"/>
    <col min="9498" max="9498" width="11" style="914" customWidth="1"/>
    <col min="9499" max="9499" width="5.88671875" style="914" customWidth="1"/>
    <col min="9500" max="9500" width="11.44140625" style="914" customWidth="1"/>
    <col min="9501" max="9501" width="2.44140625" style="914" customWidth="1"/>
    <col min="9502" max="9502" width="9" style="914" customWidth="1"/>
    <col min="9503" max="9503" width="9.6640625" style="914" customWidth="1"/>
    <col min="9504" max="9504" width="0" style="914" hidden="1" customWidth="1"/>
    <col min="9505" max="9505" width="15.109375" style="914" customWidth="1"/>
    <col min="9506" max="9506" width="8.88671875" style="914" customWidth="1"/>
    <col min="9507" max="9507" width="11.44140625" style="914" customWidth="1"/>
    <col min="9508" max="9509" width="13.44140625" style="914" customWidth="1"/>
    <col min="9510" max="9510" width="23.88671875" style="914" customWidth="1"/>
    <col min="9511" max="9511" width="11.6640625" style="914" customWidth="1"/>
    <col min="9512" max="9512" width="14.88671875" style="914" bestFit="1" customWidth="1"/>
    <col min="9513" max="9519" width="0" style="914" hidden="1" customWidth="1"/>
    <col min="9520" max="9520" width="11.6640625" style="914"/>
    <col min="9521" max="9524" width="0" style="914" hidden="1" customWidth="1"/>
    <col min="9525" max="9728" width="11.6640625" style="914"/>
    <col min="9729" max="9729" width="8.44140625" style="914" customWidth="1"/>
    <col min="9730" max="9730" width="22" style="914" customWidth="1"/>
    <col min="9731" max="9731" width="33.33203125" style="914" customWidth="1"/>
    <col min="9732" max="9732" width="5.5546875" style="914" bestFit="1" customWidth="1"/>
    <col min="9733" max="9733" width="9.44140625" style="914" customWidth="1"/>
    <col min="9734" max="9734" width="16.109375" style="914" customWidth="1"/>
    <col min="9735" max="9735" width="10.33203125" style="914" customWidth="1"/>
    <col min="9736" max="9736" width="7.33203125" style="914" customWidth="1"/>
    <col min="9737" max="9737" width="12.109375" style="914" customWidth="1"/>
    <col min="9738" max="9738" width="12.44140625" style="914" customWidth="1"/>
    <col min="9739" max="9741" width="12.88671875" style="914" customWidth="1"/>
    <col min="9742" max="9742" width="0" style="914" hidden="1" customWidth="1"/>
    <col min="9743" max="9743" width="10.33203125" style="914" customWidth="1"/>
    <col min="9744" max="9744" width="5.6640625" style="914" customWidth="1"/>
    <col min="9745" max="9745" width="5" style="914" customWidth="1"/>
    <col min="9746" max="9746" width="6" style="914" customWidth="1"/>
    <col min="9747" max="9747" width="6.44140625" style="914" customWidth="1"/>
    <col min="9748" max="9748" width="8.109375" style="914" customWidth="1"/>
    <col min="9749" max="9750" width="10.44140625" style="914" customWidth="1"/>
    <col min="9751" max="9752" width="6" style="914" customWidth="1"/>
    <col min="9753" max="9753" width="7.88671875" style="914" customWidth="1"/>
    <col min="9754" max="9754" width="11" style="914" customWidth="1"/>
    <col min="9755" max="9755" width="5.88671875" style="914" customWidth="1"/>
    <col min="9756" max="9756" width="11.44140625" style="914" customWidth="1"/>
    <col min="9757" max="9757" width="2.44140625" style="914" customWidth="1"/>
    <col min="9758" max="9758" width="9" style="914" customWidth="1"/>
    <col min="9759" max="9759" width="9.6640625" style="914" customWidth="1"/>
    <col min="9760" max="9760" width="0" style="914" hidden="1" customWidth="1"/>
    <col min="9761" max="9761" width="15.109375" style="914" customWidth="1"/>
    <col min="9762" max="9762" width="8.88671875" style="914" customWidth="1"/>
    <col min="9763" max="9763" width="11.44140625" style="914" customWidth="1"/>
    <col min="9764" max="9765" width="13.44140625" style="914" customWidth="1"/>
    <col min="9766" max="9766" width="23.88671875" style="914" customWidth="1"/>
    <col min="9767" max="9767" width="11.6640625" style="914" customWidth="1"/>
    <col min="9768" max="9768" width="14.88671875" style="914" bestFit="1" customWidth="1"/>
    <col min="9769" max="9775" width="0" style="914" hidden="1" customWidth="1"/>
    <col min="9776" max="9776" width="11.6640625" style="914"/>
    <col min="9777" max="9780" width="0" style="914" hidden="1" customWidth="1"/>
    <col min="9781" max="9984" width="11.6640625" style="914"/>
    <col min="9985" max="9985" width="8.44140625" style="914" customWidth="1"/>
    <col min="9986" max="9986" width="22" style="914" customWidth="1"/>
    <col min="9987" max="9987" width="33.33203125" style="914" customWidth="1"/>
    <col min="9988" max="9988" width="5.5546875" style="914" bestFit="1" customWidth="1"/>
    <col min="9989" max="9989" width="9.44140625" style="914" customWidth="1"/>
    <col min="9990" max="9990" width="16.109375" style="914" customWidth="1"/>
    <col min="9991" max="9991" width="10.33203125" style="914" customWidth="1"/>
    <col min="9992" max="9992" width="7.33203125" style="914" customWidth="1"/>
    <col min="9993" max="9993" width="12.109375" style="914" customWidth="1"/>
    <col min="9994" max="9994" width="12.44140625" style="914" customWidth="1"/>
    <col min="9995" max="9997" width="12.88671875" style="914" customWidth="1"/>
    <col min="9998" max="9998" width="0" style="914" hidden="1" customWidth="1"/>
    <col min="9999" max="9999" width="10.33203125" style="914" customWidth="1"/>
    <col min="10000" max="10000" width="5.6640625" style="914" customWidth="1"/>
    <col min="10001" max="10001" width="5" style="914" customWidth="1"/>
    <col min="10002" max="10002" width="6" style="914" customWidth="1"/>
    <col min="10003" max="10003" width="6.44140625" style="914" customWidth="1"/>
    <col min="10004" max="10004" width="8.109375" style="914" customWidth="1"/>
    <col min="10005" max="10006" width="10.44140625" style="914" customWidth="1"/>
    <col min="10007" max="10008" width="6" style="914" customWidth="1"/>
    <col min="10009" max="10009" width="7.88671875" style="914" customWidth="1"/>
    <col min="10010" max="10010" width="11" style="914" customWidth="1"/>
    <col min="10011" max="10011" width="5.88671875" style="914" customWidth="1"/>
    <col min="10012" max="10012" width="11.44140625" style="914" customWidth="1"/>
    <col min="10013" max="10013" width="2.44140625" style="914" customWidth="1"/>
    <col min="10014" max="10014" width="9" style="914" customWidth="1"/>
    <col min="10015" max="10015" width="9.6640625" style="914" customWidth="1"/>
    <col min="10016" max="10016" width="0" style="914" hidden="1" customWidth="1"/>
    <col min="10017" max="10017" width="15.109375" style="914" customWidth="1"/>
    <col min="10018" max="10018" width="8.88671875" style="914" customWidth="1"/>
    <col min="10019" max="10019" width="11.44140625" style="914" customWidth="1"/>
    <col min="10020" max="10021" width="13.44140625" style="914" customWidth="1"/>
    <col min="10022" max="10022" width="23.88671875" style="914" customWidth="1"/>
    <col min="10023" max="10023" width="11.6640625" style="914" customWidth="1"/>
    <col min="10024" max="10024" width="14.88671875" style="914" bestFit="1" customWidth="1"/>
    <col min="10025" max="10031" width="0" style="914" hidden="1" customWidth="1"/>
    <col min="10032" max="10032" width="11.6640625" style="914"/>
    <col min="10033" max="10036" width="0" style="914" hidden="1" customWidth="1"/>
    <col min="10037" max="10240" width="11.6640625" style="914"/>
    <col min="10241" max="10241" width="8.44140625" style="914" customWidth="1"/>
    <col min="10242" max="10242" width="22" style="914" customWidth="1"/>
    <col min="10243" max="10243" width="33.33203125" style="914" customWidth="1"/>
    <col min="10244" max="10244" width="5.5546875" style="914" bestFit="1" customWidth="1"/>
    <col min="10245" max="10245" width="9.44140625" style="914" customWidth="1"/>
    <col min="10246" max="10246" width="16.109375" style="914" customWidth="1"/>
    <col min="10247" max="10247" width="10.33203125" style="914" customWidth="1"/>
    <col min="10248" max="10248" width="7.33203125" style="914" customWidth="1"/>
    <col min="10249" max="10249" width="12.109375" style="914" customWidth="1"/>
    <col min="10250" max="10250" width="12.44140625" style="914" customWidth="1"/>
    <col min="10251" max="10253" width="12.88671875" style="914" customWidth="1"/>
    <col min="10254" max="10254" width="0" style="914" hidden="1" customWidth="1"/>
    <col min="10255" max="10255" width="10.33203125" style="914" customWidth="1"/>
    <col min="10256" max="10256" width="5.6640625" style="914" customWidth="1"/>
    <col min="10257" max="10257" width="5" style="914" customWidth="1"/>
    <col min="10258" max="10258" width="6" style="914" customWidth="1"/>
    <col min="10259" max="10259" width="6.44140625" style="914" customWidth="1"/>
    <col min="10260" max="10260" width="8.109375" style="914" customWidth="1"/>
    <col min="10261" max="10262" width="10.44140625" style="914" customWidth="1"/>
    <col min="10263" max="10264" width="6" style="914" customWidth="1"/>
    <col min="10265" max="10265" width="7.88671875" style="914" customWidth="1"/>
    <col min="10266" max="10266" width="11" style="914" customWidth="1"/>
    <col min="10267" max="10267" width="5.88671875" style="914" customWidth="1"/>
    <col min="10268" max="10268" width="11.44140625" style="914" customWidth="1"/>
    <col min="10269" max="10269" width="2.44140625" style="914" customWidth="1"/>
    <col min="10270" max="10270" width="9" style="914" customWidth="1"/>
    <col min="10271" max="10271" width="9.6640625" style="914" customWidth="1"/>
    <col min="10272" max="10272" width="0" style="914" hidden="1" customWidth="1"/>
    <col min="10273" max="10273" width="15.109375" style="914" customWidth="1"/>
    <col min="10274" max="10274" width="8.88671875" style="914" customWidth="1"/>
    <col min="10275" max="10275" width="11.44140625" style="914" customWidth="1"/>
    <col min="10276" max="10277" width="13.44140625" style="914" customWidth="1"/>
    <col min="10278" max="10278" width="23.88671875" style="914" customWidth="1"/>
    <col min="10279" max="10279" width="11.6640625" style="914" customWidth="1"/>
    <col min="10280" max="10280" width="14.88671875" style="914" bestFit="1" customWidth="1"/>
    <col min="10281" max="10287" width="0" style="914" hidden="1" customWidth="1"/>
    <col min="10288" max="10288" width="11.6640625" style="914"/>
    <col min="10289" max="10292" width="0" style="914" hidden="1" customWidth="1"/>
    <col min="10293" max="10496" width="11.6640625" style="914"/>
    <col min="10497" max="10497" width="8.44140625" style="914" customWidth="1"/>
    <col min="10498" max="10498" width="22" style="914" customWidth="1"/>
    <col min="10499" max="10499" width="33.33203125" style="914" customWidth="1"/>
    <col min="10500" max="10500" width="5.5546875" style="914" bestFit="1" customWidth="1"/>
    <col min="10501" max="10501" width="9.44140625" style="914" customWidth="1"/>
    <col min="10502" max="10502" width="16.109375" style="914" customWidth="1"/>
    <col min="10503" max="10503" width="10.33203125" style="914" customWidth="1"/>
    <col min="10504" max="10504" width="7.33203125" style="914" customWidth="1"/>
    <col min="10505" max="10505" width="12.109375" style="914" customWidth="1"/>
    <col min="10506" max="10506" width="12.44140625" style="914" customWidth="1"/>
    <col min="10507" max="10509" width="12.88671875" style="914" customWidth="1"/>
    <col min="10510" max="10510" width="0" style="914" hidden="1" customWidth="1"/>
    <col min="10511" max="10511" width="10.33203125" style="914" customWidth="1"/>
    <col min="10512" max="10512" width="5.6640625" style="914" customWidth="1"/>
    <col min="10513" max="10513" width="5" style="914" customWidth="1"/>
    <col min="10514" max="10514" width="6" style="914" customWidth="1"/>
    <col min="10515" max="10515" width="6.44140625" style="914" customWidth="1"/>
    <col min="10516" max="10516" width="8.109375" style="914" customWidth="1"/>
    <col min="10517" max="10518" width="10.44140625" style="914" customWidth="1"/>
    <col min="10519" max="10520" width="6" style="914" customWidth="1"/>
    <col min="10521" max="10521" width="7.88671875" style="914" customWidth="1"/>
    <col min="10522" max="10522" width="11" style="914" customWidth="1"/>
    <col min="10523" max="10523" width="5.88671875" style="914" customWidth="1"/>
    <col min="10524" max="10524" width="11.44140625" style="914" customWidth="1"/>
    <col min="10525" max="10525" width="2.44140625" style="914" customWidth="1"/>
    <col min="10526" max="10526" width="9" style="914" customWidth="1"/>
    <col min="10527" max="10527" width="9.6640625" style="914" customWidth="1"/>
    <col min="10528" max="10528" width="0" style="914" hidden="1" customWidth="1"/>
    <col min="10529" max="10529" width="15.109375" style="914" customWidth="1"/>
    <col min="10530" max="10530" width="8.88671875" style="914" customWidth="1"/>
    <col min="10531" max="10531" width="11.44140625" style="914" customWidth="1"/>
    <col min="10532" max="10533" width="13.44140625" style="914" customWidth="1"/>
    <col min="10534" max="10534" width="23.88671875" style="914" customWidth="1"/>
    <col min="10535" max="10535" width="11.6640625" style="914" customWidth="1"/>
    <col min="10536" max="10536" width="14.88671875" style="914" bestFit="1" customWidth="1"/>
    <col min="10537" max="10543" width="0" style="914" hidden="1" customWidth="1"/>
    <col min="10544" max="10544" width="11.6640625" style="914"/>
    <col min="10545" max="10548" width="0" style="914" hidden="1" customWidth="1"/>
    <col min="10549" max="10752" width="11.6640625" style="914"/>
    <col min="10753" max="10753" width="8.44140625" style="914" customWidth="1"/>
    <col min="10754" max="10754" width="22" style="914" customWidth="1"/>
    <col min="10755" max="10755" width="33.33203125" style="914" customWidth="1"/>
    <col min="10756" max="10756" width="5.5546875" style="914" bestFit="1" customWidth="1"/>
    <col min="10757" max="10757" width="9.44140625" style="914" customWidth="1"/>
    <col min="10758" max="10758" width="16.109375" style="914" customWidth="1"/>
    <col min="10759" max="10759" width="10.33203125" style="914" customWidth="1"/>
    <col min="10760" max="10760" width="7.33203125" style="914" customWidth="1"/>
    <col min="10761" max="10761" width="12.109375" style="914" customWidth="1"/>
    <col min="10762" max="10762" width="12.44140625" style="914" customWidth="1"/>
    <col min="10763" max="10765" width="12.88671875" style="914" customWidth="1"/>
    <col min="10766" max="10766" width="0" style="914" hidden="1" customWidth="1"/>
    <col min="10767" max="10767" width="10.33203125" style="914" customWidth="1"/>
    <col min="10768" max="10768" width="5.6640625" style="914" customWidth="1"/>
    <col min="10769" max="10769" width="5" style="914" customWidth="1"/>
    <col min="10770" max="10770" width="6" style="914" customWidth="1"/>
    <col min="10771" max="10771" width="6.44140625" style="914" customWidth="1"/>
    <col min="10772" max="10772" width="8.109375" style="914" customWidth="1"/>
    <col min="10773" max="10774" width="10.44140625" style="914" customWidth="1"/>
    <col min="10775" max="10776" width="6" style="914" customWidth="1"/>
    <col min="10777" max="10777" width="7.88671875" style="914" customWidth="1"/>
    <col min="10778" max="10778" width="11" style="914" customWidth="1"/>
    <col min="10779" max="10779" width="5.88671875" style="914" customWidth="1"/>
    <col min="10780" max="10780" width="11.44140625" style="914" customWidth="1"/>
    <col min="10781" max="10781" width="2.44140625" style="914" customWidth="1"/>
    <col min="10782" max="10782" width="9" style="914" customWidth="1"/>
    <col min="10783" max="10783" width="9.6640625" style="914" customWidth="1"/>
    <col min="10784" max="10784" width="0" style="914" hidden="1" customWidth="1"/>
    <col min="10785" max="10785" width="15.109375" style="914" customWidth="1"/>
    <col min="10786" max="10786" width="8.88671875" style="914" customWidth="1"/>
    <col min="10787" max="10787" width="11.44140625" style="914" customWidth="1"/>
    <col min="10788" max="10789" width="13.44140625" style="914" customWidth="1"/>
    <col min="10790" max="10790" width="23.88671875" style="914" customWidth="1"/>
    <col min="10791" max="10791" width="11.6640625" style="914" customWidth="1"/>
    <col min="10792" max="10792" width="14.88671875" style="914" bestFit="1" customWidth="1"/>
    <col min="10793" max="10799" width="0" style="914" hidden="1" customWidth="1"/>
    <col min="10800" max="10800" width="11.6640625" style="914"/>
    <col min="10801" max="10804" width="0" style="914" hidden="1" customWidth="1"/>
    <col min="10805" max="11008" width="11.6640625" style="914"/>
    <col min="11009" max="11009" width="8.44140625" style="914" customWidth="1"/>
    <col min="11010" max="11010" width="22" style="914" customWidth="1"/>
    <col min="11011" max="11011" width="33.33203125" style="914" customWidth="1"/>
    <col min="11012" max="11012" width="5.5546875" style="914" bestFit="1" customWidth="1"/>
    <col min="11013" max="11013" width="9.44140625" style="914" customWidth="1"/>
    <col min="11014" max="11014" width="16.109375" style="914" customWidth="1"/>
    <col min="11015" max="11015" width="10.33203125" style="914" customWidth="1"/>
    <col min="11016" max="11016" width="7.33203125" style="914" customWidth="1"/>
    <col min="11017" max="11017" width="12.109375" style="914" customWidth="1"/>
    <col min="11018" max="11018" width="12.44140625" style="914" customWidth="1"/>
    <col min="11019" max="11021" width="12.88671875" style="914" customWidth="1"/>
    <col min="11022" max="11022" width="0" style="914" hidden="1" customWidth="1"/>
    <col min="11023" max="11023" width="10.33203125" style="914" customWidth="1"/>
    <col min="11024" max="11024" width="5.6640625" style="914" customWidth="1"/>
    <col min="11025" max="11025" width="5" style="914" customWidth="1"/>
    <col min="11026" max="11026" width="6" style="914" customWidth="1"/>
    <col min="11027" max="11027" width="6.44140625" style="914" customWidth="1"/>
    <col min="11028" max="11028" width="8.109375" style="914" customWidth="1"/>
    <col min="11029" max="11030" width="10.44140625" style="914" customWidth="1"/>
    <col min="11031" max="11032" width="6" style="914" customWidth="1"/>
    <col min="11033" max="11033" width="7.88671875" style="914" customWidth="1"/>
    <col min="11034" max="11034" width="11" style="914" customWidth="1"/>
    <col min="11035" max="11035" width="5.88671875" style="914" customWidth="1"/>
    <col min="11036" max="11036" width="11.44140625" style="914" customWidth="1"/>
    <col min="11037" max="11037" width="2.44140625" style="914" customWidth="1"/>
    <col min="11038" max="11038" width="9" style="914" customWidth="1"/>
    <col min="11039" max="11039" width="9.6640625" style="914" customWidth="1"/>
    <col min="11040" max="11040" width="0" style="914" hidden="1" customWidth="1"/>
    <col min="11041" max="11041" width="15.109375" style="914" customWidth="1"/>
    <col min="11042" max="11042" width="8.88671875" style="914" customWidth="1"/>
    <col min="11043" max="11043" width="11.44140625" style="914" customWidth="1"/>
    <col min="11044" max="11045" width="13.44140625" style="914" customWidth="1"/>
    <col min="11046" max="11046" width="23.88671875" style="914" customWidth="1"/>
    <col min="11047" max="11047" width="11.6640625" style="914" customWidth="1"/>
    <col min="11048" max="11048" width="14.88671875" style="914" bestFit="1" customWidth="1"/>
    <col min="11049" max="11055" width="0" style="914" hidden="1" customWidth="1"/>
    <col min="11056" max="11056" width="11.6640625" style="914"/>
    <col min="11057" max="11060" width="0" style="914" hidden="1" customWidth="1"/>
    <col min="11061" max="11264" width="11.6640625" style="914"/>
    <col min="11265" max="11265" width="8.44140625" style="914" customWidth="1"/>
    <col min="11266" max="11266" width="22" style="914" customWidth="1"/>
    <col min="11267" max="11267" width="33.33203125" style="914" customWidth="1"/>
    <col min="11268" max="11268" width="5.5546875" style="914" bestFit="1" customWidth="1"/>
    <col min="11269" max="11269" width="9.44140625" style="914" customWidth="1"/>
    <col min="11270" max="11270" width="16.109375" style="914" customWidth="1"/>
    <col min="11271" max="11271" width="10.33203125" style="914" customWidth="1"/>
    <col min="11272" max="11272" width="7.33203125" style="914" customWidth="1"/>
    <col min="11273" max="11273" width="12.109375" style="914" customWidth="1"/>
    <col min="11274" max="11274" width="12.44140625" style="914" customWidth="1"/>
    <col min="11275" max="11277" width="12.88671875" style="914" customWidth="1"/>
    <col min="11278" max="11278" width="0" style="914" hidden="1" customWidth="1"/>
    <col min="11279" max="11279" width="10.33203125" style="914" customWidth="1"/>
    <col min="11280" max="11280" width="5.6640625" style="914" customWidth="1"/>
    <col min="11281" max="11281" width="5" style="914" customWidth="1"/>
    <col min="11282" max="11282" width="6" style="914" customWidth="1"/>
    <col min="11283" max="11283" width="6.44140625" style="914" customWidth="1"/>
    <col min="11284" max="11284" width="8.109375" style="914" customWidth="1"/>
    <col min="11285" max="11286" width="10.44140625" style="914" customWidth="1"/>
    <col min="11287" max="11288" width="6" style="914" customWidth="1"/>
    <col min="11289" max="11289" width="7.88671875" style="914" customWidth="1"/>
    <col min="11290" max="11290" width="11" style="914" customWidth="1"/>
    <col min="11291" max="11291" width="5.88671875" style="914" customWidth="1"/>
    <col min="11292" max="11292" width="11.44140625" style="914" customWidth="1"/>
    <col min="11293" max="11293" width="2.44140625" style="914" customWidth="1"/>
    <col min="11294" max="11294" width="9" style="914" customWidth="1"/>
    <col min="11295" max="11295" width="9.6640625" style="914" customWidth="1"/>
    <col min="11296" max="11296" width="0" style="914" hidden="1" customWidth="1"/>
    <col min="11297" max="11297" width="15.109375" style="914" customWidth="1"/>
    <col min="11298" max="11298" width="8.88671875" style="914" customWidth="1"/>
    <col min="11299" max="11299" width="11.44140625" style="914" customWidth="1"/>
    <col min="11300" max="11301" width="13.44140625" style="914" customWidth="1"/>
    <col min="11302" max="11302" width="23.88671875" style="914" customWidth="1"/>
    <col min="11303" max="11303" width="11.6640625" style="914" customWidth="1"/>
    <col min="11304" max="11304" width="14.88671875" style="914" bestFit="1" customWidth="1"/>
    <col min="11305" max="11311" width="0" style="914" hidden="1" customWidth="1"/>
    <col min="11312" max="11312" width="11.6640625" style="914"/>
    <col min="11313" max="11316" width="0" style="914" hidden="1" customWidth="1"/>
    <col min="11317" max="11520" width="11.6640625" style="914"/>
    <col min="11521" max="11521" width="8.44140625" style="914" customWidth="1"/>
    <col min="11522" max="11522" width="22" style="914" customWidth="1"/>
    <col min="11523" max="11523" width="33.33203125" style="914" customWidth="1"/>
    <col min="11524" max="11524" width="5.5546875" style="914" bestFit="1" customWidth="1"/>
    <col min="11525" max="11525" width="9.44140625" style="914" customWidth="1"/>
    <col min="11526" max="11526" width="16.109375" style="914" customWidth="1"/>
    <col min="11527" max="11527" width="10.33203125" style="914" customWidth="1"/>
    <col min="11528" max="11528" width="7.33203125" style="914" customWidth="1"/>
    <col min="11529" max="11529" width="12.109375" style="914" customWidth="1"/>
    <col min="11530" max="11530" width="12.44140625" style="914" customWidth="1"/>
    <col min="11531" max="11533" width="12.88671875" style="914" customWidth="1"/>
    <col min="11534" max="11534" width="0" style="914" hidden="1" customWidth="1"/>
    <col min="11535" max="11535" width="10.33203125" style="914" customWidth="1"/>
    <col min="11536" max="11536" width="5.6640625" style="914" customWidth="1"/>
    <col min="11537" max="11537" width="5" style="914" customWidth="1"/>
    <col min="11538" max="11538" width="6" style="914" customWidth="1"/>
    <col min="11539" max="11539" width="6.44140625" style="914" customWidth="1"/>
    <col min="11540" max="11540" width="8.109375" style="914" customWidth="1"/>
    <col min="11541" max="11542" width="10.44140625" style="914" customWidth="1"/>
    <col min="11543" max="11544" width="6" style="914" customWidth="1"/>
    <col min="11545" max="11545" width="7.88671875" style="914" customWidth="1"/>
    <col min="11546" max="11546" width="11" style="914" customWidth="1"/>
    <col min="11547" max="11547" width="5.88671875" style="914" customWidth="1"/>
    <col min="11548" max="11548" width="11.44140625" style="914" customWidth="1"/>
    <col min="11549" max="11549" width="2.44140625" style="914" customWidth="1"/>
    <col min="11550" max="11550" width="9" style="914" customWidth="1"/>
    <col min="11551" max="11551" width="9.6640625" style="914" customWidth="1"/>
    <col min="11552" max="11552" width="0" style="914" hidden="1" customWidth="1"/>
    <col min="11553" max="11553" width="15.109375" style="914" customWidth="1"/>
    <col min="11554" max="11554" width="8.88671875" style="914" customWidth="1"/>
    <col min="11555" max="11555" width="11.44140625" style="914" customWidth="1"/>
    <col min="11556" max="11557" width="13.44140625" style="914" customWidth="1"/>
    <col min="11558" max="11558" width="23.88671875" style="914" customWidth="1"/>
    <col min="11559" max="11559" width="11.6640625" style="914" customWidth="1"/>
    <col min="11560" max="11560" width="14.88671875" style="914" bestFit="1" customWidth="1"/>
    <col min="11561" max="11567" width="0" style="914" hidden="1" customWidth="1"/>
    <col min="11568" max="11568" width="11.6640625" style="914"/>
    <col min="11569" max="11572" width="0" style="914" hidden="1" customWidth="1"/>
    <col min="11573" max="11776" width="11.6640625" style="914"/>
    <col min="11777" max="11777" width="8.44140625" style="914" customWidth="1"/>
    <col min="11778" max="11778" width="22" style="914" customWidth="1"/>
    <col min="11779" max="11779" width="33.33203125" style="914" customWidth="1"/>
    <col min="11780" max="11780" width="5.5546875" style="914" bestFit="1" customWidth="1"/>
    <col min="11781" max="11781" width="9.44140625" style="914" customWidth="1"/>
    <col min="11782" max="11782" width="16.109375" style="914" customWidth="1"/>
    <col min="11783" max="11783" width="10.33203125" style="914" customWidth="1"/>
    <col min="11784" max="11784" width="7.33203125" style="914" customWidth="1"/>
    <col min="11785" max="11785" width="12.109375" style="914" customWidth="1"/>
    <col min="11786" max="11786" width="12.44140625" style="914" customWidth="1"/>
    <col min="11787" max="11789" width="12.88671875" style="914" customWidth="1"/>
    <col min="11790" max="11790" width="0" style="914" hidden="1" customWidth="1"/>
    <col min="11791" max="11791" width="10.33203125" style="914" customWidth="1"/>
    <col min="11792" max="11792" width="5.6640625" style="914" customWidth="1"/>
    <col min="11793" max="11793" width="5" style="914" customWidth="1"/>
    <col min="11794" max="11794" width="6" style="914" customWidth="1"/>
    <col min="11795" max="11795" width="6.44140625" style="914" customWidth="1"/>
    <col min="11796" max="11796" width="8.109375" style="914" customWidth="1"/>
    <col min="11797" max="11798" width="10.44140625" style="914" customWidth="1"/>
    <col min="11799" max="11800" width="6" style="914" customWidth="1"/>
    <col min="11801" max="11801" width="7.88671875" style="914" customWidth="1"/>
    <col min="11802" max="11802" width="11" style="914" customWidth="1"/>
    <col min="11803" max="11803" width="5.88671875" style="914" customWidth="1"/>
    <col min="11804" max="11804" width="11.44140625" style="914" customWidth="1"/>
    <col min="11805" max="11805" width="2.44140625" style="914" customWidth="1"/>
    <col min="11806" max="11806" width="9" style="914" customWidth="1"/>
    <col min="11807" max="11807" width="9.6640625" style="914" customWidth="1"/>
    <col min="11808" max="11808" width="0" style="914" hidden="1" customWidth="1"/>
    <col min="11809" max="11809" width="15.109375" style="914" customWidth="1"/>
    <col min="11810" max="11810" width="8.88671875" style="914" customWidth="1"/>
    <col min="11811" max="11811" width="11.44140625" style="914" customWidth="1"/>
    <col min="11812" max="11813" width="13.44140625" style="914" customWidth="1"/>
    <col min="11814" max="11814" width="23.88671875" style="914" customWidth="1"/>
    <col min="11815" max="11815" width="11.6640625" style="914" customWidth="1"/>
    <col min="11816" max="11816" width="14.88671875" style="914" bestFit="1" customWidth="1"/>
    <col min="11817" max="11823" width="0" style="914" hidden="1" customWidth="1"/>
    <col min="11824" max="11824" width="11.6640625" style="914"/>
    <col min="11825" max="11828" width="0" style="914" hidden="1" customWidth="1"/>
    <col min="11829" max="12032" width="11.6640625" style="914"/>
    <col min="12033" max="12033" width="8.44140625" style="914" customWidth="1"/>
    <col min="12034" max="12034" width="22" style="914" customWidth="1"/>
    <col min="12035" max="12035" width="33.33203125" style="914" customWidth="1"/>
    <col min="12036" max="12036" width="5.5546875" style="914" bestFit="1" customWidth="1"/>
    <col min="12037" max="12037" width="9.44140625" style="914" customWidth="1"/>
    <col min="12038" max="12038" width="16.109375" style="914" customWidth="1"/>
    <col min="12039" max="12039" width="10.33203125" style="914" customWidth="1"/>
    <col min="12040" max="12040" width="7.33203125" style="914" customWidth="1"/>
    <col min="12041" max="12041" width="12.109375" style="914" customWidth="1"/>
    <col min="12042" max="12042" width="12.44140625" style="914" customWidth="1"/>
    <col min="12043" max="12045" width="12.88671875" style="914" customWidth="1"/>
    <col min="12046" max="12046" width="0" style="914" hidden="1" customWidth="1"/>
    <col min="12047" max="12047" width="10.33203125" style="914" customWidth="1"/>
    <col min="12048" max="12048" width="5.6640625" style="914" customWidth="1"/>
    <col min="12049" max="12049" width="5" style="914" customWidth="1"/>
    <col min="12050" max="12050" width="6" style="914" customWidth="1"/>
    <col min="12051" max="12051" width="6.44140625" style="914" customWidth="1"/>
    <col min="12052" max="12052" width="8.109375" style="914" customWidth="1"/>
    <col min="12053" max="12054" width="10.44140625" style="914" customWidth="1"/>
    <col min="12055" max="12056" width="6" style="914" customWidth="1"/>
    <col min="12057" max="12057" width="7.88671875" style="914" customWidth="1"/>
    <col min="12058" max="12058" width="11" style="914" customWidth="1"/>
    <col min="12059" max="12059" width="5.88671875" style="914" customWidth="1"/>
    <col min="12060" max="12060" width="11.44140625" style="914" customWidth="1"/>
    <col min="12061" max="12061" width="2.44140625" style="914" customWidth="1"/>
    <col min="12062" max="12062" width="9" style="914" customWidth="1"/>
    <col min="12063" max="12063" width="9.6640625" style="914" customWidth="1"/>
    <col min="12064" max="12064" width="0" style="914" hidden="1" customWidth="1"/>
    <col min="12065" max="12065" width="15.109375" style="914" customWidth="1"/>
    <col min="12066" max="12066" width="8.88671875" style="914" customWidth="1"/>
    <col min="12067" max="12067" width="11.44140625" style="914" customWidth="1"/>
    <col min="12068" max="12069" width="13.44140625" style="914" customWidth="1"/>
    <col min="12070" max="12070" width="23.88671875" style="914" customWidth="1"/>
    <col min="12071" max="12071" width="11.6640625" style="914" customWidth="1"/>
    <col min="12072" max="12072" width="14.88671875" style="914" bestFit="1" customWidth="1"/>
    <col min="12073" max="12079" width="0" style="914" hidden="1" customWidth="1"/>
    <col min="12080" max="12080" width="11.6640625" style="914"/>
    <col min="12081" max="12084" width="0" style="914" hidden="1" customWidth="1"/>
    <col min="12085" max="12288" width="11.6640625" style="914"/>
    <col min="12289" max="12289" width="8.44140625" style="914" customWidth="1"/>
    <col min="12290" max="12290" width="22" style="914" customWidth="1"/>
    <col min="12291" max="12291" width="33.33203125" style="914" customWidth="1"/>
    <col min="12292" max="12292" width="5.5546875" style="914" bestFit="1" customWidth="1"/>
    <col min="12293" max="12293" width="9.44140625" style="914" customWidth="1"/>
    <col min="12294" max="12294" width="16.109375" style="914" customWidth="1"/>
    <col min="12295" max="12295" width="10.33203125" style="914" customWidth="1"/>
    <col min="12296" max="12296" width="7.33203125" style="914" customWidth="1"/>
    <col min="12297" max="12297" width="12.109375" style="914" customWidth="1"/>
    <col min="12298" max="12298" width="12.44140625" style="914" customWidth="1"/>
    <col min="12299" max="12301" width="12.88671875" style="914" customWidth="1"/>
    <col min="12302" max="12302" width="0" style="914" hidden="1" customWidth="1"/>
    <col min="12303" max="12303" width="10.33203125" style="914" customWidth="1"/>
    <col min="12304" max="12304" width="5.6640625" style="914" customWidth="1"/>
    <col min="12305" max="12305" width="5" style="914" customWidth="1"/>
    <col min="12306" max="12306" width="6" style="914" customWidth="1"/>
    <col min="12307" max="12307" width="6.44140625" style="914" customWidth="1"/>
    <col min="12308" max="12308" width="8.109375" style="914" customWidth="1"/>
    <col min="12309" max="12310" width="10.44140625" style="914" customWidth="1"/>
    <col min="12311" max="12312" width="6" style="914" customWidth="1"/>
    <col min="12313" max="12313" width="7.88671875" style="914" customWidth="1"/>
    <col min="12314" max="12314" width="11" style="914" customWidth="1"/>
    <col min="12315" max="12315" width="5.88671875" style="914" customWidth="1"/>
    <col min="12316" max="12316" width="11.44140625" style="914" customWidth="1"/>
    <col min="12317" max="12317" width="2.44140625" style="914" customWidth="1"/>
    <col min="12318" max="12318" width="9" style="914" customWidth="1"/>
    <col min="12319" max="12319" width="9.6640625" style="914" customWidth="1"/>
    <col min="12320" max="12320" width="0" style="914" hidden="1" customWidth="1"/>
    <col min="12321" max="12321" width="15.109375" style="914" customWidth="1"/>
    <col min="12322" max="12322" width="8.88671875" style="914" customWidth="1"/>
    <col min="12323" max="12323" width="11.44140625" style="914" customWidth="1"/>
    <col min="12324" max="12325" width="13.44140625" style="914" customWidth="1"/>
    <col min="12326" max="12326" width="23.88671875" style="914" customWidth="1"/>
    <col min="12327" max="12327" width="11.6640625" style="914" customWidth="1"/>
    <col min="12328" max="12328" width="14.88671875" style="914" bestFit="1" customWidth="1"/>
    <col min="12329" max="12335" width="0" style="914" hidden="1" customWidth="1"/>
    <col min="12336" max="12336" width="11.6640625" style="914"/>
    <col min="12337" max="12340" width="0" style="914" hidden="1" customWidth="1"/>
    <col min="12341" max="12544" width="11.6640625" style="914"/>
    <col min="12545" max="12545" width="8.44140625" style="914" customWidth="1"/>
    <col min="12546" max="12546" width="22" style="914" customWidth="1"/>
    <col min="12547" max="12547" width="33.33203125" style="914" customWidth="1"/>
    <col min="12548" max="12548" width="5.5546875" style="914" bestFit="1" customWidth="1"/>
    <col min="12549" max="12549" width="9.44140625" style="914" customWidth="1"/>
    <col min="12550" max="12550" width="16.109375" style="914" customWidth="1"/>
    <col min="12551" max="12551" width="10.33203125" style="914" customWidth="1"/>
    <col min="12552" max="12552" width="7.33203125" style="914" customWidth="1"/>
    <col min="12553" max="12553" width="12.109375" style="914" customWidth="1"/>
    <col min="12554" max="12554" width="12.44140625" style="914" customWidth="1"/>
    <col min="12555" max="12557" width="12.88671875" style="914" customWidth="1"/>
    <col min="12558" max="12558" width="0" style="914" hidden="1" customWidth="1"/>
    <col min="12559" max="12559" width="10.33203125" style="914" customWidth="1"/>
    <col min="12560" max="12560" width="5.6640625" style="914" customWidth="1"/>
    <col min="12561" max="12561" width="5" style="914" customWidth="1"/>
    <col min="12562" max="12562" width="6" style="914" customWidth="1"/>
    <col min="12563" max="12563" width="6.44140625" style="914" customWidth="1"/>
    <col min="12564" max="12564" width="8.109375" style="914" customWidth="1"/>
    <col min="12565" max="12566" width="10.44140625" style="914" customWidth="1"/>
    <col min="12567" max="12568" width="6" style="914" customWidth="1"/>
    <col min="12569" max="12569" width="7.88671875" style="914" customWidth="1"/>
    <col min="12570" max="12570" width="11" style="914" customWidth="1"/>
    <col min="12571" max="12571" width="5.88671875" style="914" customWidth="1"/>
    <col min="12572" max="12572" width="11.44140625" style="914" customWidth="1"/>
    <col min="12573" max="12573" width="2.44140625" style="914" customWidth="1"/>
    <col min="12574" max="12574" width="9" style="914" customWidth="1"/>
    <col min="12575" max="12575" width="9.6640625" style="914" customWidth="1"/>
    <col min="12576" max="12576" width="0" style="914" hidden="1" customWidth="1"/>
    <col min="12577" max="12577" width="15.109375" style="914" customWidth="1"/>
    <col min="12578" max="12578" width="8.88671875" style="914" customWidth="1"/>
    <col min="12579" max="12579" width="11.44140625" style="914" customWidth="1"/>
    <col min="12580" max="12581" width="13.44140625" style="914" customWidth="1"/>
    <col min="12582" max="12582" width="23.88671875" style="914" customWidth="1"/>
    <col min="12583" max="12583" width="11.6640625" style="914" customWidth="1"/>
    <col min="12584" max="12584" width="14.88671875" style="914" bestFit="1" customWidth="1"/>
    <col min="12585" max="12591" width="0" style="914" hidden="1" customWidth="1"/>
    <col min="12592" max="12592" width="11.6640625" style="914"/>
    <col min="12593" max="12596" width="0" style="914" hidden="1" customWidth="1"/>
    <col min="12597" max="12800" width="11.6640625" style="914"/>
    <col min="12801" max="12801" width="8.44140625" style="914" customWidth="1"/>
    <col min="12802" max="12802" width="22" style="914" customWidth="1"/>
    <col min="12803" max="12803" width="33.33203125" style="914" customWidth="1"/>
    <col min="12804" max="12804" width="5.5546875" style="914" bestFit="1" customWidth="1"/>
    <col min="12805" max="12805" width="9.44140625" style="914" customWidth="1"/>
    <col min="12806" max="12806" width="16.109375" style="914" customWidth="1"/>
    <col min="12807" max="12807" width="10.33203125" style="914" customWidth="1"/>
    <col min="12808" max="12808" width="7.33203125" style="914" customWidth="1"/>
    <col min="12809" max="12809" width="12.109375" style="914" customWidth="1"/>
    <col min="12810" max="12810" width="12.44140625" style="914" customWidth="1"/>
    <col min="12811" max="12813" width="12.88671875" style="914" customWidth="1"/>
    <col min="12814" max="12814" width="0" style="914" hidden="1" customWidth="1"/>
    <col min="12815" max="12815" width="10.33203125" style="914" customWidth="1"/>
    <col min="12816" max="12816" width="5.6640625" style="914" customWidth="1"/>
    <col min="12817" max="12817" width="5" style="914" customWidth="1"/>
    <col min="12818" max="12818" width="6" style="914" customWidth="1"/>
    <col min="12819" max="12819" width="6.44140625" style="914" customWidth="1"/>
    <col min="12820" max="12820" width="8.109375" style="914" customWidth="1"/>
    <col min="12821" max="12822" width="10.44140625" style="914" customWidth="1"/>
    <col min="12823" max="12824" width="6" style="914" customWidth="1"/>
    <col min="12825" max="12825" width="7.88671875" style="914" customWidth="1"/>
    <col min="12826" max="12826" width="11" style="914" customWidth="1"/>
    <col min="12827" max="12827" width="5.88671875" style="914" customWidth="1"/>
    <col min="12828" max="12828" width="11.44140625" style="914" customWidth="1"/>
    <col min="12829" max="12829" width="2.44140625" style="914" customWidth="1"/>
    <col min="12830" max="12830" width="9" style="914" customWidth="1"/>
    <col min="12831" max="12831" width="9.6640625" style="914" customWidth="1"/>
    <col min="12832" max="12832" width="0" style="914" hidden="1" customWidth="1"/>
    <col min="12833" max="12833" width="15.109375" style="914" customWidth="1"/>
    <col min="12834" max="12834" width="8.88671875" style="914" customWidth="1"/>
    <col min="12835" max="12835" width="11.44140625" style="914" customWidth="1"/>
    <col min="12836" max="12837" width="13.44140625" style="914" customWidth="1"/>
    <col min="12838" max="12838" width="23.88671875" style="914" customWidth="1"/>
    <col min="12839" max="12839" width="11.6640625" style="914" customWidth="1"/>
    <col min="12840" max="12840" width="14.88671875" style="914" bestFit="1" customWidth="1"/>
    <col min="12841" max="12847" width="0" style="914" hidden="1" customWidth="1"/>
    <col min="12848" max="12848" width="11.6640625" style="914"/>
    <col min="12849" max="12852" width="0" style="914" hidden="1" customWidth="1"/>
    <col min="12853" max="13056" width="11.6640625" style="914"/>
    <col min="13057" max="13057" width="8.44140625" style="914" customWidth="1"/>
    <col min="13058" max="13058" width="22" style="914" customWidth="1"/>
    <col min="13059" max="13059" width="33.33203125" style="914" customWidth="1"/>
    <col min="13060" max="13060" width="5.5546875" style="914" bestFit="1" customWidth="1"/>
    <col min="13061" max="13061" width="9.44140625" style="914" customWidth="1"/>
    <col min="13062" max="13062" width="16.109375" style="914" customWidth="1"/>
    <col min="13063" max="13063" width="10.33203125" style="914" customWidth="1"/>
    <col min="13064" max="13064" width="7.33203125" style="914" customWidth="1"/>
    <col min="13065" max="13065" width="12.109375" style="914" customWidth="1"/>
    <col min="13066" max="13066" width="12.44140625" style="914" customWidth="1"/>
    <col min="13067" max="13069" width="12.88671875" style="914" customWidth="1"/>
    <col min="13070" max="13070" width="0" style="914" hidden="1" customWidth="1"/>
    <col min="13071" max="13071" width="10.33203125" style="914" customWidth="1"/>
    <col min="13072" max="13072" width="5.6640625" style="914" customWidth="1"/>
    <col min="13073" max="13073" width="5" style="914" customWidth="1"/>
    <col min="13074" max="13074" width="6" style="914" customWidth="1"/>
    <col min="13075" max="13075" width="6.44140625" style="914" customWidth="1"/>
    <col min="13076" max="13076" width="8.109375" style="914" customWidth="1"/>
    <col min="13077" max="13078" width="10.44140625" style="914" customWidth="1"/>
    <col min="13079" max="13080" width="6" style="914" customWidth="1"/>
    <col min="13081" max="13081" width="7.88671875" style="914" customWidth="1"/>
    <col min="13082" max="13082" width="11" style="914" customWidth="1"/>
    <col min="13083" max="13083" width="5.88671875" style="914" customWidth="1"/>
    <col min="13084" max="13084" width="11.44140625" style="914" customWidth="1"/>
    <col min="13085" max="13085" width="2.44140625" style="914" customWidth="1"/>
    <col min="13086" max="13086" width="9" style="914" customWidth="1"/>
    <col min="13087" max="13087" width="9.6640625" style="914" customWidth="1"/>
    <col min="13088" max="13088" width="0" style="914" hidden="1" customWidth="1"/>
    <col min="13089" max="13089" width="15.109375" style="914" customWidth="1"/>
    <col min="13090" max="13090" width="8.88671875" style="914" customWidth="1"/>
    <col min="13091" max="13091" width="11.44140625" style="914" customWidth="1"/>
    <col min="13092" max="13093" width="13.44140625" style="914" customWidth="1"/>
    <col min="13094" max="13094" width="23.88671875" style="914" customWidth="1"/>
    <col min="13095" max="13095" width="11.6640625" style="914" customWidth="1"/>
    <col min="13096" max="13096" width="14.88671875" style="914" bestFit="1" customWidth="1"/>
    <col min="13097" max="13103" width="0" style="914" hidden="1" customWidth="1"/>
    <col min="13104" max="13104" width="11.6640625" style="914"/>
    <col min="13105" max="13108" width="0" style="914" hidden="1" customWidth="1"/>
    <col min="13109" max="13312" width="11.6640625" style="914"/>
    <col min="13313" max="13313" width="8.44140625" style="914" customWidth="1"/>
    <col min="13314" max="13314" width="22" style="914" customWidth="1"/>
    <col min="13315" max="13315" width="33.33203125" style="914" customWidth="1"/>
    <col min="13316" max="13316" width="5.5546875" style="914" bestFit="1" customWidth="1"/>
    <col min="13317" max="13317" width="9.44140625" style="914" customWidth="1"/>
    <col min="13318" max="13318" width="16.109375" style="914" customWidth="1"/>
    <col min="13319" max="13319" width="10.33203125" style="914" customWidth="1"/>
    <col min="13320" max="13320" width="7.33203125" style="914" customWidth="1"/>
    <col min="13321" max="13321" width="12.109375" style="914" customWidth="1"/>
    <col min="13322" max="13322" width="12.44140625" style="914" customWidth="1"/>
    <col min="13323" max="13325" width="12.88671875" style="914" customWidth="1"/>
    <col min="13326" max="13326" width="0" style="914" hidden="1" customWidth="1"/>
    <col min="13327" max="13327" width="10.33203125" style="914" customWidth="1"/>
    <col min="13328" max="13328" width="5.6640625" style="914" customWidth="1"/>
    <col min="13329" max="13329" width="5" style="914" customWidth="1"/>
    <col min="13330" max="13330" width="6" style="914" customWidth="1"/>
    <col min="13331" max="13331" width="6.44140625" style="914" customWidth="1"/>
    <col min="13332" max="13332" width="8.109375" style="914" customWidth="1"/>
    <col min="13333" max="13334" width="10.44140625" style="914" customWidth="1"/>
    <col min="13335" max="13336" width="6" style="914" customWidth="1"/>
    <col min="13337" max="13337" width="7.88671875" style="914" customWidth="1"/>
    <col min="13338" max="13338" width="11" style="914" customWidth="1"/>
    <col min="13339" max="13339" width="5.88671875" style="914" customWidth="1"/>
    <col min="13340" max="13340" width="11.44140625" style="914" customWidth="1"/>
    <col min="13341" max="13341" width="2.44140625" style="914" customWidth="1"/>
    <col min="13342" max="13342" width="9" style="914" customWidth="1"/>
    <col min="13343" max="13343" width="9.6640625" style="914" customWidth="1"/>
    <col min="13344" max="13344" width="0" style="914" hidden="1" customWidth="1"/>
    <col min="13345" max="13345" width="15.109375" style="914" customWidth="1"/>
    <col min="13346" max="13346" width="8.88671875" style="914" customWidth="1"/>
    <col min="13347" max="13347" width="11.44140625" style="914" customWidth="1"/>
    <col min="13348" max="13349" width="13.44140625" style="914" customWidth="1"/>
    <col min="13350" max="13350" width="23.88671875" style="914" customWidth="1"/>
    <col min="13351" max="13351" width="11.6640625" style="914" customWidth="1"/>
    <col min="13352" max="13352" width="14.88671875" style="914" bestFit="1" customWidth="1"/>
    <col min="13353" max="13359" width="0" style="914" hidden="1" customWidth="1"/>
    <col min="13360" max="13360" width="11.6640625" style="914"/>
    <col min="13361" max="13364" width="0" style="914" hidden="1" customWidth="1"/>
    <col min="13365" max="13568" width="11.6640625" style="914"/>
    <col min="13569" max="13569" width="8.44140625" style="914" customWidth="1"/>
    <col min="13570" max="13570" width="22" style="914" customWidth="1"/>
    <col min="13571" max="13571" width="33.33203125" style="914" customWidth="1"/>
    <col min="13572" max="13572" width="5.5546875" style="914" bestFit="1" customWidth="1"/>
    <col min="13573" max="13573" width="9.44140625" style="914" customWidth="1"/>
    <col min="13574" max="13574" width="16.109375" style="914" customWidth="1"/>
    <col min="13575" max="13575" width="10.33203125" style="914" customWidth="1"/>
    <col min="13576" max="13576" width="7.33203125" style="914" customWidth="1"/>
    <col min="13577" max="13577" width="12.109375" style="914" customWidth="1"/>
    <col min="13578" max="13578" width="12.44140625" style="914" customWidth="1"/>
    <col min="13579" max="13581" width="12.88671875" style="914" customWidth="1"/>
    <col min="13582" max="13582" width="0" style="914" hidden="1" customWidth="1"/>
    <col min="13583" max="13583" width="10.33203125" style="914" customWidth="1"/>
    <col min="13584" max="13584" width="5.6640625" style="914" customWidth="1"/>
    <col min="13585" max="13585" width="5" style="914" customWidth="1"/>
    <col min="13586" max="13586" width="6" style="914" customWidth="1"/>
    <col min="13587" max="13587" width="6.44140625" style="914" customWidth="1"/>
    <col min="13588" max="13588" width="8.109375" style="914" customWidth="1"/>
    <col min="13589" max="13590" width="10.44140625" style="914" customWidth="1"/>
    <col min="13591" max="13592" width="6" style="914" customWidth="1"/>
    <col min="13593" max="13593" width="7.88671875" style="914" customWidth="1"/>
    <col min="13594" max="13594" width="11" style="914" customWidth="1"/>
    <col min="13595" max="13595" width="5.88671875" style="914" customWidth="1"/>
    <col min="13596" max="13596" width="11.44140625" style="914" customWidth="1"/>
    <col min="13597" max="13597" width="2.44140625" style="914" customWidth="1"/>
    <col min="13598" max="13598" width="9" style="914" customWidth="1"/>
    <col min="13599" max="13599" width="9.6640625" style="914" customWidth="1"/>
    <col min="13600" max="13600" width="0" style="914" hidden="1" customWidth="1"/>
    <col min="13601" max="13601" width="15.109375" style="914" customWidth="1"/>
    <col min="13602" max="13602" width="8.88671875" style="914" customWidth="1"/>
    <col min="13603" max="13603" width="11.44140625" style="914" customWidth="1"/>
    <col min="13604" max="13605" width="13.44140625" style="914" customWidth="1"/>
    <col min="13606" max="13606" width="23.88671875" style="914" customWidth="1"/>
    <col min="13607" max="13607" width="11.6640625" style="914" customWidth="1"/>
    <col min="13608" max="13608" width="14.88671875" style="914" bestFit="1" customWidth="1"/>
    <col min="13609" max="13615" width="0" style="914" hidden="1" customWidth="1"/>
    <col min="13616" max="13616" width="11.6640625" style="914"/>
    <col min="13617" max="13620" width="0" style="914" hidden="1" customWidth="1"/>
    <col min="13621" max="13824" width="11.6640625" style="914"/>
    <col min="13825" max="13825" width="8.44140625" style="914" customWidth="1"/>
    <col min="13826" max="13826" width="22" style="914" customWidth="1"/>
    <col min="13827" max="13827" width="33.33203125" style="914" customWidth="1"/>
    <col min="13828" max="13828" width="5.5546875" style="914" bestFit="1" customWidth="1"/>
    <col min="13829" max="13829" width="9.44140625" style="914" customWidth="1"/>
    <col min="13830" max="13830" width="16.109375" style="914" customWidth="1"/>
    <col min="13831" max="13831" width="10.33203125" style="914" customWidth="1"/>
    <col min="13832" max="13832" width="7.33203125" style="914" customWidth="1"/>
    <col min="13833" max="13833" width="12.109375" style="914" customWidth="1"/>
    <col min="13834" max="13834" width="12.44140625" style="914" customWidth="1"/>
    <col min="13835" max="13837" width="12.88671875" style="914" customWidth="1"/>
    <col min="13838" max="13838" width="0" style="914" hidden="1" customWidth="1"/>
    <col min="13839" max="13839" width="10.33203125" style="914" customWidth="1"/>
    <col min="13840" max="13840" width="5.6640625" style="914" customWidth="1"/>
    <col min="13841" max="13841" width="5" style="914" customWidth="1"/>
    <col min="13842" max="13842" width="6" style="914" customWidth="1"/>
    <col min="13843" max="13843" width="6.44140625" style="914" customWidth="1"/>
    <col min="13844" max="13844" width="8.109375" style="914" customWidth="1"/>
    <col min="13845" max="13846" width="10.44140625" style="914" customWidth="1"/>
    <col min="13847" max="13848" width="6" style="914" customWidth="1"/>
    <col min="13849" max="13849" width="7.88671875" style="914" customWidth="1"/>
    <col min="13850" max="13850" width="11" style="914" customWidth="1"/>
    <col min="13851" max="13851" width="5.88671875" style="914" customWidth="1"/>
    <col min="13852" max="13852" width="11.44140625" style="914" customWidth="1"/>
    <col min="13853" max="13853" width="2.44140625" style="914" customWidth="1"/>
    <col min="13854" max="13854" width="9" style="914" customWidth="1"/>
    <col min="13855" max="13855" width="9.6640625" style="914" customWidth="1"/>
    <col min="13856" max="13856" width="0" style="914" hidden="1" customWidth="1"/>
    <col min="13857" max="13857" width="15.109375" style="914" customWidth="1"/>
    <col min="13858" max="13858" width="8.88671875" style="914" customWidth="1"/>
    <col min="13859" max="13859" width="11.44140625" style="914" customWidth="1"/>
    <col min="13860" max="13861" width="13.44140625" style="914" customWidth="1"/>
    <col min="13862" max="13862" width="23.88671875" style="914" customWidth="1"/>
    <col min="13863" max="13863" width="11.6640625" style="914" customWidth="1"/>
    <col min="13864" max="13864" width="14.88671875" style="914" bestFit="1" customWidth="1"/>
    <col min="13865" max="13871" width="0" style="914" hidden="1" customWidth="1"/>
    <col min="13872" max="13872" width="11.6640625" style="914"/>
    <col min="13873" max="13876" width="0" style="914" hidden="1" customWidth="1"/>
    <col min="13877" max="14080" width="11.6640625" style="914"/>
    <col min="14081" max="14081" width="8.44140625" style="914" customWidth="1"/>
    <col min="14082" max="14082" width="22" style="914" customWidth="1"/>
    <col min="14083" max="14083" width="33.33203125" style="914" customWidth="1"/>
    <col min="14084" max="14084" width="5.5546875" style="914" bestFit="1" customWidth="1"/>
    <col min="14085" max="14085" width="9.44140625" style="914" customWidth="1"/>
    <col min="14086" max="14086" width="16.109375" style="914" customWidth="1"/>
    <col min="14087" max="14087" width="10.33203125" style="914" customWidth="1"/>
    <col min="14088" max="14088" width="7.33203125" style="914" customWidth="1"/>
    <col min="14089" max="14089" width="12.109375" style="914" customWidth="1"/>
    <col min="14090" max="14090" width="12.44140625" style="914" customWidth="1"/>
    <col min="14091" max="14093" width="12.88671875" style="914" customWidth="1"/>
    <col min="14094" max="14094" width="0" style="914" hidden="1" customWidth="1"/>
    <col min="14095" max="14095" width="10.33203125" style="914" customWidth="1"/>
    <col min="14096" max="14096" width="5.6640625" style="914" customWidth="1"/>
    <col min="14097" max="14097" width="5" style="914" customWidth="1"/>
    <col min="14098" max="14098" width="6" style="914" customWidth="1"/>
    <col min="14099" max="14099" width="6.44140625" style="914" customWidth="1"/>
    <col min="14100" max="14100" width="8.109375" style="914" customWidth="1"/>
    <col min="14101" max="14102" width="10.44140625" style="914" customWidth="1"/>
    <col min="14103" max="14104" width="6" style="914" customWidth="1"/>
    <col min="14105" max="14105" width="7.88671875" style="914" customWidth="1"/>
    <col min="14106" max="14106" width="11" style="914" customWidth="1"/>
    <col min="14107" max="14107" width="5.88671875" style="914" customWidth="1"/>
    <col min="14108" max="14108" width="11.44140625" style="914" customWidth="1"/>
    <col min="14109" max="14109" width="2.44140625" style="914" customWidth="1"/>
    <col min="14110" max="14110" width="9" style="914" customWidth="1"/>
    <col min="14111" max="14111" width="9.6640625" style="914" customWidth="1"/>
    <col min="14112" max="14112" width="0" style="914" hidden="1" customWidth="1"/>
    <col min="14113" max="14113" width="15.109375" style="914" customWidth="1"/>
    <col min="14114" max="14114" width="8.88671875" style="914" customWidth="1"/>
    <col min="14115" max="14115" width="11.44140625" style="914" customWidth="1"/>
    <col min="14116" max="14117" width="13.44140625" style="914" customWidth="1"/>
    <col min="14118" max="14118" width="23.88671875" style="914" customWidth="1"/>
    <col min="14119" max="14119" width="11.6640625" style="914" customWidth="1"/>
    <col min="14120" max="14120" width="14.88671875" style="914" bestFit="1" customWidth="1"/>
    <col min="14121" max="14127" width="0" style="914" hidden="1" customWidth="1"/>
    <col min="14128" max="14128" width="11.6640625" style="914"/>
    <col min="14129" max="14132" width="0" style="914" hidden="1" customWidth="1"/>
    <col min="14133" max="14336" width="11.6640625" style="914"/>
    <col min="14337" max="14337" width="8.44140625" style="914" customWidth="1"/>
    <col min="14338" max="14338" width="22" style="914" customWidth="1"/>
    <col min="14339" max="14339" width="33.33203125" style="914" customWidth="1"/>
    <col min="14340" max="14340" width="5.5546875" style="914" bestFit="1" customWidth="1"/>
    <col min="14341" max="14341" width="9.44140625" style="914" customWidth="1"/>
    <col min="14342" max="14342" width="16.109375" style="914" customWidth="1"/>
    <col min="14343" max="14343" width="10.33203125" style="914" customWidth="1"/>
    <col min="14344" max="14344" width="7.33203125" style="914" customWidth="1"/>
    <col min="14345" max="14345" width="12.109375" style="914" customWidth="1"/>
    <col min="14346" max="14346" width="12.44140625" style="914" customWidth="1"/>
    <col min="14347" max="14349" width="12.88671875" style="914" customWidth="1"/>
    <col min="14350" max="14350" width="0" style="914" hidden="1" customWidth="1"/>
    <col min="14351" max="14351" width="10.33203125" style="914" customWidth="1"/>
    <col min="14352" max="14352" width="5.6640625" style="914" customWidth="1"/>
    <col min="14353" max="14353" width="5" style="914" customWidth="1"/>
    <col min="14354" max="14354" width="6" style="914" customWidth="1"/>
    <col min="14355" max="14355" width="6.44140625" style="914" customWidth="1"/>
    <col min="14356" max="14356" width="8.109375" style="914" customWidth="1"/>
    <col min="14357" max="14358" width="10.44140625" style="914" customWidth="1"/>
    <col min="14359" max="14360" width="6" style="914" customWidth="1"/>
    <col min="14361" max="14361" width="7.88671875" style="914" customWidth="1"/>
    <col min="14362" max="14362" width="11" style="914" customWidth="1"/>
    <col min="14363" max="14363" width="5.88671875" style="914" customWidth="1"/>
    <col min="14364" max="14364" width="11.44140625" style="914" customWidth="1"/>
    <col min="14365" max="14365" width="2.44140625" style="914" customWidth="1"/>
    <col min="14366" max="14366" width="9" style="914" customWidth="1"/>
    <col min="14367" max="14367" width="9.6640625" style="914" customWidth="1"/>
    <col min="14368" max="14368" width="0" style="914" hidden="1" customWidth="1"/>
    <col min="14369" max="14369" width="15.109375" style="914" customWidth="1"/>
    <col min="14370" max="14370" width="8.88671875" style="914" customWidth="1"/>
    <col min="14371" max="14371" width="11.44140625" style="914" customWidth="1"/>
    <col min="14372" max="14373" width="13.44140625" style="914" customWidth="1"/>
    <col min="14374" max="14374" width="23.88671875" style="914" customWidth="1"/>
    <col min="14375" max="14375" width="11.6640625" style="914" customWidth="1"/>
    <col min="14376" max="14376" width="14.88671875" style="914" bestFit="1" customWidth="1"/>
    <col min="14377" max="14383" width="0" style="914" hidden="1" customWidth="1"/>
    <col min="14384" max="14384" width="11.6640625" style="914"/>
    <col min="14385" max="14388" width="0" style="914" hidden="1" customWidth="1"/>
    <col min="14389" max="14592" width="11.6640625" style="914"/>
    <col min="14593" max="14593" width="8.44140625" style="914" customWidth="1"/>
    <col min="14594" max="14594" width="22" style="914" customWidth="1"/>
    <col min="14595" max="14595" width="33.33203125" style="914" customWidth="1"/>
    <col min="14596" max="14596" width="5.5546875" style="914" bestFit="1" customWidth="1"/>
    <col min="14597" max="14597" width="9.44140625" style="914" customWidth="1"/>
    <col min="14598" max="14598" width="16.109375" style="914" customWidth="1"/>
    <col min="14599" max="14599" width="10.33203125" style="914" customWidth="1"/>
    <col min="14600" max="14600" width="7.33203125" style="914" customWidth="1"/>
    <col min="14601" max="14601" width="12.109375" style="914" customWidth="1"/>
    <col min="14602" max="14602" width="12.44140625" style="914" customWidth="1"/>
    <col min="14603" max="14605" width="12.88671875" style="914" customWidth="1"/>
    <col min="14606" max="14606" width="0" style="914" hidden="1" customWidth="1"/>
    <col min="14607" max="14607" width="10.33203125" style="914" customWidth="1"/>
    <col min="14608" max="14608" width="5.6640625" style="914" customWidth="1"/>
    <col min="14609" max="14609" width="5" style="914" customWidth="1"/>
    <col min="14610" max="14610" width="6" style="914" customWidth="1"/>
    <col min="14611" max="14611" width="6.44140625" style="914" customWidth="1"/>
    <col min="14612" max="14612" width="8.109375" style="914" customWidth="1"/>
    <col min="14613" max="14614" width="10.44140625" style="914" customWidth="1"/>
    <col min="14615" max="14616" width="6" style="914" customWidth="1"/>
    <col min="14617" max="14617" width="7.88671875" style="914" customWidth="1"/>
    <col min="14618" max="14618" width="11" style="914" customWidth="1"/>
    <col min="14619" max="14619" width="5.88671875" style="914" customWidth="1"/>
    <col min="14620" max="14620" width="11.44140625" style="914" customWidth="1"/>
    <col min="14621" max="14621" width="2.44140625" style="914" customWidth="1"/>
    <col min="14622" max="14622" width="9" style="914" customWidth="1"/>
    <col min="14623" max="14623" width="9.6640625" style="914" customWidth="1"/>
    <col min="14624" max="14624" width="0" style="914" hidden="1" customWidth="1"/>
    <col min="14625" max="14625" width="15.109375" style="914" customWidth="1"/>
    <col min="14626" max="14626" width="8.88671875" style="914" customWidth="1"/>
    <col min="14627" max="14627" width="11.44140625" style="914" customWidth="1"/>
    <col min="14628" max="14629" width="13.44140625" style="914" customWidth="1"/>
    <col min="14630" max="14630" width="23.88671875" style="914" customWidth="1"/>
    <col min="14631" max="14631" width="11.6640625" style="914" customWidth="1"/>
    <col min="14632" max="14632" width="14.88671875" style="914" bestFit="1" customWidth="1"/>
    <col min="14633" max="14639" width="0" style="914" hidden="1" customWidth="1"/>
    <col min="14640" max="14640" width="11.6640625" style="914"/>
    <col min="14641" max="14644" width="0" style="914" hidden="1" customWidth="1"/>
    <col min="14645" max="14848" width="11.6640625" style="914"/>
    <col min="14849" max="14849" width="8.44140625" style="914" customWidth="1"/>
    <col min="14850" max="14850" width="22" style="914" customWidth="1"/>
    <col min="14851" max="14851" width="33.33203125" style="914" customWidth="1"/>
    <col min="14852" max="14852" width="5.5546875" style="914" bestFit="1" customWidth="1"/>
    <col min="14853" max="14853" width="9.44140625" style="914" customWidth="1"/>
    <col min="14854" max="14854" width="16.109375" style="914" customWidth="1"/>
    <col min="14855" max="14855" width="10.33203125" style="914" customWidth="1"/>
    <col min="14856" max="14856" width="7.33203125" style="914" customWidth="1"/>
    <col min="14857" max="14857" width="12.109375" style="914" customWidth="1"/>
    <col min="14858" max="14858" width="12.44140625" style="914" customWidth="1"/>
    <col min="14859" max="14861" width="12.88671875" style="914" customWidth="1"/>
    <col min="14862" max="14862" width="0" style="914" hidden="1" customWidth="1"/>
    <col min="14863" max="14863" width="10.33203125" style="914" customWidth="1"/>
    <col min="14864" max="14864" width="5.6640625" style="914" customWidth="1"/>
    <col min="14865" max="14865" width="5" style="914" customWidth="1"/>
    <col min="14866" max="14866" width="6" style="914" customWidth="1"/>
    <col min="14867" max="14867" width="6.44140625" style="914" customWidth="1"/>
    <col min="14868" max="14868" width="8.109375" style="914" customWidth="1"/>
    <col min="14869" max="14870" width="10.44140625" style="914" customWidth="1"/>
    <col min="14871" max="14872" width="6" style="914" customWidth="1"/>
    <col min="14873" max="14873" width="7.88671875" style="914" customWidth="1"/>
    <col min="14874" max="14874" width="11" style="914" customWidth="1"/>
    <col min="14875" max="14875" width="5.88671875" style="914" customWidth="1"/>
    <col min="14876" max="14876" width="11.44140625" style="914" customWidth="1"/>
    <col min="14877" max="14877" width="2.44140625" style="914" customWidth="1"/>
    <col min="14878" max="14878" width="9" style="914" customWidth="1"/>
    <col min="14879" max="14879" width="9.6640625" style="914" customWidth="1"/>
    <col min="14880" max="14880" width="0" style="914" hidden="1" customWidth="1"/>
    <col min="14881" max="14881" width="15.109375" style="914" customWidth="1"/>
    <col min="14882" max="14882" width="8.88671875" style="914" customWidth="1"/>
    <col min="14883" max="14883" width="11.44140625" style="914" customWidth="1"/>
    <col min="14884" max="14885" width="13.44140625" style="914" customWidth="1"/>
    <col min="14886" max="14886" width="23.88671875" style="914" customWidth="1"/>
    <col min="14887" max="14887" width="11.6640625" style="914" customWidth="1"/>
    <col min="14888" max="14888" width="14.88671875" style="914" bestFit="1" customWidth="1"/>
    <col min="14889" max="14895" width="0" style="914" hidden="1" customWidth="1"/>
    <col min="14896" max="14896" width="11.6640625" style="914"/>
    <col min="14897" max="14900" width="0" style="914" hidden="1" customWidth="1"/>
    <col min="14901" max="15104" width="11.6640625" style="914"/>
    <col min="15105" max="15105" width="8.44140625" style="914" customWidth="1"/>
    <col min="15106" max="15106" width="22" style="914" customWidth="1"/>
    <col min="15107" max="15107" width="33.33203125" style="914" customWidth="1"/>
    <col min="15108" max="15108" width="5.5546875" style="914" bestFit="1" customWidth="1"/>
    <col min="15109" max="15109" width="9.44140625" style="914" customWidth="1"/>
    <col min="15110" max="15110" width="16.109375" style="914" customWidth="1"/>
    <col min="15111" max="15111" width="10.33203125" style="914" customWidth="1"/>
    <col min="15112" max="15112" width="7.33203125" style="914" customWidth="1"/>
    <col min="15113" max="15113" width="12.109375" style="914" customWidth="1"/>
    <col min="15114" max="15114" width="12.44140625" style="914" customWidth="1"/>
    <col min="15115" max="15117" width="12.88671875" style="914" customWidth="1"/>
    <col min="15118" max="15118" width="0" style="914" hidden="1" customWidth="1"/>
    <col min="15119" max="15119" width="10.33203125" style="914" customWidth="1"/>
    <col min="15120" max="15120" width="5.6640625" style="914" customWidth="1"/>
    <col min="15121" max="15121" width="5" style="914" customWidth="1"/>
    <col min="15122" max="15122" width="6" style="914" customWidth="1"/>
    <col min="15123" max="15123" width="6.44140625" style="914" customWidth="1"/>
    <col min="15124" max="15124" width="8.109375" style="914" customWidth="1"/>
    <col min="15125" max="15126" width="10.44140625" style="914" customWidth="1"/>
    <col min="15127" max="15128" width="6" style="914" customWidth="1"/>
    <col min="15129" max="15129" width="7.88671875" style="914" customWidth="1"/>
    <col min="15130" max="15130" width="11" style="914" customWidth="1"/>
    <col min="15131" max="15131" width="5.88671875" style="914" customWidth="1"/>
    <col min="15132" max="15132" width="11.44140625" style="914" customWidth="1"/>
    <col min="15133" max="15133" width="2.44140625" style="914" customWidth="1"/>
    <col min="15134" max="15134" width="9" style="914" customWidth="1"/>
    <col min="15135" max="15135" width="9.6640625" style="914" customWidth="1"/>
    <col min="15136" max="15136" width="0" style="914" hidden="1" customWidth="1"/>
    <col min="15137" max="15137" width="15.109375" style="914" customWidth="1"/>
    <col min="15138" max="15138" width="8.88671875" style="914" customWidth="1"/>
    <col min="15139" max="15139" width="11.44140625" style="914" customWidth="1"/>
    <col min="15140" max="15141" width="13.44140625" style="914" customWidth="1"/>
    <col min="15142" max="15142" width="23.88671875" style="914" customWidth="1"/>
    <col min="15143" max="15143" width="11.6640625" style="914" customWidth="1"/>
    <col min="15144" max="15144" width="14.88671875" style="914" bestFit="1" customWidth="1"/>
    <col min="15145" max="15151" width="0" style="914" hidden="1" customWidth="1"/>
    <col min="15152" max="15152" width="11.6640625" style="914"/>
    <col min="15153" max="15156" width="0" style="914" hidden="1" customWidth="1"/>
    <col min="15157" max="15360" width="11.6640625" style="914"/>
    <col min="15361" max="15361" width="8.44140625" style="914" customWidth="1"/>
    <col min="15362" max="15362" width="22" style="914" customWidth="1"/>
    <col min="15363" max="15363" width="33.33203125" style="914" customWidth="1"/>
    <col min="15364" max="15364" width="5.5546875" style="914" bestFit="1" customWidth="1"/>
    <col min="15365" max="15365" width="9.44140625" style="914" customWidth="1"/>
    <col min="15366" max="15366" width="16.109375" style="914" customWidth="1"/>
    <col min="15367" max="15367" width="10.33203125" style="914" customWidth="1"/>
    <col min="15368" max="15368" width="7.33203125" style="914" customWidth="1"/>
    <col min="15369" max="15369" width="12.109375" style="914" customWidth="1"/>
    <col min="15370" max="15370" width="12.44140625" style="914" customWidth="1"/>
    <col min="15371" max="15373" width="12.88671875" style="914" customWidth="1"/>
    <col min="15374" max="15374" width="0" style="914" hidden="1" customWidth="1"/>
    <col min="15375" max="15375" width="10.33203125" style="914" customWidth="1"/>
    <col min="15376" max="15376" width="5.6640625" style="914" customWidth="1"/>
    <col min="15377" max="15377" width="5" style="914" customWidth="1"/>
    <col min="15378" max="15378" width="6" style="914" customWidth="1"/>
    <col min="15379" max="15379" width="6.44140625" style="914" customWidth="1"/>
    <col min="15380" max="15380" width="8.109375" style="914" customWidth="1"/>
    <col min="15381" max="15382" width="10.44140625" style="914" customWidth="1"/>
    <col min="15383" max="15384" width="6" style="914" customWidth="1"/>
    <col min="15385" max="15385" width="7.88671875" style="914" customWidth="1"/>
    <col min="15386" max="15386" width="11" style="914" customWidth="1"/>
    <col min="15387" max="15387" width="5.88671875" style="914" customWidth="1"/>
    <col min="15388" max="15388" width="11.44140625" style="914" customWidth="1"/>
    <col min="15389" max="15389" width="2.44140625" style="914" customWidth="1"/>
    <col min="15390" max="15390" width="9" style="914" customWidth="1"/>
    <col min="15391" max="15391" width="9.6640625" style="914" customWidth="1"/>
    <col min="15392" max="15392" width="0" style="914" hidden="1" customWidth="1"/>
    <col min="15393" max="15393" width="15.109375" style="914" customWidth="1"/>
    <col min="15394" max="15394" width="8.88671875" style="914" customWidth="1"/>
    <col min="15395" max="15395" width="11.44140625" style="914" customWidth="1"/>
    <col min="15396" max="15397" width="13.44140625" style="914" customWidth="1"/>
    <col min="15398" max="15398" width="23.88671875" style="914" customWidth="1"/>
    <col min="15399" max="15399" width="11.6640625" style="914" customWidth="1"/>
    <col min="15400" max="15400" width="14.88671875" style="914" bestFit="1" customWidth="1"/>
    <col min="15401" max="15407" width="0" style="914" hidden="1" customWidth="1"/>
    <col min="15408" max="15408" width="11.6640625" style="914"/>
    <col min="15409" max="15412" width="0" style="914" hidden="1" customWidth="1"/>
    <col min="15413" max="15616" width="11.6640625" style="914"/>
    <col min="15617" max="15617" width="8.44140625" style="914" customWidth="1"/>
    <col min="15618" max="15618" width="22" style="914" customWidth="1"/>
    <col min="15619" max="15619" width="33.33203125" style="914" customWidth="1"/>
    <col min="15620" max="15620" width="5.5546875" style="914" bestFit="1" customWidth="1"/>
    <col min="15621" max="15621" width="9.44140625" style="914" customWidth="1"/>
    <col min="15622" max="15622" width="16.109375" style="914" customWidth="1"/>
    <col min="15623" max="15623" width="10.33203125" style="914" customWidth="1"/>
    <col min="15624" max="15624" width="7.33203125" style="914" customWidth="1"/>
    <col min="15625" max="15625" width="12.109375" style="914" customWidth="1"/>
    <col min="15626" max="15626" width="12.44140625" style="914" customWidth="1"/>
    <col min="15627" max="15629" width="12.88671875" style="914" customWidth="1"/>
    <col min="15630" max="15630" width="0" style="914" hidden="1" customWidth="1"/>
    <col min="15631" max="15631" width="10.33203125" style="914" customWidth="1"/>
    <col min="15632" max="15632" width="5.6640625" style="914" customWidth="1"/>
    <col min="15633" max="15633" width="5" style="914" customWidth="1"/>
    <col min="15634" max="15634" width="6" style="914" customWidth="1"/>
    <col min="15635" max="15635" width="6.44140625" style="914" customWidth="1"/>
    <col min="15636" max="15636" width="8.109375" style="914" customWidth="1"/>
    <col min="15637" max="15638" width="10.44140625" style="914" customWidth="1"/>
    <col min="15639" max="15640" width="6" style="914" customWidth="1"/>
    <col min="15641" max="15641" width="7.88671875" style="914" customWidth="1"/>
    <col min="15642" max="15642" width="11" style="914" customWidth="1"/>
    <col min="15643" max="15643" width="5.88671875" style="914" customWidth="1"/>
    <col min="15644" max="15644" width="11.44140625" style="914" customWidth="1"/>
    <col min="15645" max="15645" width="2.44140625" style="914" customWidth="1"/>
    <col min="15646" max="15646" width="9" style="914" customWidth="1"/>
    <col min="15647" max="15647" width="9.6640625" style="914" customWidth="1"/>
    <col min="15648" max="15648" width="0" style="914" hidden="1" customWidth="1"/>
    <col min="15649" max="15649" width="15.109375" style="914" customWidth="1"/>
    <col min="15650" max="15650" width="8.88671875" style="914" customWidth="1"/>
    <col min="15651" max="15651" width="11.44140625" style="914" customWidth="1"/>
    <col min="15652" max="15653" width="13.44140625" style="914" customWidth="1"/>
    <col min="15654" max="15654" width="23.88671875" style="914" customWidth="1"/>
    <col min="15655" max="15655" width="11.6640625" style="914" customWidth="1"/>
    <col min="15656" max="15656" width="14.88671875" style="914" bestFit="1" customWidth="1"/>
    <col min="15657" max="15663" width="0" style="914" hidden="1" customWidth="1"/>
    <col min="15664" max="15664" width="11.6640625" style="914"/>
    <col min="15665" max="15668" width="0" style="914" hidden="1" customWidth="1"/>
    <col min="15669" max="15872" width="11.6640625" style="914"/>
    <col min="15873" max="15873" width="8.44140625" style="914" customWidth="1"/>
    <col min="15874" max="15874" width="22" style="914" customWidth="1"/>
    <col min="15875" max="15875" width="33.33203125" style="914" customWidth="1"/>
    <col min="15876" max="15876" width="5.5546875" style="914" bestFit="1" customWidth="1"/>
    <col min="15877" max="15877" width="9.44140625" style="914" customWidth="1"/>
    <col min="15878" max="15878" width="16.109375" style="914" customWidth="1"/>
    <col min="15879" max="15879" width="10.33203125" style="914" customWidth="1"/>
    <col min="15880" max="15880" width="7.33203125" style="914" customWidth="1"/>
    <col min="15881" max="15881" width="12.109375" style="914" customWidth="1"/>
    <col min="15882" max="15882" width="12.44140625" style="914" customWidth="1"/>
    <col min="15883" max="15885" width="12.88671875" style="914" customWidth="1"/>
    <col min="15886" max="15886" width="0" style="914" hidden="1" customWidth="1"/>
    <col min="15887" max="15887" width="10.33203125" style="914" customWidth="1"/>
    <col min="15888" max="15888" width="5.6640625" style="914" customWidth="1"/>
    <col min="15889" max="15889" width="5" style="914" customWidth="1"/>
    <col min="15890" max="15890" width="6" style="914" customWidth="1"/>
    <col min="15891" max="15891" width="6.44140625" style="914" customWidth="1"/>
    <col min="15892" max="15892" width="8.109375" style="914" customWidth="1"/>
    <col min="15893" max="15894" width="10.44140625" style="914" customWidth="1"/>
    <col min="15895" max="15896" width="6" style="914" customWidth="1"/>
    <col min="15897" max="15897" width="7.88671875" style="914" customWidth="1"/>
    <col min="15898" max="15898" width="11" style="914" customWidth="1"/>
    <col min="15899" max="15899" width="5.88671875" style="914" customWidth="1"/>
    <col min="15900" max="15900" width="11.44140625" style="914" customWidth="1"/>
    <col min="15901" max="15901" width="2.44140625" style="914" customWidth="1"/>
    <col min="15902" max="15902" width="9" style="914" customWidth="1"/>
    <col min="15903" max="15903" width="9.6640625" style="914" customWidth="1"/>
    <col min="15904" max="15904" width="0" style="914" hidden="1" customWidth="1"/>
    <col min="15905" max="15905" width="15.109375" style="914" customWidth="1"/>
    <col min="15906" max="15906" width="8.88671875" style="914" customWidth="1"/>
    <col min="15907" max="15907" width="11.44140625" style="914" customWidth="1"/>
    <col min="15908" max="15909" width="13.44140625" style="914" customWidth="1"/>
    <col min="15910" max="15910" width="23.88671875" style="914" customWidth="1"/>
    <col min="15911" max="15911" width="11.6640625" style="914" customWidth="1"/>
    <col min="15912" max="15912" width="14.88671875" style="914" bestFit="1" customWidth="1"/>
    <col min="15913" max="15919" width="0" style="914" hidden="1" customWidth="1"/>
    <col min="15920" max="15920" width="11.6640625" style="914"/>
    <col min="15921" max="15924" width="0" style="914" hidden="1" customWidth="1"/>
    <col min="15925" max="16128" width="11.6640625" style="914"/>
    <col min="16129" max="16129" width="8.44140625" style="914" customWidth="1"/>
    <col min="16130" max="16130" width="22" style="914" customWidth="1"/>
    <col min="16131" max="16131" width="33.33203125" style="914" customWidth="1"/>
    <col min="16132" max="16132" width="5.5546875" style="914" bestFit="1" customWidth="1"/>
    <col min="16133" max="16133" width="9.44140625" style="914" customWidth="1"/>
    <col min="16134" max="16134" width="16.109375" style="914" customWidth="1"/>
    <col min="16135" max="16135" width="10.33203125" style="914" customWidth="1"/>
    <col min="16136" max="16136" width="7.33203125" style="914" customWidth="1"/>
    <col min="16137" max="16137" width="12.109375" style="914" customWidth="1"/>
    <col min="16138" max="16138" width="12.44140625" style="914" customWidth="1"/>
    <col min="16139" max="16141" width="12.88671875" style="914" customWidth="1"/>
    <col min="16142" max="16142" width="0" style="914" hidden="1" customWidth="1"/>
    <col min="16143" max="16143" width="10.33203125" style="914" customWidth="1"/>
    <col min="16144" max="16144" width="5.6640625" style="914" customWidth="1"/>
    <col min="16145" max="16145" width="5" style="914" customWidth="1"/>
    <col min="16146" max="16146" width="6" style="914" customWidth="1"/>
    <col min="16147" max="16147" width="6.44140625" style="914" customWidth="1"/>
    <col min="16148" max="16148" width="8.109375" style="914" customWidth="1"/>
    <col min="16149" max="16150" width="10.44140625" style="914" customWidth="1"/>
    <col min="16151" max="16152" width="6" style="914" customWidth="1"/>
    <col min="16153" max="16153" width="7.88671875" style="914" customWidth="1"/>
    <col min="16154" max="16154" width="11" style="914" customWidth="1"/>
    <col min="16155" max="16155" width="5.88671875" style="914" customWidth="1"/>
    <col min="16156" max="16156" width="11.44140625" style="914" customWidth="1"/>
    <col min="16157" max="16157" width="2.44140625" style="914" customWidth="1"/>
    <col min="16158" max="16158" width="9" style="914" customWidth="1"/>
    <col min="16159" max="16159" width="9.6640625" style="914" customWidth="1"/>
    <col min="16160" max="16160" width="0" style="914" hidden="1" customWidth="1"/>
    <col min="16161" max="16161" width="15.109375" style="914" customWidth="1"/>
    <col min="16162" max="16162" width="8.88671875" style="914" customWidth="1"/>
    <col min="16163" max="16163" width="11.44140625" style="914" customWidth="1"/>
    <col min="16164" max="16165" width="13.44140625" style="914" customWidth="1"/>
    <col min="16166" max="16166" width="23.88671875" style="914" customWidth="1"/>
    <col min="16167" max="16167" width="11.6640625" style="914" customWidth="1"/>
    <col min="16168" max="16168" width="14.88671875" style="914" bestFit="1" customWidth="1"/>
    <col min="16169" max="16175" width="0" style="914" hidden="1" customWidth="1"/>
    <col min="16176" max="16176" width="11.6640625" style="914"/>
    <col min="16177" max="16180" width="0" style="914" hidden="1" customWidth="1"/>
    <col min="16181" max="16384" width="11.6640625" style="914"/>
  </cols>
  <sheetData>
    <row r="1" spans="1:52">
      <c r="B1" s="1442" t="s">
        <v>635</v>
      </c>
      <c r="C1" s="1443"/>
      <c r="D1" s="1443"/>
      <c r="E1" s="1443"/>
      <c r="F1" s="1443"/>
      <c r="G1" s="1444"/>
    </row>
    <row r="2" spans="1:52">
      <c r="B2" s="1445"/>
      <c r="C2" s="1446"/>
      <c r="D2" s="1446"/>
      <c r="E2" s="1446"/>
      <c r="F2" s="1446"/>
      <c r="G2" s="1447"/>
    </row>
    <row r="3" spans="1:52" ht="13" thickBot="1">
      <c r="B3" s="1448"/>
      <c r="C3" s="1449"/>
      <c r="D3" s="1449"/>
      <c r="E3" s="1449"/>
      <c r="F3" s="1449"/>
      <c r="G3" s="1450"/>
    </row>
    <row r="4" spans="1:52" ht="20.5" thickBot="1">
      <c r="A4" s="949"/>
      <c r="B4" s="975"/>
      <c r="C4" s="975"/>
      <c r="D4" s="975"/>
      <c r="E4" s="975"/>
      <c r="F4" s="975"/>
      <c r="G4" s="975"/>
    </row>
    <row r="5" spans="1:52" ht="20.5" thickBot="1">
      <c r="A5" s="949"/>
      <c r="B5" s="975"/>
      <c r="C5" s="977" t="s">
        <v>640</v>
      </c>
      <c r="D5" s="976"/>
      <c r="E5" s="975"/>
      <c r="F5" s="975"/>
      <c r="G5" s="975"/>
    </row>
    <row r="6" spans="1:52" ht="13" thickBot="1">
      <c r="B6" s="974" t="s">
        <v>600</v>
      </c>
      <c r="C6" s="952" t="s">
        <v>628</v>
      </c>
    </row>
    <row r="7" spans="1:52" ht="25.75" customHeight="1" thickBot="1">
      <c r="B7" s="966" t="s">
        <v>601</v>
      </c>
      <c r="C7" s="967" t="s">
        <v>629</v>
      </c>
      <c r="J7" s="1435"/>
      <c r="K7" s="1435"/>
    </row>
    <row r="8" spans="1:52" s="917" customFormat="1" ht="13" thickBot="1">
      <c r="B8" s="965" t="s">
        <v>217</v>
      </c>
      <c r="C8" s="946">
        <v>3820</v>
      </c>
      <c r="D8" s="916"/>
      <c r="E8" s="916"/>
      <c r="F8" s="916"/>
      <c r="J8" s="916"/>
      <c r="K8" s="916"/>
      <c r="L8" s="918"/>
      <c r="M8" s="918"/>
      <c r="N8" s="918"/>
      <c r="O8" s="916"/>
      <c r="P8" s="916"/>
      <c r="Q8" s="916"/>
      <c r="R8" s="916"/>
      <c r="S8" s="916"/>
      <c r="T8" s="916"/>
      <c r="U8" s="916"/>
      <c r="V8" s="916"/>
      <c r="W8" s="916"/>
      <c r="X8" s="916"/>
      <c r="Y8" s="916"/>
      <c r="Z8" s="916"/>
      <c r="AA8" s="916"/>
      <c r="AB8" s="916"/>
      <c r="AC8" s="916"/>
      <c r="AD8" s="916"/>
      <c r="AE8" s="916"/>
      <c r="AF8" s="916"/>
      <c r="AG8" s="916"/>
      <c r="AH8" s="916"/>
      <c r="AI8" s="916"/>
      <c r="AJ8" s="916"/>
      <c r="AK8" s="916"/>
      <c r="AN8" s="916"/>
      <c r="AO8" s="916"/>
      <c r="AP8" s="916"/>
      <c r="AQ8" s="916"/>
      <c r="AR8" s="916"/>
    </row>
    <row r="9" spans="1:52" s="917" customFormat="1" ht="8.4" customHeight="1" thickBot="1">
      <c r="B9" s="954"/>
      <c r="C9" s="919"/>
      <c r="D9" s="919"/>
      <c r="E9" s="919"/>
      <c r="F9" s="919"/>
      <c r="G9" s="920"/>
      <c r="H9" s="920"/>
      <c r="I9" s="920"/>
      <c r="J9" s="920"/>
      <c r="K9" s="920"/>
      <c r="L9" s="920"/>
      <c r="M9" s="920"/>
      <c r="N9" s="920"/>
      <c r="O9" s="921"/>
      <c r="P9" s="921"/>
      <c r="Q9" s="920"/>
      <c r="R9" s="920"/>
      <c r="S9" s="920"/>
      <c r="T9" s="920"/>
      <c r="U9" s="920"/>
      <c r="V9" s="920"/>
      <c r="W9" s="920"/>
      <c r="X9" s="920"/>
      <c r="Y9" s="920"/>
      <c r="Z9" s="920"/>
      <c r="AA9" s="920"/>
      <c r="AB9" s="920"/>
      <c r="AC9" s="920"/>
      <c r="AD9" s="919"/>
      <c r="AE9" s="920"/>
      <c r="AF9" s="920"/>
      <c r="AG9" s="920"/>
      <c r="AH9" s="920"/>
      <c r="AI9" s="920"/>
      <c r="AJ9" s="920"/>
      <c r="AK9" s="920"/>
      <c r="AL9" s="920"/>
      <c r="AM9" s="922"/>
      <c r="AN9" s="920"/>
      <c r="AO9" s="920"/>
      <c r="AP9" s="918"/>
      <c r="AQ9" s="923"/>
      <c r="AR9" s="924"/>
      <c r="AT9" s="925"/>
      <c r="AU9" s="926"/>
      <c r="AV9" s="920"/>
      <c r="AW9" s="920"/>
      <c r="AX9" s="922"/>
    </row>
    <row r="10" spans="1:52" s="917" customFormat="1" ht="26.4" customHeight="1" thickBot="1">
      <c r="A10" s="1451" t="s">
        <v>339</v>
      </c>
      <c r="B10" s="964" t="s">
        <v>602</v>
      </c>
      <c r="C10" s="968" t="s">
        <v>599</v>
      </c>
      <c r="D10" s="927"/>
      <c r="E10" s="918"/>
      <c r="F10" s="928"/>
      <c r="G10" s="929"/>
      <c r="H10" s="930"/>
      <c r="I10" s="930"/>
      <c r="J10" s="931"/>
      <c r="K10" s="930"/>
      <c r="L10" s="931"/>
      <c r="M10" s="931"/>
      <c r="N10" s="931"/>
      <c r="O10" s="931"/>
      <c r="P10" s="931"/>
      <c r="Q10" s="930"/>
      <c r="R10" s="930"/>
      <c r="S10" s="930"/>
      <c r="T10" s="930"/>
      <c r="U10" s="930"/>
      <c r="V10" s="931"/>
      <c r="W10" s="931"/>
      <c r="X10" s="930"/>
      <c r="Y10" s="930"/>
      <c r="Z10" s="930"/>
      <c r="AA10" s="930"/>
      <c r="AB10" s="930"/>
      <c r="AC10" s="931"/>
      <c r="AD10" s="932"/>
      <c r="AE10" s="931"/>
      <c r="AF10" s="931"/>
      <c r="AG10" s="931"/>
      <c r="AH10" s="931"/>
      <c r="AI10" s="931"/>
      <c r="AJ10" s="931"/>
      <c r="AK10" s="931"/>
      <c r="AL10" s="933"/>
      <c r="AM10" s="934"/>
      <c r="AN10" s="935"/>
      <c r="AO10" s="936"/>
      <c r="AP10" s="931"/>
      <c r="AQ10" s="931"/>
      <c r="AR10" s="936"/>
      <c r="AS10" s="937"/>
      <c r="AT10" s="938"/>
      <c r="AU10" s="937"/>
      <c r="AV10" s="937"/>
      <c r="AW10" s="937"/>
      <c r="AX10" s="939"/>
      <c r="AY10" s="937"/>
      <c r="AZ10" s="937"/>
    </row>
    <row r="11" spans="1:52" s="917" customFormat="1" ht="15" thickBot="1">
      <c r="A11" s="1452"/>
      <c r="B11" s="958" t="s">
        <v>603</v>
      </c>
      <c r="C11" s="947">
        <v>0.09</v>
      </c>
      <c r="D11" s="927"/>
      <c r="E11" s="930"/>
      <c r="F11" s="928"/>
      <c r="G11" s="929"/>
      <c r="H11" s="930"/>
      <c r="I11" s="930"/>
      <c r="J11" s="931"/>
      <c r="K11" s="930"/>
      <c r="L11" s="931"/>
      <c r="M11" s="931"/>
      <c r="N11" s="931"/>
      <c r="O11" s="931"/>
      <c r="P11" s="931"/>
      <c r="Q11" s="930"/>
      <c r="R11" s="930"/>
      <c r="S11" s="930"/>
      <c r="T11" s="930"/>
      <c r="U11" s="930"/>
      <c r="V11" s="931"/>
      <c r="W11" s="931"/>
      <c r="X11" s="930"/>
      <c r="Y11" s="930"/>
      <c r="Z11" s="930"/>
      <c r="AA11" s="930"/>
      <c r="AB11" s="930"/>
      <c r="AC11" s="931"/>
      <c r="AD11" s="932"/>
      <c r="AE11" s="931"/>
      <c r="AF11" s="931"/>
      <c r="AG11" s="931"/>
      <c r="AH11" s="931"/>
      <c r="AI11" s="931"/>
      <c r="AJ11" s="931"/>
      <c r="AK11" s="931"/>
      <c r="AL11" s="940"/>
      <c r="AM11" s="934"/>
      <c r="AN11" s="935"/>
      <c r="AO11" s="936"/>
      <c r="AP11" s="931"/>
      <c r="AQ11" s="931"/>
      <c r="AR11" s="936"/>
      <c r="AS11" s="937"/>
      <c r="AT11" s="938"/>
      <c r="AV11" s="937"/>
      <c r="AW11" s="937"/>
      <c r="AX11" s="939"/>
    </row>
    <row r="12" spans="1:52" s="917" customFormat="1" ht="15" thickBot="1">
      <c r="A12" s="1452"/>
      <c r="B12" s="958" t="s">
        <v>604</v>
      </c>
      <c r="C12" s="947">
        <v>162</v>
      </c>
      <c r="D12" s="927"/>
      <c r="E12" s="938"/>
      <c r="F12" s="918"/>
      <c r="G12" s="929"/>
      <c r="H12" s="918"/>
      <c r="I12" s="930"/>
      <c r="J12" s="931"/>
      <c r="K12" s="930"/>
      <c r="L12" s="931"/>
      <c r="M12" s="931"/>
      <c r="N12" s="931"/>
      <c r="O12" s="916"/>
      <c r="P12" s="916"/>
      <c r="Q12" s="916"/>
      <c r="R12" s="928"/>
      <c r="S12" s="930"/>
      <c r="T12" s="930"/>
      <c r="U12" s="930"/>
      <c r="V12" s="931"/>
      <c r="W12" s="931"/>
      <c r="X12" s="930"/>
      <c r="Y12" s="916"/>
      <c r="Z12" s="916"/>
      <c r="AA12" s="916"/>
      <c r="AB12" s="930"/>
      <c r="AC12" s="931"/>
      <c r="AD12" s="916"/>
      <c r="AE12" s="931"/>
      <c r="AF12" s="931"/>
      <c r="AG12" s="931"/>
      <c r="AH12" s="931"/>
      <c r="AI12" s="931"/>
      <c r="AJ12" s="931"/>
      <c r="AK12" s="931"/>
      <c r="AL12" s="916"/>
      <c r="AM12" s="934"/>
      <c r="AN12" s="935"/>
      <c r="AO12" s="936"/>
      <c r="AP12" s="931"/>
      <c r="AQ12" s="931"/>
      <c r="AR12" s="936"/>
      <c r="AS12" s="937"/>
      <c r="AX12" s="939"/>
    </row>
    <row r="13" spans="1:52" s="917" customFormat="1" ht="15" thickBot="1">
      <c r="A13" s="1452"/>
      <c r="B13" s="958" t="s">
        <v>627</v>
      </c>
      <c r="C13" s="947">
        <v>2.4300000000000002</v>
      </c>
      <c r="D13" s="927"/>
      <c r="E13" s="938"/>
      <c r="F13" s="918"/>
      <c r="G13" s="929"/>
      <c r="H13" s="918"/>
      <c r="I13" s="930"/>
      <c r="J13" s="931"/>
      <c r="K13" s="930"/>
      <c r="L13" s="931"/>
      <c r="M13" s="931"/>
      <c r="N13" s="931"/>
      <c r="O13" s="916"/>
      <c r="P13" s="916"/>
      <c r="Q13" s="916"/>
      <c r="R13" s="928"/>
      <c r="S13" s="930"/>
      <c r="T13" s="930"/>
      <c r="U13" s="930"/>
      <c r="V13" s="931"/>
      <c r="W13" s="931"/>
      <c r="X13" s="930"/>
      <c r="Y13" s="916"/>
      <c r="Z13" s="916"/>
      <c r="AA13" s="916"/>
      <c r="AB13" s="930"/>
      <c r="AC13" s="931"/>
      <c r="AD13" s="916"/>
      <c r="AE13" s="931"/>
      <c r="AF13" s="931"/>
      <c r="AG13" s="931"/>
      <c r="AH13" s="931"/>
      <c r="AI13" s="931"/>
      <c r="AJ13" s="931"/>
      <c r="AK13" s="931"/>
      <c r="AL13" s="916"/>
      <c r="AM13" s="934"/>
      <c r="AN13" s="935"/>
      <c r="AO13" s="936"/>
      <c r="AP13" s="931"/>
      <c r="AQ13" s="931"/>
      <c r="AR13" s="936"/>
      <c r="AS13" s="937"/>
      <c r="AX13" s="939"/>
    </row>
    <row r="14" spans="1:52" s="917" customFormat="1" ht="15" thickBot="1">
      <c r="A14" s="1452"/>
      <c r="B14" s="958" t="s">
        <v>596</v>
      </c>
      <c r="C14" s="947">
        <f>C11+C13</f>
        <v>2.52</v>
      </c>
      <c r="D14" s="927"/>
      <c r="E14" s="916"/>
      <c r="F14" s="916"/>
      <c r="G14" s="929"/>
      <c r="H14" s="916"/>
      <c r="I14" s="930"/>
      <c r="J14" s="931"/>
      <c r="K14" s="930"/>
      <c r="L14" s="931"/>
      <c r="M14" s="931"/>
      <c r="N14" s="931"/>
      <c r="O14" s="916"/>
      <c r="P14" s="916"/>
      <c r="Q14" s="916"/>
      <c r="R14" s="928"/>
      <c r="S14" s="930"/>
      <c r="T14" s="930"/>
      <c r="U14" s="930"/>
      <c r="V14" s="931"/>
      <c r="W14" s="931"/>
      <c r="X14" s="930"/>
      <c r="Y14" s="916"/>
      <c r="Z14" s="916"/>
      <c r="AA14" s="916"/>
      <c r="AB14" s="930"/>
      <c r="AC14" s="931"/>
      <c r="AD14" s="916"/>
      <c r="AE14" s="931"/>
      <c r="AF14" s="931"/>
      <c r="AG14" s="931"/>
      <c r="AH14" s="931"/>
      <c r="AI14" s="931"/>
      <c r="AJ14" s="931"/>
      <c r="AK14" s="931"/>
      <c r="AL14" s="916"/>
      <c r="AM14" s="934"/>
      <c r="AN14" s="935"/>
      <c r="AO14" s="936"/>
      <c r="AP14" s="931"/>
      <c r="AQ14" s="931"/>
      <c r="AR14" s="936"/>
      <c r="AS14" s="941"/>
      <c r="AX14" s="939"/>
    </row>
    <row r="15" spans="1:52" s="917" customFormat="1" ht="29.4" customHeight="1" thickBot="1">
      <c r="A15" s="1452"/>
      <c r="B15" s="964" t="s">
        <v>605</v>
      </c>
      <c r="C15" s="944">
        <v>220</v>
      </c>
      <c r="D15" s="916"/>
      <c r="E15" s="916"/>
      <c r="F15" s="916"/>
      <c r="J15" s="916"/>
      <c r="K15" s="916"/>
      <c r="L15" s="918"/>
      <c r="M15" s="918"/>
      <c r="N15" s="918"/>
      <c r="O15" s="916"/>
      <c r="P15" s="916"/>
      <c r="Q15" s="916"/>
      <c r="R15" s="916"/>
      <c r="S15" s="916"/>
      <c r="T15" s="916"/>
      <c r="U15" s="916"/>
      <c r="V15" s="916"/>
      <c r="W15" s="916"/>
      <c r="X15" s="916"/>
      <c r="Y15" s="916"/>
      <c r="Z15" s="916"/>
      <c r="AA15" s="916"/>
      <c r="AB15" s="916"/>
      <c r="AC15" s="916"/>
      <c r="AD15" s="916"/>
      <c r="AE15" s="916"/>
      <c r="AF15" s="916"/>
      <c r="AG15" s="916"/>
      <c r="AH15" s="916"/>
      <c r="AI15" s="916"/>
      <c r="AJ15" s="916"/>
      <c r="AK15" s="916"/>
      <c r="AN15" s="916"/>
      <c r="AO15" s="916"/>
      <c r="AP15" s="916"/>
      <c r="AQ15" s="916"/>
      <c r="AR15" s="916"/>
    </row>
    <row r="16" spans="1:52" ht="13" thickBot="1">
      <c r="A16" s="1452"/>
      <c r="B16" s="958" t="s">
        <v>630</v>
      </c>
      <c r="C16" s="970">
        <f>C15/C12</f>
        <v>1.3580246913580247</v>
      </c>
    </row>
    <row r="17" spans="1:3" ht="13" thickBot="1">
      <c r="A17" s="1453"/>
      <c r="B17" s="958" t="s">
        <v>597</v>
      </c>
      <c r="C17" s="943">
        <v>747</v>
      </c>
    </row>
    <row r="18" spans="1:3" ht="6.65" customHeight="1" thickBot="1">
      <c r="B18" s="955"/>
    </row>
    <row r="19" spans="1:3" ht="12.65" customHeight="1">
      <c r="A19" s="1454" t="s">
        <v>350</v>
      </c>
      <c r="B19" s="1436" t="s">
        <v>606</v>
      </c>
      <c r="C19" s="1439">
        <v>104.65</v>
      </c>
    </row>
    <row r="20" spans="1:3">
      <c r="A20" s="1455"/>
      <c r="B20" s="1437"/>
      <c r="C20" s="1440"/>
    </row>
    <row r="21" spans="1:3">
      <c r="A21" s="1455"/>
      <c r="B21" s="1437"/>
      <c r="C21" s="1440"/>
    </row>
    <row r="22" spans="1:3">
      <c r="A22" s="1455"/>
      <c r="B22" s="1437"/>
      <c r="C22" s="1440"/>
    </row>
    <row r="23" spans="1:3">
      <c r="A23" s="1455"/>
      <c r="B23" s="1437"/>
      <c r="C23" s="1440"/>
    </row>
    <row r="24" spans="1:3">
      <c r="A24" s="1455"/>
      <c r="B24" s="1437"/>
      <c r="C24" s="1440"/>
    </row>
    <row r="25" spans="1:3" ht="13" thickBot="1">
      <c r="A25" s="1456"/>
      <c r="B25" s="1438"/>
      <c r="C25" s="1441"/>
    </row>
    <row r="26" spans="1:3" ht="9" customHeight="1" thickBot="1">
      <c r="B26" s="953"/>
      <c r="C26" s="948"/>
    </row>
    <row r="27" spans="1:3" ht="13" thickBot="1">
      <c r="A27" s="1432" t="s">
        <v>636</v>
      </c>
      <c r="B27" s="963" t="s">
        <v>607</v>
      </c>
      <c r="C27" s="945">
        <v>5</v>
      </c>
    </row>
    <row r="28" spans="1:3" ht="13" thickBot="1">
      <c r="A28" s="1433"/>
      <c r="B28" s="963" t="s">
        <v>608</v>
      </c>
      <c r="C28" s="945">
        <v>3</v>
      </c>
    </row>
    <row r="29" spans="1:3" ht="13" thickBot="1">
      <c r="A29" s="1433"/>
      <c r="B29" s="963" t="s">
        <v>609</v>
      </c>
      <c r="C29" s="969">
        <f>(SUM(C16:C17,C19,C27:C28))*(C28/100)</f>
        <v>25.830240740740738</v>
      </c>
    </row>
    <row r="30" spans="1:3" ht="13" thickBot="1">
      <c r="A30" s="1433"/>
      <c r="B30" s="963" t="s">
        <v>610</v>
      </c>
      <c r="C30" s="945">
        <v>5</v>
      </c>
    </row>
    <row r="31" spans="1:3" ht="13" thickBot="1">
      <c r="A31" s="1433"/>
      <c r="B31" s="963" t="s">
        <v>611</v>
      </c>
      <c r="C31" s="969">
        <f>(SUM(C27:C30,C19,C16:C17))*(0.05)</f>
        <v>44.591913271604938</v>
      </c>
    </row>
    <row r="32" spans="1:3" ht="13" thickBot="1">
      <c r="A32" s="1433"/>
      <c r="B32" s="963" t="s">
        <v>584</v>
      </c>
      <c r="C32" s="969">
        <f>(SUM(C27:C30,C19,C16:C17))*(0.05)</f>
        <v>44.591913271604938</v>
      </c>
    </row>
    <row r="33" spans="1:44" ht="13" thickBot="1">
      <c r="A33" s="1434"/>
      <c r="B33" s="963" t="s">
        <v>612</v>
      </c>
      <c r="C33" s="945">
        <v>24</v>
      </c>
    </row>
    <row r="34" spans="1:44" s="949" customFormat="1" ht="7.25" customHeight="1" thickBot="1">
      <c r="B34" s="956"/>
      <c r="D34" s="950"/>
      <c r="E34" s="950"/>
      <c r="F34" s="950"/>
      <c r="J34" s="950"/>
      <c r="K34" s="950"/>
      <c r="L34" s="951"/>
      <c r="M34" s="951"/>
      <c r="N34" s="951"/>
      <c r="O34" s="950"/>
      <c r="P34" s="950"/>
      <c r="Q34" s="950"/>
      <c r="R34" s="950"/>
      <c r="S34" s="950"/>
      <c r="T34" s="950"/>
      <c r="U34" s="950"/>
      <c r="V34" s="950"/>
      <c r="W34" s="950"/>
      <c r="X34" s="950"/>
      <c r="Y34" s="950"/>
      <c r="Z34" s="950"/>
      <c r="AA34" s="950"/>
      <c r="AB34" s="950"/>
      <c r="AC34" s="950"/>
      <c r="AD34" s="950"/>
      <c r="AE34" s="950"/>
      <c r="AF34" s="950"/>
      <c r="AG34" s="950"/>
      <c r="AH34" s="950"/>
      <c r="AI34" s="950"/>
      <c r="AJ34" s="950"/>
      <c r="AK34" s="950"/>
      <c r="AN34" s="950"/>
      <c r="AO34" s="950"/>
      <c r="AP34" s="950"/>
      <c r="AQ34" s="950"/>
      <c r="AR34" s="950"/>
    </row>
    <row r="35" spans="1:44" ht="13.5" thickBot="1">
      <c r="A35" s="1426" t="s">
        <v>637</v>
      </c>
      <c r="B35" s="961" t="s">
        <v>613</v>
      </c>
      <c r="C35" s="972">
        <f>(SUM(C29:C33,C27,C19,C17,C16))</f>
        <v>1002.0220919753086</v>
      </c>
    </row>
    <row r="36" spans="1:44" ht="13.5" thickBot="1">
      <c r="A36" s="1427"/>
      <c r="B36" s="961" t="s">
        <v>632</v>
      </c>
      <c r="C36" s="942">
        <v>1600</v>
      </c>
    </row>
    <row r="37" spans="1:44" ht="13.5" thickBot="1">
      <c r="A37" s="1427"/>
      <c r="B37" s="961" t="s">
        <v>617</v>
      </c>
      <c r="C37" s="971">
        <f>((C36-C35)/(C36))*100</f>
        <v>37.373619251543211</v>
      </c>
    </row>
    <row r="38" spans="1:44" ht="13" thickBot="1">
      <c r="A38" s="1427"/>
      <c r="B38" s="957" t="s">
        <v>620</v>
      </c>
      <c r="C38" s="942">
        <v>18</v>
      </c>
    </row>
    <row r="39" spans="1:44" ht="13" thickBot="1">
      <c r="A39" s="1427"/>
      <c r="B39" s="957" t="s">
        <v>618</v>
      </c>
      <c r="C39" s="942">
        <f>C36*(C38/100)</f>
        <v>288</v>
      </c>
    </row>
    <row r="40" spans="1:44" ht="13" thickBot="1">
      <c r="A40" s="1427"/>
      <c r="B40" s="957" t="s">
        <v>619</v>
      </c>
      <c r="C40" s="942">
        <f>C39*C8</f>
        <v>1100160</v>
      </c>
    </row>
    <row r="41" spans="1:44" ht="19.75" customHeight="1" thickBot="1">
      <c r="A41" s="1428"/>
      <c r="B41" s="961" t="s">
        <v>616</v>
      </c>
      <c r="C41" s="945">
        <f>(C36*C8)+C40</f>
        <v>7212160</v>
      </c>
    </row>
    <row r="42" spans="1:44" ht="7.75" customHeight="1" thickBot="1">
      <c r="B42" s="962"/>
    </row>
    <row r="43" spans="1:44" ht="13" thickBot="1">
      <c r="A43" s="1429" t="s">
        <v>638</v>
      </c>
      <c r="B43" s="957" t="s">
        <v>598</v>
      </c>
      <c r="C43" s="945">
        <v>375000</v>
      </c>
    </row>
    <row r="44" spans="1:44" ht="13" thickBot="1">
      <c r="A44" s="1430"/>
      <c r="B44" s="957" t="s">
        <v>621</v>
      </c>
      <c r="C44" s="945">
        <v>500000</v>
      </c>
    </row>
    <row r="45" spans="1:44" ht="22.75" customHeight="1" thickBot="1">
      <c r="A45" s="1431"/>
      <c r="B45" s="957" t="s">
        <v>622</v>
      </c>
      <c r="C45" s="973">
        <f>((C44-C43)/C44)*100</f>
        <v>25</v>
      </c>
    </row>
    <row r="46" spans="1:44" ht="7.25" customHeight="1" thickBot="1">
      <c r="B46" s="955"/>
    </row>
    <row r="47" spans="1:44" ht="13" thickBot="1">
      <c r="A47" s="1432" t="s">
        <v>614</v>
      </c>
      <c r="B47" s="960" t="s">
        <v>614</v>
      </c>
      <c r="C47" s="945" t="s">
        <v>631</v>
      </c>
    </row>
    <row r="48" spans="1:44" ht="13" thickBot="1">
      <c r="A48" s="1433"/>
      <c r="B48" s="960" t="s">
        <v>615</v>
      </c>
      <c r="C48" s="945">
        <v>60</v>
      </c>
    </row>
    <row r="49" spans="1:3" ht="13" thickBot="1">
      <c r="A49" s="1433"/>
      <c r="B49" s="960" t="s">
        <v>623</v>
      </c>
      <c r="C49" s="969">
        <f>(C43/((C8*(C48/100))))</f>
        <v>163.61256544502618</v>
      </c>
    </row>
    <row r="50" spans="1:3" ht="13" thickBot="1">
      <c r="A50" s="1433"/>
      <c r="B50" s="960" t="s">
        <v>624</v>
      </c>
      <c r="C50" s="969">
        <f>C35+C49</f>
        <v>1165.6346574203349</v>
      </c>
    </row>
    <row r="51" spans="1:3" ht="13" thickBot="1">
      <c r="A51" s="1433"/>
      <c r="B51" s="960" t="s">
        <v>625</v>
      </c>
      <c r="C51" s="945">
        <v>1900</v>
      </c>
    </row>
    <row r="52" spans="1:3" ht="13" thickBot="1">
      <c r="A52" s="1434"/>
      <c r="B52" s="960" t="s">
        <v>617</v>
      </c>
      <c r="C52" s="969">
        <f>((C51-C50)/C51)*100</f>
        <v>38.650807504192905</v>
      </c>
    </row>
    <row r="53" spans="1:3" ht="6.65" customHeight="1" thickBot="1">
      <c r="B53" s="955"/>
    </row>
    <row r="54" spans="1:3" ht="22.25" customHeight="1" thickBot="1">
      <c r="A54" s="1432" t="s">
        <v>639</v>
      </c>
      <c r="B54" s="959" t="s">
        <v>626</v>
      </c>
      <c r="C54" s="945">
        <v>80</v>
      </c>
    </row>
    <row r="55" spans="1:3" ht="26.4" customHeight="1" thickBot="1">
      <c r="A55" s="1433"/>
      <c r="B55" s="959" t="s">
        <v>633</v>
      </c>
      <c r="C55" s="945">
        <f>C36/C54</f>
        <v>20</v>
      </c>
    </row>
    <row r="56" spans="1:3" ht="22.25" customHeight="1" thickBot="1">
      <c r="A56" s="1434"/>
      <c r="B56" s="959" t="s">
        <v>634</v>
      </c>
      <c r="C56" s="945">
        <f>C44/C54</f>
        <v>6250</v>
      </c>
    </row>
  </sheetData>
  <mergeCells count="11">
    <mergeCell ref="B1:G3"/>
    <mergeCell ref="A10:A17"/>
    <mergeCell ref="A19:A25"/>
    <mergeCell ref="A27:A33"/>
    <mergeCell ref="A35:A41"/>
    <mergeCell ref="A43:A45"/>
    <mergeCell ref="A47:A52"/>
    <mergeCell ref="A54:A56"/>
    <mergeCell ref="J7:K7"/>
    <mergeCell ref="B19:B25"/>
    <mergeCell ref="C19:C25"/>
  </mergeCells>
  <pageMargins left="0.15748031496062992" right="0.23622047244094491" top="0.74803149606299213" bottom="0.51181102362204722" header="0.15748031496062992" footer="0.51181102362204722"/>
  <pageSetup paperSize="9" scale="38" orientation="landscape" horizontalDpi="1200" verticalDpi="1200" r:id="rId1"/>
  <headerFooter alignWithMargins="0">
    <oddHeader xml:space="preserve">&amp;C&amp;"Arial,Bold"&amp;18SUJAN INDUSTRIES&amp;"Arial,Regular"&amp;10
Building No. 1, Survey No. 80, Behind Blue Chip Industrial Estate, 
Sativali Udyog Nagar, Waliv, Vasai (East), Dist. Thane - 401 208. Maharashtra, (INDIA).
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P24"/>
  <sheetViews>
    <sheetView topLeftCell="G7" zoomScale="87" zoomScaleNormal="85" workbookViewId="0">
      <selection activeCell="K12" sqref="K12"/>
    </sheetView>
  </sheetViews>
  <sheetFormatPr defaultColWidth="8.6640625" defaultRowHeight="10"/>
  <cols>
    <col min="1" max="1" width="3.6640625" customWidth="1"/>
    <col min="2" max="2" width="8.44140625" customWidth="1"/>
    <col min="3" max="3" width="25.33203125" customWidth="1"/>
    <col min="4" max="4" width="43.6640625" customWidth="1"/>
    <col min="5" max="5" width="45" customWidth="1"/>
    <col min="6" max="7" width="27.33203125" customWidth="1"/>
    <col min="8" max="8" width="39.6640625" bestFit="1" customWidth="1"/>
    <col min="9" max="10" width="27.33203125" customWidth="1"/>
    <col min="11" max="11" width="27.6640625" customWidth="1"/>
    <col min="12" max="12" width="24.33203125" customWidth="1"/>
    <col min="13" max="14" width="25" customWidth="1"/>
  </cols>
  <sheetData>
    <row r="1" spans="2:16" ht="11.25" customHeight="1">
      <c r="B1" s="1462" t="s">
        <v>270</v>
      </c>
      <c r="C1" s="1463"/>
      <c r="D1" s="1463"/>
      <c r="E1" s="1463"/>
      <c r="F1" s="1463"/>
      <c r="G1" s="1463"/>
      <c r="H1" s="1463"/>
      <c r="I1" s="1463"/>
      <c r="J1" s="1463"/>
      <c r="K1" s="1463"/>
      <c r="L1" s="1463"/>
      <c r="M1" s="1463"/>
      <c r="N1" s="1464"/>
    </row>
    <row r="2" spans="2:16">
      <c r="B2" s="1465"/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4"/>
    </row>
    <row r="3" spans="2:16">
      <c r="B3" s="1465"/>
      <c r="C3" s="1203"/>
      <c r="D3" s="1203"/>
      <c r="E3" s="1203"/>
      <c r="F3" s="1203"/>
      <c r="G3" s="1203"/>
      <c r="H3" s="1203"/>
      <c r="I3" s="1203"/>
      <c r="J3" s="1203"/>
      <c r="K3" s="1203"/>
      <c r="L3" s="1203"/>
      <c r="M3" s="1203"/>
      <c r="N3" s="1204"/>
    </row>
    <row r="4" spans="2:16" ht="23">
      <c r="B4" s="1466" t="s">
        <v>200</v>
      </c>
      <c r="C4" s="1467"/>
      <c r="D4" s="1467"/>
      <c r="E4" s="1467"/>
      <c r="F4" s="1467"/>
      <c r="G4" s="1467"/>
      <c r="H4" s="1467"/>
      <c r="I4" s="1467"/>
      <c r="J4" s="1467"/>
      <c r="K4" s="1467"/>
      <c r="L4" s="1467"/>
      <c r="M4" s="1467"/>
      <c r="N4" s="1468"/>
    </row>
    <row r="5" spans="2:16" ht="14">
      <c r="B5" s="291" t="s">
        <v>206</v>
      </c>
      <c r="C5" s="134"/>
      <c r="D5" s="1459" t="s">
        <v>189</v>
      </c>
      <c r="E5" s="1460"/>
      <c r="F5" s="1459" t="s">
        <v>190</v>
      </c>
      <c r="G5" s="1460"/>
      <c r="H5" s="133" t="s">
        <v>191</v>
      </c>
      <c r="I5" s="1457" t="s">
        <v>192</v>
      </c>
      <c r="J5" s="1458"/>
      <c r="K5" s="1461" t="s">
        <v>211</v>
      </c>
      <c r="L5" s="1461"/>
      <c r="M5" s="289" t="s">
        <v>316</v>
      </c>
      <c r="N5" s="292" t="s">
        <v>319</v>
      </c>
    </row>
    <row r="6" spans="2:16" ht="14">
      <c r="B6" s="291"/>
      <c r="C6" s="134" t="s">
        <v>254</v>
      </c>
      <c r="D6" s="133" t="s">
        <v>306</v>
      </c>
      <c r="E6" s="133" t="s">
        <v>307</v>
      </c>
      <c r="F6" s="289" t="s">
        <v>255</v>
      </c>
      <c r="G6" s="289" t="s">
        <v>256</v>
      </c>
      <c r="H6" s="133"/>
      <c r="I6" s="352"/>
      <c r="J6" s="352"/>
      <c r="K6" s="288"/>
      <c r="L6" s="288"/>
      <c r="M6" s="288"/>
      <c r="N6" s="293"/>
    </row>
    <row r="7" spans="2:16" ht="14">
      <c r="B7" s="291"/>
      <c r="C7" s="134"/>
      <c r="D7" s="133"/>
      <c r="E7" s="133"/>
      <c r="F7" s="286"/>
      <c r="G7" s="287"/>
      <c r="H7" s="133"/>
      <c r="I7" s="352" t="s">
        <v>330</v>
      </c>
      <c r="J7" s="352" t="s">
        <v>331</v>
      </c>
      <c r="K7" s="289" t="s">
        <v>313</v>
      </c>
      <c r="L7" s="289" t="s">
        <v>312</v>
      </c>
      <c r="M7" s="289" t="s">
        <v>317</v>
      </c>
      <c r="N7" s="292" t="s">
        <v>317</v>
      </c>
    </row>
    <row r="8" spans="2:16" ht="42">
      <c r="B8" s="294">
        <v>1</v>
      </c>
      <c r="C8" s="282" t="s">
        <v>193</v>
      </c>
      <c r="D8" s="283" t="s">
        <v>301</v>
      </c>
      <c r="E8" s="283" t="s">
        <v>301</v>
      </c>
      <c r="F8" s="284" t="s">
        <v>198</v>
      </c>
      <c r="G8" s="284" t="s">
        <v>323</v>
      </c>
      <c r="H8" s="285" t="s">
        <v>336</v>
      </c>
      <c r="I8" s="353" t="s">
        <v>332</v>
      </c>
      <c r="J8" s="353" t="s">
        <v>333</v>
      </c>
      <c r="K8" s="317" t="s">
        <v>314</v>
      </c>
      <c r="L8" s="317" t="s">
        <v>314</v>
      </c>
      <c r="M8" s="311" t="s">
        <v>324</v>
      </c>
      <c r="N8" s="323"/>
    </row>
    <row r="9" spans="2:16" ht="28">
      <c r="B9" s="294"/>
      <c r="C9" s="282"/>
      <c r="D9" s="283" t="s">
        <v>302</v>
      </c>
      <c r="E9" s="283" t="s">
        <v>302</v>
      </c>
      <c r="F9" s="284"/>
      <c r="G9" s="284"/>
      <c r="H9" s="285" t="s">
        <v>329</v>
      </c>
      <c r="I9" s="353"/>
      <c r="J9" s="353"/>
      <c r="K9" s="317" t="s">
        <v>325</v>
      </c>
      <c r="L9" s="317" t="s">
        <v>325</v>
      </c>
      <c r="M9" s="311" t="s">
        <v>317</v>
      </c>
      <c r="N9" s="323"/>
    </row>
    <row r="10" spans="2:16" ht="28">
      <c r="B10" s="294"/>
      <c r="C10" s="282"/>
      <c r="D10" s="283" t="s">
        <v>303</v>
      </c>
      <c r="E10" s="283" t="s">
        <v>303</v>
      </c>
      <c r="F10" s="284"/>
      <c r="G10" s="284"/>
      <c r="H10" s="285"/>
      <c r="I10" s="353"/>
      <c r="J10" s="353"/>
      <c r="K10" s="318" t="s">
        <v>309</v>
      </c>
      <c r="L10" s="318" t="s">
        <v>309</v>
      </c>
      <c r="M10" s="312" t="s">
        <v>309</v>
      </c>
      <c r="N10" s="324" t="s">
        <v>320</v>
      </c>
    </row>
    <row r="11" spans="2:16" ht="52.5">
      <c r="B11" s="294"/>
      <c r="C11" s="282"/>
      <c r="D11" s="300" t="s">
        <v>216</v>
      </c>
      <c r="E11" s="300" t="s">
        <v>216</v>
      </c>
      <c r="F11" s="284"/>
      <c r="G11" s="284"/>
      <c r="H11" s="285"/>
      <c r="I11" s="353"/>
      <c r="J11" s="353"/>
      <c r="K11" s="319" t="s">
        <v>310</v>
      </c>
      <c r="L11" s="319" t="s">
        <v>310</v>
      </c>
      <c r="M11" s="313" t="s">
        <v>321</v>
      </c>
      <c r="N11" s="325" t="s">
        <v>321</v>
      </c>
    </row>
    <row r="12" spans="2:16" ht="70">
      <c r="B12" s="294">
        <v>2</v>
      </c>
      <c r="C12" s="282" t="s">
        <v>201</v>
      </c>
      <c r="D12" s="295" t="s">
        <v>308</v>
      </c>
      <c r="E12" s="296" t="s">
        <v>202</v>
      </c>
      <c r="F12" s="284"/>
      <c r="G12" s="284"/>
      <c r="H12" s="336" t="s">
        <v>328</v>
      </c>
      <c r="I12" s="353" t="s">
        <v>334</v>
      </c>
      <c r="J12" s="353" t="s">
        <v>335</v>
      </c>
      <c r="K12" s="320" t="s">
        <v>311</v>
      </c>
      <c r="L12" s="320" t="s">
        <v>315</v>
      </c>
      <c r="M12" s="314" t="s">
        <v>318</v>
      </c>
      <c r="N12" s="326" t="s">
        <v>322</v>
      </c>
      <c r="P12" s="290"/>
    </row>
    <row r="13" spans="2:16" ht="42">
      <c r="B13" s="294">
        <v>3</v>
      </c>
      <c r="C13" s="282" t="s">
        <v>199</v>
      </c>
      <c r="D13" s="297" t="s">
        <v>198</v>
      </c>
      <c r="E13" s="297" t="s">
        <v>198</v>
      </c>
      <c r="F13" s="298">
        <v>6</v>
      </c>
      <c r="G13" s="298">
        <v>6</v>
      </c>
      <c r="H13" s="299" t="s">
        <v>326</v>
      </c>
      <c r="I13" s="354">
        <v>3</v>
      </c>
      <c r="J13" s="354">
        <v>3</v>
      </c>
      <c r="K13" s="317" t="s">
        <v>198</v>
      </c>
      <c r="L13" s="317" t="s">
        <v>198</v>
      </c>
      <c r="M13" s="311" t="s">
        <v>198</v>
      </c>
      <c r="N13" s="323">
        <v>11</v>
      </c>
    </row>
    <row r="14" spans="2:16" ht="14">
      <c r="B14" s="294">
        <v>4</v>
      </c>
      <c r="C14" s="282" t="s">
        <v>194</v>
      </c>
      <c r="D14" s="297">
        <v>2</v>
      </c>
      <c r="E14" s="297">
        <v>2</v>
      </c>
      <c r="F14" s="298">
        <v>1.5</v>
      </c>
      <c r="G14" s="298">
        <v>1.5</v>
      </c>
      <c r="H14" s="299">
        <v>2</v>
      </c>
      <c r="I14" s="354">
        <v>2</v>
      </c>
      <c r="J14" s="354">
        <v>2</v>
      </c>
      <c r="K14" s="317">
        <v>2</v>
      </c>
      <c r="L14" s="317">
        <v>2</v>
      </c>
      <c r="M14" s="311">
        <v>2</v>
      </c>
      <c r="N14" s="323">
        <v>2</v>
      </c>
    </row>
    <row r="15" spans="2:16" ht="14">
      <c r="B15" s="294">
        <v>5</v>
      </c>
      <c r="C15" s="282" t="s">
        <v>195</v>
      </c>
      <c r="D15" s="297">
        <v>3</v>
      </c>
      <c r="E15" s="297">
        <v>3</v>
      </c>
      <c r="F15" s="298">
        <v>4</v>
      </c>
      <c r="G15" s="298">
        <v>4</v>
      </c>
      <c r="H15" s="337">
        <v>10</v>
      </c>
      <c r="I15" s="354">
        <v>4</v>
      </c>
      <c r="J15" s="354">
        <v>4</v>
      </c>
      <c r="K15" s="317">
        <v>3</v>
      </c>
      <c r="L15" s="317">
        <v>3</v>
      </c>
      <c r="M15" s="311">
        <v>3</v>
      </c>
      <c r="N15" s="323">
        <v>3</v>
      </c>
    </row>
    <row r="16" spans="2:16" ht="14">
      <c r="B16" s="294">
        <v>6</v>
      </c>
      <c r="C16" s="282" t="s">
        <v>196</v>
      </c>
      <c r="D16" s="297">
        <v>10</v>
      </c>
      <c r="E16" s="297">
        <v>10</v>
      </c>
      <c r="F16" s="298">
        <v>8</v>
      </c>
      <c r="G16" s="298">
        <v>8</v>
      </c>
      <c r="H16" s="299">
        <v>12</v>
      </c>
      <c r="I16" s="354">
        <v>15</v>
      </c>
      <c r="J16" s="354">
        <v>15</v>
      </c>
      <c r="K16" s="317">
        <v>10</v>
      </c>
      <c r="L16" s="317">
        <v>10</v>
      </c>
      <c r="M16" s="311">
        <v>10</v>
      </c>
      <c r="N16" s="323">
        <v>10</v>
      </c>
    </row>
    <row r="17" spans="2:14" ht="14">
      <c r="B17" s="294">
        <v>7</v>
      </c>
      <c r="C17" s="282" t="s">
        <v>197</v>
      </c>
      <c r="D17" s="297">
        <v>1.5</v>
      </c>
      <c r="E17" s="297">
        <v>1.5</v>
      </c>
      <c r="F17" s="298">
        <v>1.5</v>
      </c>
      <c r="G17" s="298">
        <v>1.5</v>
      </c>
      <c r="H17" s="337">
        <v>1.5</v>
      </c>
      <c r="I17" s="360">
        <v>1.5</v>
      </c>
      <c r="J17" s="360">
        <v>1.5</v>
      </c>
      <c r="K17" s="317">
        <v>1.5</v>
      </c>
      <c r="L17" s="317">
        <v>1.5</v>
      </c>
      <c r="M17" s="311">
        <v>1.5</v>
      </c>
      <c r="N17" s="323">
        <v>1.5</v>
      </c>
    </row>
    <row r="18" spans="2:14" ht="28">
      <c r="B18" s="294">
        <v>8</v>
      </c>
      <c r="C18" s="282" t="s">
        <v>214</v>
      </c>
      <c r="D18" s="300" t="s">
        <v>205</v>
      </c>
      <c r="E18" s="300" t="s">
        <v>205</v>
      </c>
      <c r="F18" s="301" t="s">
        <v>198</v>
      </c>
      <c r="G18" s="301" t="s">
        <v>198</v>
      </c>
      <c r="H18" s="302" t="s">
        <v>198</v>
      </c>
      <c r="I18" s="355" t="s">
        <v>198</v>
      </c>
      <c r="J18" s="355" t="s">
        <v>198</v>
      </c>
      <c r="K18" s="321" t="s">
        <v>205</v>
      </c>
      <c r="L18" s="321" t="s">
        <v>205</v>
      </c>
      <c r="M18" s="315" t="s">
        <v>205</v>
      </c>
      <c r="N18" s="323" t="s">
        <v>198</v>
      </c>
    </row>
    <row r="19" spans="2:14" ht="14">
      <c r="B19" s="294">
        <v>9</v>
      </c>
      <c r="C19" s="282" t="s">
        <v>203</v>
      </c>
      <c r="D19" s="300" t="s">
        <v>204</v>
      </c>
      <c r="E19" s="300" t="s">
        <v>204</v>
      </c>
      <c r="F19" s="301" t="s">
        <v>198</v>
      </c>
      <c r="G19" s="301" t="s">
        <v>198</v>
      </c>
      <c r="H19" s="302" t="s">
        <v>198</v>
      </c>
      <c r="I19" s="355" t="s">
        <v>198</v>
      </c>
      <c r="J19" s="355" t="s">
        <v>198</v>
      </c>
      <c r="K19" s="321" t="s">
        <v>204</v>
      </c>
      <c r="L19" s="321" t="s">
        <v>204</v>
      </c>
      <c r="M19" s="315" t="s">
        <v>204</v>
      </c>
      <c r="N19" s="323" t="s">
        <v>198</v>
      </c>
    </row>
    <row r="20" spans="2:14" ht="14">
      <c r="B20" s="294">
        <v>10</v>
      </c>
      <c r="C20" s="282" t="s">
        <v>213</v>
      </c>
      <c r="D20" s="297" t="s">
        <v>198</v>
      </c>
      <c r="E20" s="297" t="s">
        <v>198</v>
      </c>
      <c r="F20" s="301" t="s">
        <v>212</v>
      </c>
      <c r="G20" s="301" t="s">
        <v>212</v>
      </c>
      <c r="H20" s="302" t="s">
        <v>198</v>
      </c>
      <c r="I20" s="355" t="s">
        <v>198</v>
      </c>
      <c r="J20" s="355" t="s">
        <v>198</v>
      </c>
      <c r="K20" s="317" t="s">
        <v>198</v>
      </c>
      <c r="L20" s="317" t="s">
        <v>198</v>
      </c>
      <c r="M20" s="311" t="s">
        <v>198</v>
      </c>
      <c r="N20" s="323" t="s">
        <v>198</v>
      </c>
    </row>
    <row r="21" spans="2:14" ht="57.75" customHeight="1">
      <c r="B21" s="294">
        <v>11</v>
      </c>
      <c r="C21" s="282" t="s">
        <v>188</v>
      </c>
      <c r="D21" s="329" t="s">
        <v>207</v>
      </c>
      <c r="E21" s="329" t="s">
        <v>207</v>
      </c>
      <c r="F21" s="332" t="s">
        <v>207</v>
      </c>
      <c r="G21" s="332" t="s">
        <v>207</v>
      </c>
      <c r="H21" s="333" t="s">
        <v>207</v>
      </c>
      <c r="I21" s="359" t="s">
        <v>207</v>
      </c>
      <c r="J21" s="359" t="s">
        <v>207</v>
      </c>
      <c r="K21" s="328" t="s">
        <v>207</v>
      </c>
      <c r="L21" s="328" t="s">
        <v>207</v>
      </c>
      <c r="M21" s="330" t="s">
        <v>207</v>
      </c>
      <c r="N21" s="331" t="s">
        <v>207</v>
      </c>
    </row>
    <row r="22" spans="2:14" s="130" customFormat="1" ht="28">
      <c r="B22" s="294">
        <v>12</v>
      </c>
      <c r="C22" s="282" t="s">
        <v>208</v>
      </c>
      <c r="D22" s="297" t="s">
        <v>198</v>
      </c>
      <c r="E22" s="297" t="s">
        <v>198</v>
      </c>
      <c r="F22" s="303" t="s">
        <v>212</v>
      </c>
      <c r="G22" s="303" t="s">
        <v>212</v>
      </c>
      <c r="H22" s="338" t="s">
        <v>327</v>
      </c>
      <c r="I22" s="356" t="s">
        <v>198</v>
      </c>
      <c r="J22" s="356" t="s">
        <v>198</v>
      </c>
      <c r="K22" s="317" t="s">
        <v>198</v>
      </c>
      <c r="L22" s="317" t="s">
        <v>198</v>
      </c>
      <c r="M22" s="311" t="s">
        <v>198</v>
      </c>
      <c r="N22" s="323" t="s">
        <v>198</v>
      </c>
    </row>
    <row r="23" spans="2:14" ht="14">
      <c r="B23" s="294">
        <v>13</v>
      </c>
      <c r="C23" s="282" t="s">
        <v>210</v>
      </c>
      <c r="D23" s="297" t="s">
        <v>198</v>
      </c>
      <c r="E23" s="297" t="s">
        <v>198</v>
      </c>
      <c r="F23" s="304" t="s">
        <v>198</v>
      </c>
      <c r="G23" s="304" t="s">
        <v>198</v>
      </c>
      <c r="H23" s="305" t="s">
        <v>198</v>
      </c>
      <c r="I23" s="357" t="s">
        <v>198</v>
      </c>
      <c r="J23" s="357" t="s">
        <v>198</v>
      </c>
      <c r="K23" s="317" t="s">
        <v>198</v>
      </c>
      <c r="L23" s="317" t="s">
        <v>198</v>
      </c>
      <c r="M23" s="311" t="s">
        <v>198</v>
      </c>
      <c r="N23" s="323" t="s">
        <v>198</v>
      </c>
    </row>
    <row r="24" spans="2:14" ht="56.5" thickBot="1">
      <c r="B24" s="306">
        <v>14</v>
      </c>
      <c r="C24" s="307" t="s">
        <v>305</v>
      </c>
      <c r="D24" s="308" t="s">
        <v>304</v>
      </c>
      <c r="E24" s="308" t="s">
        <v>304</v>
      </c>
      <c r="F24" s="309" t="s">
        <v>198</v>
      </c>
      <c r="G24" s="309" t="s">
        <v>198</v>
      </c>
      <c r="H24" s="310" t="s">
        <v>198</v>
      </c>
      <c r="I24" s="358" t="s">
        <v>198</v>
      </c>
      <c r="J24" s="358" t="s">
        <v>198</v>
      </c>
      <c r="K24" s="322" t="s">
        <v>304</v>
      </c>
      <c r="L24" s="322" t="s">
        <v>304</v>
      </c>
      <c r="M24" s="316" t="s">
        <v>304</v>
      </c>
      <c r="N24" s="327" t="s">
        <v>304</v>
      </c>
    </row>
  </sheetData>
  <mergeCells count="6">
    <mergeCell ref="I5:J5"/>
    <mergeCell ref="F5:G5"/>
    <mergeCell ref="D5:E5"/>
    <mergeCell ref="K5:L5"/>
    <mergeCell ref="B1:N3"/>
    <mergeCell ref="B4:N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4"/>
  <sheetViews>
    <sheetView topLeftCell="B1" workbookViewId="0">
      <selection activeCell="B21" sqref="B21"/>
    </sheetView>
  </sheetViews>
  <sheetFormatPr defaultColWidth="10.6640625" defaultRowHeight="12.5"/>
  <cols>
    <col min="1" max="1" width="39" style="9" customWidth="1"/>
    <col min="2" max="2" width="42.6640625" style="9" customWidth="1"/>
    <col min="3" max="7" width="10.6640625" style="9"/>
    <col min="8" max="8" width="39.33203125" style="9" bestFit="1" customWidth="1"/>
    <col min="9" max="9" width="14.6640625" style="9" customWidth="1"/>
    <col min="10" max="10" width="13.33203125" style="9" customWidth="1"/>
    <col min="11" max="11" width="18.33203125" style="9" customWidth="1"/>
    <col min="12" max="12" width="14.6640625" style="9" bestFit="1" customWidth="1"/>
    <col min="13" max="13" width="9" style="126" customWidth="1"/>
    <col min="14" max="14" width="20.33203125" style="9" bestFit="1" customWidth="1"/>
    <col min="15" max="16384" width="10.6640625" style="9"/>
  </cols>
  <sheetData>
    <row r="1" spans="1:12">
      <c r="A1" s="6" t="s">
        <v>33</v>
      </c>
      <c r="B1" s="7" t="s">
        <v>34</v>
      </c>
      <c r="C1" s="1469" t="s">
        <v>35</v>
      </c>
      <c r="D1" s="1469"/>
      <c r="E1" s="8" t="s">
        <v>57</v>
      </c>
    </row>
    <row r="2" spans="1:12" ht="13" thickBot="1">
      <c r="A2" s="10"/>
      <c r="B2" s="11" t="s">
        <v>42</v>
      </c>
      <c r="C2" s="11" t="s">
        <v>36</v>
      </c>
      <c r="D2" s="11" t="s">
        <v>37</v>
      </c>
      <c r="E2" s="12"/>
      <c r="H2" s="1470" t="s">
        <v>126</v>
      </c>
      <c r="I2" s="1471"/>
      <c r="J2" s="1471"/>
      <c r="K2" s="13"/>
    </row>
    <row r="3" spans="1:12">
      <c r="A3" s="91" t="s">
        <v>45</v>
      </c>
      <c r="B3" s="91">
        <v>5900</v>
      </c>
      <c r="C3" s="91">
        <v>700</v>
      </c>
      <c r="D3" s="91">
        <v>600</v>
      </c>
      <c r="E3" s="91">
        <v>450</v>
      </c>
      <c r="H3" s="1471"/>
      <c r="I3" s="1471"/>
      <c r="J3" s="1471"/>
      <c r="K3" s="13"/>
    </row>
    <row r="4" spans="1:12">
      <c r="A4" s="92" t="s">
        <v>46</v>
      </c>
      <c r="B4" s="92">
        <v>4000</v>
      </c>
      <c r="C4" s="92">
        <v>680</v>
      </c>
      <c r="D4" s="92">
        <v>570</v>
      </c>
      <c r="E4" s="92">
        <v>400</v>
      </c>
      <c r="H4" s="1471"/>
      <c r="I4" s="1471"/>
      <c r="J4" s="1471"/>
      <c r="K4" s="13"/>
    </row>
    <row r="5" spans="1:12">
      <c r="A5" s="92" t="s">
        <v>44</v>
      </c>
      <c r="B5" s="92">
        <v>2000</v>
      </c>
      <c r="C5" s="92">
        <v>480</v>
      </c>
      <c r="D5" s="92">
        <v>420</v>
      </c>
      <c r="E5" s="92">
        <v>250</v>
      </c>
      <c r="H5" s="93" t="s">
        <v>92</v>
      </c>
      <c r="I5" s="94"/>
      <c r="J5" s="94"/>
      <c r="K5" s="13"/>
    </row>
    <row r="6" spans="1:12">
      <c r="A6" s="92" t="s">
        <v>69</v>
      </c>
      <c r="B6" s="92">
        <v>2700</v>
      </c>
      <c r="C6" s="92">
        <v>530</v>
      </c>
      <c r="D6" s="92">
        <v>460</v>
      </c>
      <c r="E6" s="92">
        <v>250</v>
      </c>
      <c r="H6" s="13"/>
      <c r="I6" s="13"/>
      <c r="J6" s="13"/>
      <c r="K6" s="13"/>
    </row>
    <row r="7" spans="1:12">
      <c r="A7" s="92" t="s">
        <v>47</v>
      </c>
      <c r="B7" s="92">
        <v>1000</v>
      </c>
      <c r="C7" s="92">
        <v>330</v>
      </c>
      <c r="D7" s="92">
        <v>410</v>
      </c>
      <c r="E7" s="92">
        <v>160</v>
      </c>
      <c r="H7" s="93" t="s">
        <v>87</v>
      </c>
      <c r="I7" s="13"/>
      <c r="J7" s="13">
        <v>0</v>
      </c>
      <c r="K7" s="45" t="s">
        <v>94</v>
      </c>
      <c r="L7" s="1"/>
    </row>
    <row r="8" spans="1:12">
      <c r="A8" s="92" t="s">
        <v>48</v>
      </c>
      <c r="B8" s="92">
        <v>2000</v>
      </c>
      <c r="C8" s="92">
        <v>510</v>
      </c>
      <c r="D8" s="92">
        <v>470</v>
      </c>
      <c r="E8" s="92">
        <v>250</v>
      </c>
      <c r="H8" s="93" t="s">
        <v>88</v>
      </c>
      <c r="I8" s="13"/>
      <c r="J8" s="13">
        <v>0</v>
      </c>
      <c r="K8" s="45" t="s">
        <v>94</v>
      </c>
      <c r="L8" s="1"/>
    </row>
    <row r="9" spans="1:12">
      <c r="H9" s="93" t="s">
        <v>89</v>
      </c>
      <c r="I9" s="13"/>
      <c r="J9" s="13">
        <v>0</v>
      </c>
      <c r="K9" s="45" t="s">
        <v>94</v>
      </c>
      <c r="L9" s="1"/>
    </row>
    <row r="10" spans="1:12">
      <c r="H10" s="93" t="s">
        <v>90</v>
      </c>
      <c r="I10" s="13"/>
      <c r="J10" s="13">
        <v>0</v>
      </c>
      <c r="K10" s="45" t="s">
        <v>94</v>
      </c>
      <c r="L10" s="1"/>
    </row>
    <row r="11" spans="1:12">
      <c r="A11" s="14"/>
      <c r="H11" s="93" t="s">
        <v>91</v>
      </c>
      <c r="I11" s="13"/>
      <c r="J11" s="13">
        <v>12</v>
      </c>
      <c r="K11" s="45" t="s">
        <v>94</v>
      </c>
      <c r="L11" s="1"/>
    </row>
    <row r="12" spans="1:12">
      <c r="A12" s="14"/>
      <c r="H12" s="13"/>
      <c r="I12" s="43" t="s">
        <v>15</v>
      </c>
      <c r="J12" s="44">
        <f>SUM(J7:J11)</f>
        <v>12</v>
      </c>
      <c r="K12" s="45" t="s">
        <v>94</v>
      </c>
      <c r="L12" s="1"/>
    </row>
    <row r="13" spans="1:12">
      <c r="A13" s="14"/>
      <c r="H13" s="13"/>
      <c r="I13" s="13"/>
      <c r="J13" s="13"/>
      <c r="K13" s="13"/>
    </row>
    <row r="14" spans="1:12">
      <c r="A14" s="14"/>
      <c r="H14" s="129" t="s">
        <v>93</v>
      </c>
      <c r="I14" s="129"/>
      <c r="J14" s="129">
        <f>(60*60)/J12</f>
        <v>300</v>
      </c>
      <c r="K14" s="13"/>
    </row>
    <row r="15" spans="1:12" ht="13">
      <c r="A15" s="15" t="s">
        <v>58</v>
      </c>
      <c r="B15" s="13"/>
      <c r="I15" s="1"/>
    </row>
    <row r="16" spans="1:12">
      <c r="A16" s="95" t="s">
        <v>38</v>
      </c>
      <c r="B16" s="16">
        <f>B17*B18</f>
        <v>1</v>
      </c>
    </row>
    <row r="17" spans="1:13">
      <c r="A17" s="95" t="s">
        <v>52</v>
      </c>
      <c r="B17" s="16">
        <v>1</v>
      </c>
    </row>
    <row r="18" spans="1:13">
      <c r="A18" s="95" t="s">
        <v>53</v>
      </c>
      <c r="B18" s="16">
        <v>1</v>
      </c>
    </row>
    <row r="19" spans="1:13">
      <c r="A19" s="96" t="s">
        <v>123</v>
      </c>
      <c r="B19" s="97" t="e">
        <f>'Cost Estimation'!#REF!*1000</f>
        <v>#REF!</v>
      </c>
    </row>
    <row r="20" spans="1:13">
      <c r="A20" s="95" t="s">
        <v>39</v>
      </c>
      <c r="B20" s="97" t="e">
        <f>'Cost Estimation'!#REF!</f>
        <v>#REF!</v>
      </c>
    </row>
    <row r="21" spans="1:13" ht="15" customHeight="1">
      <c r="A21" s="94" t="s">
        <v>54</v>
      </c>
      <c r="B21" s="17">
        <v>1</v>
      </c>
      <c r="H21" s="5"/>
      <c r="I21" s="46" t="s">
        <v>135</v>
      </c>
      <c r="J21" s="46" t="s">
        <v>138</v>
      </c>
      <c r="K21" s="47" t="s">
        <v>136</v>
      </c>
      <c r="L21" s="46" t="s">
        <v>137</v>
      </c>
    </row>
    <row r="22" spans="1:13" ht="13">
      <c r="A22" s="95" t="s">
        <v>55</v>
      </c>
      <c r="B22" s="17">
        <v>1</v>
      </c>
      <c r="H22" s="48" t="s">
        <v>127</v>
      </c>
      <c r="I22" s="48"/>
      <c r="J22" s="48"/>
      <c r="K22" s="48"/>
      <c r="L22" s="48"/>
    </row>
    <row r="23" spans="1:13" ht="13">
      <c r="A23" s="95" t="s">
        <v>51</v>
      </c>
      <c r="B23" s="18">
        <v>1</v>
      </c>
      <c r="H23" s="19"/>
      <c r="I23" s="20"/>
      <c r="J23" s="20"/>
      <c r="K23" s="21"/>
      <c r="L23" s="22"/>
    </row>
    <row r="24" spans="1:13" ht="13">
      <c r="A24" s="95"/>
      <c r="B24" s="23"/>
      <c r="C24" s="24"/>
      <c r="H24" s="19" t="s">
        <v>128</v>
      </c>
      <c r="I24" s="49">
        <v>300</v>
      </c>
      <c r="J24" s="20">
        <v>1</v>
      </c>
      <c r="K24" s="22">
        <v>3</v>
      </c>
      <c r="L24" s="50">
        <f>K24*J24*I24</f>
        <v>900</v>
      </c>
      <c r="M24" s="126">
        <f>K24*J24</f>
        <v>3</v>
      </c>
    </row>
    <row r="25" spans="1:13" ht="13">
      <c r="A25" s="25" t="s">
        <v>59</v>
      </c>
      <c r="B25" s="23"/>
      <c r="C25" s="24"/>
      <c r="H25" s="26" t="s">
        <v>129</v>
      </c>
      <c r="I25" s="49">
        <v>3000</v>
      </c>
      <c r="J25" s="20">
        <v>1</v>
      </c>
      <c r="K25" s="22">
        <v>3</v>
      </c>
      <c r="L25" s="50">
        <f t="shared" ref="L25:L31" si="0">K25*J25*I25</f>
        <v>9000</v>
      </c>
      <c r="M25" s="126">
        <f t="shared" ref="M25:M31" si="1">K25*J25</f>
        <v>3</v>
      </c>
    </row>
    <row r="26" spans="1:13" ht="13">
      <c r="A26" s="95" t="s">
        <v>62</v>
      </c>
      <c r="B26" s="127">
        <f>((B21*B22)/100)*0.21*B16</f>
        <v>2.0999999999999999E-3</v>
      </c>
      <c r="C26" s="24"/>
      <c r="H26" s="27" t="s">
        <v>130</v>
      </c>
      <c r="I26" s="49">
        <v>1000</v>
      </c>
      <c r="J26" s="20">
        <f>1000000/3/60/60</f>
        <v>92.592592592592595</v>
      </c>
      <c r="K26" s="22">
        <v>2</v>
      </c>
      <c r="L26" s="50">
        <f t="shared" si="0"/>
        <v>185185.1851851852</v>
      </c>
      <c r="M26" s="131">
        <f>K26*J26</f>
        <v>185.18518518518519</v>
      </c>
    </row>
    <row r="27" spans="1:13">
      <c r="A27" s="95" t="s">
        <v>40</v>
      </c>
      <c r="B27" s="128" t="e">
        <f>B19/B20</f>
        <v>#REF!</v>
      </c>
      <c r="H27" s="27" t="s">
        <v>131</v>
      </c>
      <c r="I27" s="49">
        <v>100</v>
      </c>
      <c r="J27" s="20"/>
      <c r="K27" s="22">
        <v>2</v>
      </c>
      <c r="L27" s="50">
        <f t="shared" si="0"/>
        <v>0</v>
      </c>
      <c r="M27" s="126">
        <f t="shared" si="1"/>
        <v>0</v>
      </c>
    </row>
    <row r="28" spans="1:13">
      <c r="A28" s="95" t="s">
        <v>41</v>
      </c>
      <c r="B28" s="128" t="e">
        <f>B27*B16</f>
        <v>#REF!</v>
      </c>
      <c r="H28" s="27" t="s">
        <v>132</v>
      </c>
      <c r="I28" s="49">
        <v>3000</v>
      </c>
      <c r="J28" s="20"/>
      <c r="K28" s="22">
        <v>2</v>
      </c>
      <c r="L28" s="50">
        <f t="shared" si="0"/>
        <v>0</v>
      </c>
      <c r="M28" s="126">
        <f t="shared" si="1"/>
        <v>0</v>
      </c>
    </row>
    <row r="29" spans="1:13">
      <c r="A29" s="96" t="s">
        <v>124</v>
      </c>
      <c r="B29" s="28">
        <v>20</v>
      </c>
      <c r="H29" s="19" t="s">
        <v>133</v>
      </c>
      <c r="I29" s="49">
        <v>250</v>
      </c>
      <c r="J29" s="20"/>
      <c r="K29" s="22">
        <v>2</v>
      </c>
      <c r="L29" s="50">
        <f t="shared" si="0"/>
        <v>0</v>
      </c>
      <c r="M29" s="126">
        <f t="shared" si="1"/>
        <v>0</v>
      </c>
    </row>
    <row r="30" spans="1:13">
      <c r="A30" s="96" t="s">
        <v>125</v>
      </c>
      <c r="B30" s="28">
        <v>20</v>
      </c>
      <c r="H30" s="19" t="s">
        <v>134</v>
      </c>
      <c r="I30" s="49">
        <v>250</v>
      </c>
      <c r="J30" s="20"/>
      <c r="K30" s="22">
        <v>2</v>
      </c>
      <c r="L30" s="50">
        <f t="shared" si="0"/>
        <v>0</v>
      </c>
      <c r="M30" s="126">
        <f t="shared" si="1"/>
        <v>0</v>
      </c>
    </row>
    <row r="31" spans="1:13" ht="13" thickBot="1">
      <c r="A31" s="94" t="s">
        <v>60</v>
      </c>
      <c r="B31" s="93">
        <f>(B21+(B29))*B17</f>
        <v>21</v>
      </c>
      <c r="D31" s="29"/>
      <c r="E31" s="29"/>
      <c r="F31" s="29"/>
      <c r="H31" s="27" t="s">
        <v>139</v>
      </c>
      <c r="I31" s="49">
        <v>50</v>
      </c>
      <c r="J31" s="20"/>
      <c r="K31" s="22">
        <f>500</f>
        <v>500</v>
      </c>
      <c r="L31" s="50">
        <f t="shared" si="0"/>
        <v>0</v>
      </c>
      <c r="M31" s="126">
        <f t="shared" si="1"/>
        <v>0</v>
      </c>
    </row>
    <row r="32" spans="1:13" ht="13" thickBot="1">
      <c r="A32" s="95" t="s">
        <v>61</v>
      </c>
      <c r="B32" s="93">
        <f>(B22+(B30))*B18</f>
        <v>21</v>
      </c>
      <c r="D32" s="29"/>
      <c r="E32" s="29"/>
      <c r="F32" s="29"/>
      <c r="H32" s="19"/>
      <c r="I32" s="20"/>
      <c r="J32" s="20"/>
      <c r="K32" s="22"/>
      <c r="L32" s="98"/>
      <c r="M32" s="132">
        <f>SUM(M24:M31)*60</f>
        <v>11471.111111111111</v>
      </c>
    </row>
    <row r="33" spans="1:12" ht="14.5" thickTop="1">
      <c r="A33" s="30"/>
      <c r="B33" s="23"/>
      <c r="C33" s="31"/>
      <c r="D33" s="32" t="s">
        <v>36</v>
      </c>
      <c r="E33" s="32" t="s">
        <v>37</v>
      </c>
      <c r="F33" s="33" t="s">
        <v>57</v>
      </c>
      <c r="H33" s="51" t="s">
        <v>15</v>
      </c>
      <c r="I33" s="52"/>
      <c r="J33" s="52"/>
      <c r="K33" s="53"/>
      <c r="L33" s="53"/>
    </row>
    <row r="34" spans="1:12" ht="13.5" thickBot="1">
      <c r="A34" s="30"/>
      <c r="B34" s="23"/>
      <c r="C34" s="34">
        <f>VLOOKUP($B$35,$A$3:$D$8,2,FALSE)</f>
        <v>2700</v>
      </c>
      <c r="D34" s="35">
        <f>VLOOKUP($B$35,$A$3:$D$8,3,FALSE)</f>
        <v>530</v>
      </c>
      <c r="E34" s="35">
        <f>VLOOKUP($B$35,$A$3:$D$8,4,FALSE)</f>
        <v>460</v>
      </c>
      <c r="F34" s="36">
        <f>VLOOKUP($B$35,$A$3:$E$8,5,FALSE)</f>
        <v>250</v>
      </c>
      <c r="H34" s="48"/>
      <c r="I34" s="48"/>
      <c r="J34" s="48"/>
      <c r="K34" s="48"/>
      <c r="L34" s="48"/>
    </row>
    <row r="35" spans="1:12" ht="13.5" thickTop="1">
      <c r="A35" s="95" t="s">
        <v>43</v>
      </c>
      <c r="B35" s="23" t="s">
        <v>69</v>
      </c>
      <c r="H35" s="27"/>
      <c r="I35" s="20"/>
      <c r="J35" s="20"/>
      <c r="K35" s="21"/>
      <c r="L35" s="37"/>
    </row>
    <row r="36" spans="1:12" ht="13">
      <c r="A36" s="30"/>
      <c r="B36" s="23"/>
      <c r="H36" s="38"/>
      <c r="I36" s="39"/>
      <c r="J36" s="39"/>
      <c r="K36" s="40"/>
      <c r="L36" s="41"/>
    </row>
    <row r="37" spans="1:12">
      <c r="A37" s="93" t="s">
        <v>140</v>
      </c>
      <c r="B37" s="42" t="e">
        <f>((B19/1000)-'Cost Estimation'!#REF!)*'Molding and Testing'!B16*1000</f>
        <v>#REF!</v>
      </c>
      <c r="C37" s="1"/>
    </row>
    <row r="38" spans="1:12" ht="13">
      <c r="A38" s="94" t="s">
        <v>49</v>
      </c>
      <c r="B38" s="99" t="e">
        <f>IF(C34&gt;B28,"Volume Check OK","Upgrade Machine or Reduce Cavities")</f>
        <v>#REF!</v>
      </c>
    </row>
    <row r="39" spans="1:12" ht="13">
      <c r="A39" s="94" t="s">
        <v>56</v>
      </c>
      <c r="B39" s="99" t="str">
        <f>IF(F34&gt;B26,"Tonnage Check OK","Upgrade Machine or Reduce Cavities")</f>
        <v>Tonnage Check OK</v>
      </c>
    </row>
    <row r="40" spans="1:12" ht="13">
      <c r="A40" s="94" t="s">
        <v>63</v>
      </c>
      <c r="B40" s="99" t="str">
        <f>IF(D34&gt;B31,"Length OK","Upgrade Machine or Reduce Cavities")</f>
        <v>Length OK</v>
      </c>
    </row>
    <row r="41" spans="1:12" ht="13">
      <c r="A41" s="94" t="s">
        <v>64</v>
      </c>
      <c r="B41" s="99" t="str">
        <f>IF(E34&gt;B32,"Width Check OK","Upgrade Machine or Reduce Cavities")</f>
        <v>Width Check OK</v>
      </c>
    </row>
    <row r="44" spans="1:12">
      <c r="B44" s="1" t="s">
        <v>186</v>
      </c>
    </row>
  </sheetData>
  <mergeCells count="2">
    <mergeCell ref="C1:D1"/>
    <mergeCell ref="H2:J4"/>
  </mergeCells>
  <dataValidations count="1">
    <dataValidation type="list" allowBlank="1" showInputMessage="1" showErrorMessage="1" sqref="B35:B36">
      <formula1>$A$3:$A$8</formula1>
    </dataValidation>
  </dataValidation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03"/>
  <sheetViews>
    <sheetView topLeftCell="A91" zoomScale="121" zoomScaleNormal="80" workbookViewId="0">
      <pane xSplit="2" topLeftCell="C1" activePane="topRight" state="frozen"/>
      <selection activeCell="A22" sqref="A22"/>
      <selection pane="topRight" activeCell="E102" sqref="E102"/>
    </sheetView>
  </sheetViews>
  <sheetFormatPr defaultColWidth="13.6640625" defaultRowHeight="12.5"/>
  <cols>
    <col min="1" max="1" width="13.6640625" style="58"/>
    <col min="2" max="2" width="36.44140625" style="58" customWidth="1"/>
    <col min="3" max="3" width="19.6640625" style="58" customWidth="1"/>
    <col min="4" max="4" width="16.33203125" style="58" customWidth="1"/>
    <col min="5" max="16384" width="13.6640625" style="58"/>
  </cols>
  <sheetData>
    <row r="1" spans="2:17" ht="25">
      <c r="B1" s="57" t="s">
        <v>77</v>
      </c>
      <c r="C1" s="105">
        <f>RFCE!B16</f>
        <v>0</v>
      </c>
      <c r="D1" s="1472" t="s">
        <v>180</v>
      </c>
      <c r="F1" s="57" t="s">
        <v>77</v>
      </c>
      <c r="G1" s="105">
        <f>C1</f>
        <v>0</v>
      </c>
      <c r="H1" s="1472" t="s">
        <v>181</v>
      </c>
      <c r="J1" s="119" t="s">
        <v>184</v>
      </c>
      <c r="K1" s="90"/>
      <c r="L1" s="90"/>
    </row>
    <row r="2" spans="2:17" ht="25.5" thickBot="1">
      <c r="B2" s="57" t="s">
        <v>78</v>
      </c>
      <c r="C2" s="106">
        <f>SUM(C4:C12)</f>
        <v>25170</v>
      </c>
      <c r="D2" s="1473"/>
      <c r="F2" s="57" t="s">
        <v>78</v>
      </c>
      <c r="G2" s="106">
        <f>SUM(G4:G12)</f>
        <v>25170</v>
      </c>
      <c r="H2" s="1473"/>
      <c r="K2" s="90"/>
      <c r="L2" s="90"/>
    </row>
    <row r="3" spans="2:17" ht="37.5">
      <c r="B3" s="59" t="s">
        <v>79</v>
      </c>
      <c r="C3" s="59" t="s">
        <v>80</v>
      </c>
      <c r="D3" s="107" t="s">
        <v>81</v>
      </c>
      <c r="F3" s="59" t="s">
        <v>79</v>
      </c>
      <c r="G3" s="59" t="s">
        <v>80</v>
      </c>
      <c r="H3" s="107" t="s">
        <v>156</v>
      </c>
      <c r="I3" s="60"/>
      <c r="J3" s="60"/>
      <c r="K3" s="60"/>
      <c r="L3" s="60"/>
      <c r="M3" s="60"/>
      <c r="N3" s="60"/>
      <c r="O3" s="60"/>
      <c r="P3" s="60"/>
      <c r="Q3" s="60"/>
    </row>
    <row r="4" spans="2:17">
      <c r="B4" s="61">
        <v>2018</v>
      </c>
      <c r="C4" s="55">
        <f>RFCE!B19</f>
        <v>0</v>
      </c>
      <c r="D4" s="100">
        <v>1</v>
      </c>
      <c r="F4" s="61">
        <f>+B4</f>
        <v>2018</v>
      </c>
      <c r="G4" s="55">
        <f>C4</f>
        <v>0</v>
      </c>
      <c r="H4" s="100">
        <v>1</v>
      </c>
      <c r="K4" s="108"/>
      <c r="L4" s="108"/>
      <c r="M4" s="109"/>
      <c r="N4" s="109"/>
      <c r="O4" s="109"/>
      <c r="P4" s="109"/>
      <c r="Q4" s="110"/>
    </row>
    <row r="5" spans="2:17">
      <c r="B5" s="61">
        <f>+B4+1</f>
        <v>2019</v>
      </c>
      <c r="C5" s="55">
        <v>20170</v>
      </c>
      <c r="D5" s="100">
        <v>1.0900000000000001</v>
      </c>
      <c r="F5" s="61">
        <f t="shared" ref="F5:F12" si="0">+B5</f>
        <v>2019</v>
      </c>
      <c r="G5" s="55">
        <f t="shared" ref="G5:G12" si="1">C5</f>
        <v>20170</v>
      </c>
      <c r="H5" s="100">
        <v>1.03</v>
      </c>
      <c r="K5" s="108"/>
      <c r="L5" s="108"/>
      <c r="M5" s="109"/>
      <c r="N5" s="109"/>
      <c r="O5" s="109"/>
      <c r="P5" s="109"/>
      <c r="Q5" s="110"/>
    </row>
    <row r="6" spans="2:17">
      <c r="B6" s="61">
        <f t="shared" ref="B6:B15" si="2">+B5+1</f>
        <v>2020</v>
      </c>
      <c r="C6" s="55">
        <f>RFCE!D19</f>
        <v>0</v>
      </c>
      <c r="D6" s="100">
        <f>D5*D5</f>
        <v>1.1881000000000002</v>
      </c>
      <c r="E6" s="334"/>
      <c r="F6" s="61">
        <f t="shared" si="0"/>
        <v>2020</v>
      </c>
      <c r="G6" s="55">
        <f t="shared" si="1"/>
        <v>0</v>
      </c>
      <c r="H6" s="100">
        <f>H5*H5</f>
        <v>1.0609</v>
      </c>
      <c r="K6" s="335"/>
      <c r="L6" s="108"/>
      <c r="M6" s="109"/>
      <c r="N6" s="109"/>
      <c r="O6" s="109"/>
      <c r="P6" s="109"/>
      <c r="Q6" s="110"/>
    </row>
    <row r="7" spans="2:17">
      <c r="B7" s="61">
        <f t="shared" si="2"/>
        <v>2021</v>
      </c>
      <c r="C7" s="55">
        <f>RFCE!E19</f>
        <v>0</v>
      </c>
      <c r="D7" s="100">
        <f>D6*D5</f>
        <v>1.2950290000000002</v>
      </c>
      <c r="E7" s="334"/>
      <c r="F7" s="61">
        <f t="shared" si="0"/>
        <v>2021</v>
      </c>
      <c r="G7" s="55">
        <f t="shared" si="1"/>
        <v>0</v>
      </c>
      <c r="H7" s="100">
        <f>H6*H5</f>
        <v>1.092727</v>
      </c>
      <c r="I7" s="62"/>
      <c r="K7" s="108"/>
      <c r="L7" s="108"/>
      <c r="M7" s="109"/>
      <c r="N7" s="109"/>
      <c r="O7" s="109"/>
      <c r="P7" s="109"/>
      <c r="Q7" s="110"/>
    </row>
    <row r="8" spans="2:17">
      <c r="B8" s="61">
        <f t="shared" si="2"/>
        <v>2022</v>
      </c>
      <c r="C8" s="55">
        <f>RFCE!B21</f>
        <v>1000</v>
      </c>
      <c r="D8" s="100">
        <f>D7*D5</f>
        <v>1.4115816100000003</v>
      </c>
      <c r="E8" s="334"/>
      <c r="F8" s="61">
        <f t="shared" si="0"/>
        <v>2022</v>
      </c>
      <c r="G8" s="55">
        <f t="shared" si="1"/>
        <v>1000</v>
      </c>
      <c r="H8" s="100">
        <f>H7*H5</f>
        <v>1.1255088100000001</v>
      </c>
      <c r="I8" s="62"/>
      <c r="K8" s="108"/>
      <c r="L8" s="108"/>
      <c r="M8" s="109"/>
      <c r="N8" s="109"/>
      <c r="O8" s="109"/>
      <c r="P8" s="109"/>
      <c r="Q8" s="110"/>
    </row>
    <row r="9" spans="2:17">
      <c r="B9" s="61">
        <f t="shared" si="2"/>
        <v>2023</v>
      </c>
      <c r="C9" s="55">
        <f>RFCE!C21</f>
        <v>2000</v>
      </c>
      <c r="D9" s="100">
        <f>D8*D5</f>
        <v>1.5386239549000005</v>
      </c>
      <c r="E9" s="334"/>
      <c r="F9" s="61">
        <f t="shared" si="0"/>
        <v>2023</v>
      </c>
      <c r="G9" s="55">
        <f t="shared" si="1"/>
        <v>2000</v>
      </c>
      <c r="H9" s="100">
        <f>H8*H5</f>
        <v>1.1592740743000001</v>
      </c>
      <c r="I9" s="62"/>
      <c r="K9" s="108"/>
      <c r="L9" s="108"/>
      <c r="M9" s="109"/>
      <c r="N9" s="109"/>
      <c r="O9" s="109"/>
      <c r="P9" s="109"/>
      <c r="Q9" s="110"/>
    </row>
    <row r="10" spans="2:17">
      <c r="B10" s="61">
        <f t="shared" si="2"/>
        <v>2024</v>
      </c>
      <c r="C10" s="55">
        <f>RFCE!D21</f>
        <v>2000</v>
      </c>
      <c r="D10" s="100">
        <f>D9*D5</f>
        <v>1.6771001108410006</v>
      </c>
      <c r="E10" s="334"/>
      <c r="F10" s="61">
        <f t="shared" si="0"/>
        <v>2024</v>
      </c>
      <c r="G10" s="55">
        <f t="shared" si="1"/>
        <v>2000</v>
      </c>
      <c r="H10" s="100">
        <f>H9*H5</f>
        <v>1.1940522965290001</v>
      </c>
      <c r="I10" s="62"/>
      <c r="K10" s="108"/>
      <c r="L10" s="108"/>
      <c r="M10" s="109"/>
      <c r="N10" s="109"/>
      <c r="O10" s="109"/>
      <c r="P10" s="109"/>
      <c r="Q10" s="62"/>
    </row>
    <row r="11" spans="2:17">
      <c r="B11" s="61">
        <f t="shared" si="2"/>
        <v>2025</v>
      </c>
      <c r="C11" s="55">
        <f>RFCE!E21</f>
        <v>0</v>
      </c>
      <c r="D11" s="100">
        <f>D10*D5</f>
        <v>1.8280391208166908</v>
      </c>
      <c r="E11" s="334"/>
      <c r="F11" s="61">
        <f t="shared" si="0"/>
        <v>2025</v>
      </c>
      <c r="G11" s="55">
        <f t="shared" si="1"/>
        <v>0</v>
      </c>
      <c r="H11" s="100">
        <f>H10*H5</f>
        <v>1.2298738654248702</v>
      </c>
      <c r="I11" s="63"/>
      <c r="J11" s="63"/>
      <c r="K11" s="63"/>
      <c r="L11" s="63"/>
      <c r="M11" s="111"/>
      <c r="N11" s="111"/>
      <c r="O11" s="111"/>
      <c r="P11" s="111"/>
      <c r="Q11" s="111"/>
    </row>
    <row r="12" spans="2:17">
      <c r="B12" s="61">
        <f t="shared" si="2"/>
        <v>2026</v>
      </c>
      <c r="C12" s="55">
        <f>RFCE!B23</f>
        <v>0</v>
      </c>
      <c r="D12" s="100">
        <f>D11*D5</f>
        <v>1.9925626416901931</v>
      </c>
      <c r="E12" s="334"/>
      <c r="F12" s="61">
        <f t="shared" si="0"/>
        <v>2026</v>
      </c>
      <c r="G12" s="55">
        <f t="shared" si="1"/>
        <v>0</v>
      </c>
      <c r="H12" s="100">
        <f>H11*H5</f>
        <v>1.2667700813876164</v>
      </c>
      <c r="I12" s="63"/>
      <c r="J12" s="63"/>
      <c r="K12" s="111"/>
      <c r="L12" s="111"/>
      <c r="M12" s="63"/>
      <c r="N12" s="63"/>
      <c r="O12" s="63"/>
      <c r="P12" s="63"/>
      <c r="Q12" s="64"/>
    </row>
    <row r="13" spans="2:17">
      <c r="B13" s="61">
        <f t="shared" si="2"/>
        <v>2027</v>
      </c>
      <c r="C13" s="55">
        <f>RFCE!C23</f>
        <v>0</v>
      </c>
      <c r="D13" s="100">
        <f>D12*D5</f>
        <v>2.1718932794423105</v>
      </c>
      <c r="E13" s="334"/>
      <c r="F13" s="61">
        <f t="shared" ref="F13:F15" si="3">+B13</f>
        <v>2027</v>
      </c>
      <c r="G13" s="55">
        <f t="shared" ref="G13:G15" si="4">C13</f>
        <v>0</v>
      </c>
      <c r="H13" s="100">
        <f>H12*H5</f>
        <v>1.3047731838292449</v>
      </c>
      <c r="I13" s="63"/>
      <c r="J13" s="63"/>
      <c r="K13" s="111"/>
      <c r="L13" s="111"/>
      <c r="M13" s="63"/>
      <c r="N13" s="63"/>
      <c r="O13" s="63"/>
      <c r="P13" s="63"/>
      <c r="Q13" s="64"/>
    </row>
    <row r="14" spans="2:17">
      <c r="B14" s="61">
        <f t="shared" si="2"/>
        <v>2028</v>
      </c>
      <c r="C14" s="55">
        <f>RFCE!D23</f>
        <v>0</v>
      </c>
      <c r="D14" s="100">
        <f>D13*D5</f>
        <v>2.3673636745921187</v>
      </c>
      <c r="E14" s="334"/>
      <c r="F14" s="61">
        <f t="shared" si="3"/>
        <v>2028</v>
      </c>
      <c r="G14" s="55">
        <f t="shared" si="4"/>
        <v>0</v>
      </c>
      <c r="H14" s="100">
        <f>H13*H5</f>
        <v>1.3439163793441222</v>
      </c>
      <c r="I14" s="63"/>
      <c r="J14" s="63"/>
      <c r="K14" s="111"/>
      <c r="L14" s="111"/>
      <c r="M14" s="63"/>
      <c r="N14" s="63"/>
      <c r="O14" s="63"/>
      <c r="P14" s="63"/>
      <c r="Q14" s="64"/>
    </row>
    <row r="15" spans="2:17">
      <c r="B15" s="61">
        <f t="shared" si="2"/>
        <v>2029</v>
      </c>
      <c r="C15" s="55">
        <f>RFCE!E23</f>
        <v>0</v>
      </c>
      <c r="D15" s="100">
        <f>D14*D5</f>
        <v>2.5804264053054098</v>
      </c>
      <c r="E15" s="334"/>
      <c r="F15" s="61">
        <f t="shared" si="3"/>
        <v>2029</v>
      </c>
      <c r="G15" s="55">
        <f t="shared" si="4"/>
        <v>0</v>
      </c>
      <c r="H15" s="100">
        <f>H14*H5</f>
        <v>1.3842338707244459</v>
      </c>
      <c r="I15" s="63"/>
      <c r="J15" s="63"/>
      <c r="K15" s="111"/>
      <c r="L15" s="111"/>
      <c r="M15" s="63"/>
      <c r="N15" s="63"/>
      <c r="O15" s="63"/>
      <c r="P15" s="63"/>
      <c r="Q15" s="64"/>
    </row>
    <row r="16" spans="2:17">
      <c r="B16" s="63"/>
      <c r="C16" s="63"/>
      <c r="D16" s="111"/>
      <c r="E16" s="33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36" ht="22">
      <c r="A17" s="88"/>
      <c r="B17" s="88" t="s">
        <v>10</v>
      </c>
    </row>
    <row r="18" spans="1:36" ht="22">
      <c r="A18" s="88">
        <v>1</v>
      </c>
      <c r="B18" s="89" t="s">
        <v>162</v>
      </c>
      <c r="C18" s="90"/>
      <c r="D18" s="90"/>
      <c r="E18" s="90"/>
    </row>
    <row r="19" spans="1:36" ht="22">
      <c r="A19" s="88">
        <v>2</v>
      </c>
      <c r="B19" s="89" t="s">
        <v>163</v>
      </c>
    </row>
    <row r="20" spans="1:36">
      <c r="B20" s="63"/>
      <c r="C20" s="63"/>
      <c r="D20" s="111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</row>
    <row r="21" spans="1:36">
      <c r="B21" s="63">
        <v>1</v>
      </c>
      <c r="C21" s="63">
        <v>2</v>
      </c>
      <c r="D21" s="58">
        <v>3</v>
      </c>
      <c r="E21" s="63">
        <v>4</v>
      </c>
      <c r="F21" s="63">
        <v>5</v>
      </c>
      <c r="G21" s="58">
        <v>6</v>
      </c>
      <c r="H21" s="63">
        <v>7</v>
      </c>
      <c r="I21" s="63">
        <v>8</v>
      </c>
      <c r="J21" s="58">
        <v>9</v>
      </c>
      <c r="K21" s="63">
        <v>10</v>
      </c>
      <c r="L21" s="63">
        <v>11</v>
      </c>
      <c r="M21" s="58">
        <v>12</v>
      </c>
      <c r="N21" s="63">
        <v>13</v>
      </c>
      <c r="O21" s="63">
        <v>14</v>
      </c>
      <c r="P21" s="58">
        <v>15</v>
      </c>
      <c r="Q21" s="63">
        <v>16</v>
      </c>
      <c r="R21" s="63">
        <v>17</v>
      </c>
      <c r="S21" s="58">
        <v>18</v>
      </c>
      <c r="T21" s="63">
        <v>19</v>
      </c>
      <c r="U21" s="63">
        <v>20</v>
      </c>
      <c r="V21" s="58">
        <v>21</v>
      </c>
      <c r="W21" s="63">
        <v>22</v>
      </c>
      <c r="X21" s="63">
        <v>23</v>
      </c>
      <c r="Y21" s="58">
        <v>24</v>
      </c>
      <c r="Z21" s="63">
        <v>25</v>
      </c>
      <c r="AA21" s="63">
        <v>26</v>
      </c>
      <c r="AB21" s="58">
        <v>27</v>
      </c>
      <c r="AC21" s="63">
        <v>28</v>
      </c>
      <c r="AD21" s="63">
        <v>29</v>
      </c>
      <c r="AE21" s="58">
        <v>30</v>
      </c>
      <c r="AF21" s="63">
        <v>31</v>
      </c>
      <c r="AG21" s="63">
        <v>32</v>
      </c>
      <c r="AH21" s="58">
        <v>33</v>
      </c>
      <c r="AI21" s="63">
        <v>34</v>
      </c>
      <c r="AJ21" s="63">
        <v>35</v>
      </c>
    </row>
    <row r="22" spans="1:36">
      <c r="B22" s="63"/>
      <c r="C22" s="63"/>
      <c r="D22" s="111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4"/>
      <c r="S22" s="62"/>
    </row>
    <row r="23" spans="1:36" ht="13" thickBot="1">
      <c r="E23" s="124">
        <f>B4</f>
        <v>2018</v>
      </c>
      <c r="F23" s="65">
        <f>+E23+1</f>
        <v>2019</v>
      </c>
      <c r="G23" s="65">
        <f t="shared" ref="G23:M23" si="5">+F23+1</f>
        <v>2020</v>
      </c>
      <c r="H23" s="65">
        <f t="shared" si="5"/>
        <v>2021</v>
      </c>
      <c r="I23" s="65">
        <f t="shared" si="5"/>
        <v>2022</v>
      </c>
      <c r="J23" s="65">
        <f t="shared" si="5"/>
        <v>2023</v>
      </c>
      <c r="K23" s="65">
        <f t="shared" si="5"/>
        <v>2024</v>
      </c>
      <c r="L23" s="65">
        <f t="shared" si="5"/>
        <v>2025</v>
      </c>
      <c r="M23" s="65">
        <f t="shared" si="5"/>
        <v>2026</v>
      </c>
      <c r="N23" s="65">
        <f t="shared" ref="N23" si="6">+M23+1</f>
        <v>2027</v>
      </c>
      <c r="O23" s="65">
        <f t="shared" ref="O23" si="7">+N23+1</f>
        <v>2028</v>
      </c>
      <c r="P23" s="65">
        <f t="shared" ref="P23" si="8">+O23+1</f>
        <v>2029</v>
      </c>
      <c r="Q23" s="65" t="s">
        <v>15</v>
      </c>
      <c r="R23" s="66"/>
      <c r="S23" s="62"/>
      <c r="U23" s="124">
        <f>E23</f>
        <v>2018</v>
      </c>
      <c r="V23" s="65">
        <f>+U23+1</f>
        <v>2019</v>
      </c>
      <c r="W23" s="65">
        <f t="shared" ref="W23:AC23" si="9">+V23+1</f>
        <v>2020</v>
      </c>
      <c r="X23" s="65">
        <f t="shared" si="9"/>
        <v>2021</v>
      </c>
      <c r="Y23" s="65">
        <f t="shared" si="9"/>
        <v>2022</v>
      </c>
      <c r="Z23" s="65">
        <f t="shared" si="9"/>
        <v>2023</v>
      </c>
      <c r="AA23" s="65">
        <f t="shared" si="9"/>
        <v>2024</v>
      </c>
      <c r="AB23" s="65">
        <f t="shared" si="9"/>
        <v>2025</v>
      </c>
      <c r="AC23" s="65">
        <f t="shared" si="9"/>
        <v>2026</v>
      </c>
      <c r="AD23" s="65">
        <f t="shared" ref="AD23" si="10">+AC23+1</f>
        <v>2027</v>
      </c>
      <c r="AE23" s="65">
        <f t="shared" ref="AE23" si="11">+AD23+1</f>
        <v>2028</v>
      </c>
      <c r="AF23" s="65">
        <f t="shared" ref="AF23" si="12">+AE23+1</f>
        <v>2029</v>
      </c>
      <c r="AG23" s="121" t="s">
        <v>15</v>
      </c>
      <c r="AH23" s="66"/>
      <c r="AJ23" s="66"/>
    </row>
    <row r="24" spans="1:36" ht="87.5">
      <c r="B24" s="68" t="s">
        <v>82</v>
      </c>
      <c r="C24" s="69" t="s">
        <v>157</v>
      </c>
      <c r="D24" s="69"/>
      <c r="E24" s="70" t="s">
        <v>158</v>
      </c>
      <c r="F24" s="70" t="s">
        <v>158</v>
      </c>
      <c r="G24" s="70" t="s">
        <v>158</v>
      </c>
      <c r="H24" s="70" t="s">
        <v>158</v>
      </c>
      <c r="I24" s="70" t="s">
        <v>158</v>
      </c>
      <c r="J24" s="70" t="s">
        <v>158</v>
      </c>
      <c r="K24" s="70" t="s">
        <v>158</v>
      </c>
      <c r="L24" s="70" t="s">
        <v>158</v>
      </c>
      <c r="M24" s="70" t="s">
        <v>158</v>
      </c>
      <c r="N24" s="70" t="s">
        <v>158</v>
      </c>
      <c r="O24" s="70" t="s">
        <v>158</v>
      </c>
      <c r="P24" s="70" t="s">
        <v>158</v>
      </c>
      <c r="Q24" s="70"/>
      <c r="R24" s="71" t="s">
        <v>159</v>
      </c>
      <c r="S24" s="112"/>
      <c r="T24" s="69" t="s">
        <v>160</v>
      </c>
      <c r="U24" s="70" t="s">
        <v>164</v>
      </c>
      <c r="V24" s="70" t="s">
        <v>164</v>
      </c>
      <c r="W24" s="70" t="s">
        <v>164</v>
      </c>
      <c r="X24" s="70" t="s">
        <v>164</v>
      </c>
      <c r="Y24" s="70" t="s">
        <v>164</v>
      </c>
      <c r="Z24" s="70" t="s">
        <v>164</v>
      </c>
      <c r="AA24" s="70" t="s">
        <v>164</v>
      </c>
      <c r="AB24" s="70" t="s">
        <v>164</v>
      </c>
      <c r="AC24" s="70" t="s">
        <v>164</v>
      </c>
      <c r="AD24" s="70" t="s">
        <v>164</v>
      </c>
      <c r="AE24" s="70" t="s">
        <v>164</v>
      </c>
      <c r="AF24" s="70" t="s">
        <v>164</v>
      </c>
      <c r="AG24" s="70"/>
      <c r="AH24" s="71" t="s">
        <v>165</v>
      </c>
      <c r="AJ24" s="71" t="s">
        <v>166</v>
      </c>
    </row>
    <row r="25" spans="1:36" ht="13">
      <c r="A25" s="113">
        <v>1</v>
      </c>
      <c r="B25" s="56" t="s">
        <v>185</v>
      </c>
      <c r="C25" s="100">
        <v>2.59</v>
      </c>
      <c r="D25" s="100"/>
      <c r="E25" s="61">
        <f>$C25*$C$4*$D$4</f>
        <v>0</v>
      </c>
      <c r="F25" s="61">
        <f>$C25*$C$5*$D$5</f>
        <v>56941.926999999996</v>
      </c>
      <c r="G25" s="61">
        <f>$C25*$C$6*$D$6</f>
        <v>0</v>
      </c>
      <c r="H25" s="61">
        <f>$C25*$C$7*$D$7</f>
        <v>0</v>
      </c>
      <c r="I25" s="61">
        <f>$C25*$C$8*$D$8</f>
        <v>3655.9963699000009</v>
      </c>
      <c r="J25" s="61">
        <f>$C25*$C$9*$D$9</f>
        <v>7970.0720863820025</v>
      </c>
      <c r="K25" s="61">
        <f>$C25*$C$10*$D$10</f>
        <v>8687.3785741563825</v>
      </c>
      <c r="L25" s="61">
        <f>$C25*$C$11*$D$11</f>
        <v>0</v>
      </c>
      <c r="M25" s="61">
        <f t="shared" ref="M25:M54" si="13">$C25*$C$12*$D$12</f>
        <v>0</v>
      </c>
      <c r="N25" s="61">
        <f>$C25*$C$13*$D$13</f>
        <v>0</v>
      </c>
      <c r="O25" s="61">
        <f>$C25*$C$14*$D$14</f>
        <v>0</v>
      </c>
      <c r="P25" s="61">
        <f>$C25*$C$15*$D$15</f>
        <v>0</v>
      </c>
      <c r="Q25" s="61">
        <f>SUM(E25:P25)</f>
        <v>77255.374030438368</v>
      </c>
      <c r="R25" s="100">
        <f>IF(Q25=0,0,(Q25/($C$2)))</f>
        <v>3.0693434259212702</v>
      </c>
      <c r="S25" s="114"/>
      <c r="T25" s="73">
        <v>0.9</v>
      </c>
      <c r="U25" s="61">
        <f>$T25*$G$4*$H$4</f>
        <v>0</v>
      </c>
      <c r="V25" s="61">
        <f>$T25*$G$5*$H$5</f>
        <v>18697.59</v>
      </c>
      <c r="W25" s="61">
        <f>$T25*$G$6*$H$6</f>
        <v>0</v>
      </c>
      <c r="X25" s="61">
        <f>$T25*$G$7*$H$7</f>
        <v>0</v>
      </c>
      <c r="Y25" s="61">
        <f>$T25*$G$8*$H$8</f>
        <v>1012.9579290000001</v>
      </c>
      <c r="Z25" s="61">
        <f>$T25*$G$9*$H$9</f>
        <v>2086.6933337400001</v>
      </c>
      <c r="AA25" s="61">
        <f>$T25*$G$10*$H$10</f>
        <v>2149.2941337522002</v>
      </c>
      <c r="AB25" s="61">
        <f>$T25*$G$11*$H$11</f>
        <v>0</v>
      </c>
      <c r="AC25" s="61">
        <f>$T25*$G$12*$H$12</f>
        <v>0</v>
      </c>
      <c r="AD25" s="61">
        <f>$T25*$G$13*$H$13</f>
        <v>0</v>
      </c>
      <c r="AE25" s="61">
        <f>$T25*$G$14*$H$14</f>
        <v>0</v>
      </c>
      <c r="AF25" s="61">
        <f>$T25*$G$15*$H$15</f>
        <v>0</v>
      </c>
      <c r="AG25" s="122">
        <f>SUM(U25:AF25)</f>
        <v>23946.5353964922</v>
      </c>
      <c r="AH25" s="100">
        <f>IF(AG25=0,0,(AG25/($C$2)))</f>
        <v>0.95139195059563764</v>
      </c>
      <c r="AJ25" s="104">
        <f>R25+AH25</f>
        <v>4.0207353765169076</v>
      </c>
    </row>
    <row r="26" spans="1:36" ht="13">
      <c r="A26" s="113">
        <v>2</v>
      </c>
      <c r="B26" s="102" t="s">
        <v>50</v>
      </c>
      <c r="C26" s="100">
        <v>3.48</v>
      </c>
      <c r="D26" s="100"/>
      <c r="E26" s="61">
        <f t="shared" ref="E26:E54" si="14">$C26*$C$4*$D$4</f>
        <v>0</v>
      </c>
      <c r="F26" s="61">
        <f t="shared" ref="F26:F54" si="15">$C26*$C$5*$D$5</f>
        <v>76508.844000000012</v>
      </c>
      <c r="G26" s="61">
        <f t="shared" ref="G26:G54" si="16">$C26*$C$6*$D$6</f>
        <v>0</v>
      </c>
      <c r="H26" s="61">
        <f t="shared" ref="H26:H54" si="17">$C26*$C$7*$D$7</f>
        <v>0</v>
      </c>
      <c r="I26" s="61">
        <f t="shared" ref="I26:I54" si="18">$C26*$C$8*$D$8</f>
        <v>4912.3040028000005</v>
      </c>
      <c r="J26" s="61">
        <f t="shared" ref="J26:J54" si="19">$C26*$C$9*$D$9</f>
        <v>10708.822726104003</v>
      </c>
      <c r="K26" s="61">
        <f t="shared" ref="K26:K54" si="20">$C26*$C$10*$D$10</f>
        <v>11672.616771453364</v>
      </c>
      <c r="L26" s="61">
        <f t="shared" ref="L26:L54" si="21">$C26*$C$11*$D$11</f>
        <v>0</v>
      </c>
      <c r="M26" s="61">
        <f t="shared" si="13"/>
        <v>0</v>
      </c>
      <c r="N26" s="61">
        <f t="shared" ref="N26:N54" si="22">$C26*$C$13*$D$13</f>
        <v>0</v>
      </c>
      <c r="O26" s="61">
        <f t="shared" ref="O26:O54" si="23">$C26*$C$14*$D$14</f>
        <v>0</v>
      </c>
      <c r="P26" s="61">
        <f t="shared" ref="P26:P54" si="24">$C26*$C$15*$D$15</f>
        <v>0</v>
      </c>
      <c r="Q26" s="61">
        <f t="shared" ref="Q26:Q54" si="25">SUM(E26:P26)</f>
        <v>103802.58750035737</v>
      </c>
      <c r="R26" s="100">
        <f t="shared" ref="R26:R54" si="26">IF(Q26=0,0,(Q26/($C$2)))</f>
        <v>4.124059892743638</v>
      </c>
      <c r="S26" s="114"/>
      <c r="T26" s="73">
        <v>0.98</v>
      </c>
      <c r="U26" s="61">
        <f t="shared" ref="U26:U54" si="27">$T26*$G$4*$H$4</f>
        <v>0</v>
      </c>
      <c r="V26" s="61">
        <f t="shared" ref="V26:V54" si="28">$T26*$G$5*$H$5</f>
        <v>20359.597999999998</v>
      </c>
      <c r="W26" s="61">
        <f t="shared" ref="W26:W54" si="29">$T26*$G$6*$H$6</f>
        <v>0</v>
      </c>
      <c r="X26" s="61">
        <f t="shared" ref="X26:X54" si="30">$T26*$G$7*$H$7</f>
        <v>0</v>
      </c>
      <c r="Y26" s="61">
        <f t="shared" ref="Y26:Y54" si="31">$T26*$G$8*$H$8</f>
        <v>1102.9986338000001</v>
      </c>
      <c r="Z26" s="61">
        <f t="shared" ref="Z26:Z54" si="32">$T26*$G$9*$H$9</f>
        <v>2272.1771856280002</v>
      </c>
      <c r="AA26" s="61">
        <f t="shared" ref="AA26:AA54" si="33">$T26*$G$10*$H$10</f>
        <v>2340.3425011968402</v>
      </c>
      <c r="AB26" s="61">
        <f t="shared" ref="AB26:AB54" si="34">$T26*$G$11*$H$11</f>
        <v>0</v>
      </c>
      <c r="AC26" s="61">
        <f t="shared" ref="AC26:AC54" si="35">$T26*$G$12*$H$12</f>
        <v>0</v>
      </c>
      <c r="AD26" s="61">
        <f t="shared" ref="AD26:AD54" si="36">$T26*$G$13*$H$13</f>
        <v>0</v>
      </c>
      <c r="AE26" s="61">
        <f t="shared" ref="AE26:AE54" si="37">$T26*$G$14*$H$14</f>
        <v>0</v>
      </c>
      <c r="AF26" s="61">
        <f t="shared" ref="AF26:AF54" si="38">$T26*$G$15*$H$15</f>
        <v>0</v>
      </c>
      <c r="AG26" s="122">
        <f t="shared" ref="AG26:AG54" si="39">SUM(U26:AF26)</f>
        <v>26075.116320624838</v>
      </c>
      <c r="AH26" s="100">
        <f t="shared" ref="AH26:AH54" si="40">IF(AG26=0,0,(AG26/($C$2)))</f>
        <v>1.0359601239819165</v>
      </c>
      <c r="AJ26" s="104">
        <f t="shared" ref="AJ26:AJ54" si="41">R26+AH26</f>
        <v>5.1600200167255545</v>
      </c>
    </row>
    <row r="27" spans="1:36" ht="13">
      <c r="A27" s="113">
        <v>3</v>
      </c>
      <c r="B27" s="102" t="s">
        <v>141</v>
      </c>
      <c r="C27" s="100">
        <v>10.02</v>
      </c>
      <c r="D27" s="100"/>
      <c r="E27" s="61">
        <f t="shared" si="14"/>
        <v>0</v>
      </c>
      <c r="F27" s="61">
        <f t="shared" si="15"/>
        <v>220292.70600000001</v>
      </c>
      <c r="G27" s="61">
        <f t="shared" si="16"/>
        <v>0</v>
      </c>
      <c r="H27" s="61">
        <f t="shared" si="17"/>
        <v>0</v>
      </c>
      <c r="I27" s="61">
        <f t="shared" si="18"/>
        <v>14144.047732200002</v>
      </c>
      <c r="J27" s="61">
        <f t="shared" si="19"/>
        <v>30834.024056196009</v>
      </c>
      <c r="K27" s="61">
        <f t="shared" si="20"/>
        <v>33609.086221253652</v>
      </c>
      <c r="L27" s="61">
        <f t="shared" si="21"/>
        <v>0</v>
      </c>
      <c r="M27" s="61">
        <f t="shared" si="13"/>
        <v>0</v>
      </c>
      <c r="N27" s="61">
        <f t="shared" si="22"/>
        <v>0</v>
      </c>
      <c r="O27" s="61">
        <f t="shared" si="23"/>
        <v>0</v>
      </c>
      <c r="P27" s="61">
        <f t="shared" si="24"/>
        <v>0</v>
      </c>
      <c r="Q27" s="61">
        <f t="shared" si="25"/>
        <v>298879.86400964967</v>
      </c>
      <c r="R27" s="100">
        <f t="shared" si="26"/>
        <v>11.874448311865303</v>
      </c>
      <c r="S27" s="114"/>
      <c r="T27" s="73">
        <v>2.96</v>
      </c>
      <c r="U27" s="61">
        <f t="shared" si="27"/>
        <v>0</v>
      </c>
      <c r="V27" s="61">
        <f t="shared" si="28"/>
        <v>61494.296000000002</v>
      </c>
      <c r="W27" s="61">
        <f t="shared" si="29"/>
        <v>0</v>
      </c>
      <c r="X27" s="61">
        <f t="shared" si="30"/>
        <v>0</v>
      </c>
      <c r="Y27" s="61">
        <f t="shared" si="31"/>
        <v>3331.5060776000005</v>
      </c>
      <c r="Z27" s="61">
        <f t="shared" si="32"/>
        <v>6862.9025198560003</v>
      </c>
      <c r="AA27" s="61">
        <f t="shared" si="33"/>
        <v>7068.7895954516807</v>
      </c>
      <c r="AB27" s="61">
        <f t="shared" si="34"/>
        <v>0</v>
      </c>
      <c r="AC27" s="61">
        <f t="shared" si="35"/>
        <v>0</v>
      </c>
      <c r="AD27" s="61">
        <f t="shared" si="36"/>
        <v>0</v>
      </c>
      <c r="AE27" s="61">
        <f t="shared" si="37"/>
        <v>0</v>
      </c>
      <c r="AF27" s="61">
        <f t="shared" si="38"/>
        <v>0</v>
      </c>
      <c r="AG27" s="122">
        <f t="shared" si="39"/>
        <v>78757.494192907689</v>
      </c>
      <c r="AH27" s="100">
        <f t="shared" si="40"/>
        <v>3.1290224152923196</v>
      </c>
      <c r="AJ27" s="104">
        <f t="shared" si="41"/>
        <v>15.003470727157623</v>
      </c>
    </row>
    <row r="28" spans="1:36" ht="13">
      <c r="A28" s="113">
        <v>4</v>
      </c>
      <c r="B28" s="102" t="s">
        <v>21</v>
      </c>
      <c r="C28" s="100">
        <v>1.71</v>
      </c>
      <c r="D28" s="100"/>
      <c r="E28" s="61">
        <f t="shared" si="14"/>
        <v>0</v>
      </c>
      <c r="F28" s="61">
        <f t="shared" si="15"/>
        <v>37594.862999999998</v>
      </c>
      <c r="G28" s="61">
        <f t="shared" si="16"/>
        <v>0</v>
      </c>
      <c r="H28" s="61">
        <f t="shared" si="17"/>
        <v>0</v>
      </c>
      <c r="I28" s="61">
        <f t="shared" si="18"/>
        <v>2413.8045531000002</v>
      </c>
      <c r="J28" s="61">
        <f t="shared" si="19"/>
        <v>5262.0939257580012</v>
      </c>
      <c r="K28" s="61">
        <f t="shared" si="20"/>
        <v>5735.6823790762219</v>
      </c>
      <c r="L28" s="61">
        <f t="shared" si="21"/>
        <v>0</v>
      </c>
      <c r="M28" s="61">
        <f t="shared" si="13"/>
        <v>0</v>
      </c>
      <c r="N28" s="61">
        <f t="shared" si="22"/>
        <v>0</v>
      </c>
      <c r="O28" s="61">
        <f t="shared" si="23"/>
        <v>0</v>
      </c>
      <c r="P28" s="61">
        <f t="shared" si="24"/>
        <v>0</v>
      </c>
      <c r="Q28" s="61">
        <f t="shared" si="25"/>
        <v>51006.443857934224</v>
      </c>
      <c r="R28" s="100">
        <f t="shared" si="26"/>
        <v>2.0264777059171326</v>
      </c>
      <c r="S28" s="114"/>
      <c r="T28" s="73">
        <v>2.38</v>
      </c>
      <c r="U28" s="61">
        <f t="shared" si="27"/>
        <v>0</v>
      </c>
      <c r="V28" s="61">
        <f t="shared" si="28"/>
        <v>49444.737999999998</v>
      </c>
      <c r="W28" s="61">
        <f t="shared" si="29"/>
        <v>0</v>
      </c>
      <c r="X28" s="61">
        <f t="shared" si="30"/>
        <v>0</v>
      </c>
      <c r="Y28" s="61">
        <f t="shared" si="31"/>
        <v>2678.7109678000002</v>
      </c>
      <c r="Z28" s="61">
        <f t="shared" si="32"/>
        <v>5518.1445936680002</v>
      </c>
      <c r="AA28" s="61">
        <f t="shared" si="33"/>
        <v>5683.688931478041</v>
      </c>
      <c r="AB28" s="61">
        <f t="shared" si="34"/>
        <v>0</v>
      </c>
      <c r="AC28" s="61">
        <f t="shared" si="35"/>
        <v>0</v>
      </c>
      <c r="AD28" s="61">
        <f t="shared" si="36"/>
        <v>0</v>
      </c>
      <c r="AE28" s="61">
        <f t="shared" si="37"/>
        <v>0</v>
      </c>
      <c r="AF28" s="61">
        <f t="shared" si="38"/>
        <v>0</v>
      </c>
      <c r="AG28" s="122">
        <f t="shared" si="39"/>
        <v>63325.28249294604</v>
      </c>
      <c r="AH28" s="100">
        <f t="shared" si="40"/>
        <v>2.5159031582417972</v>
      </c>
      <c r="AJ28" s="104">
        <f t="shared" si="41"/>
        <v>4.5423808641589298</v>
      </c>
    </row>
    <row r="29" spans="1:36" ht="13">
      <c r="A29" s="113">
        <v>5</v>
      </c>
      <c r="B29" s="102" t="s">
        <v>176</v>
      </c>
      <c r="C29" s="100">
        <v>0</v>
      </c>
      <c r="D29" s="100"/>
      <c r="E29" s="61">
        <f t="shared" si="14"/>
        <v>0</v>
      </c>
      <c r="F29" s="61">
        <f t="shared" si="15"/>
        <v>0</v>
      </c>
      <c r="G29" s="61">
        <f t="shared" si="16"/>
        <v>0</v>
      </c>
      <c r="H29" s="61">
        <f t="shared" si="17"/>
        <v>0</v>
      </c>
      <c r="I29" s="61">
        <f t="shared" si="18"/>
        <v>0</v>
      </c>
      <c r="J29" s="61">
        <f t="shared" si="19"/>
        <v>0</v>
      </c>
      <c r="K29" s="61">
        <f t="shared" si="20"/>
        <v>0</v>
      </c>
      <c r="L29" s="61">
        <f t="shared" si="21"/>
        <v>0</v>
      </c>
      <c r="M29" s="61">
        <f t="shared" si="13"/>
        <v>0</v>
      </c>
      <c r="N29" s="61">
        <f t="shared" si="22"/>
        <v>0</v>
      </c>
      <c r="O29" s="61">
        <f t="shared" si="23"/>
        <v>0</v>
      </c>
      <c r="P29" s="61">
        <f t="shared" si="24"/>
        <v>0</v>
      </c>
      <c r="Q29" s="61">
        <f t="shared" si="25"/>
        <v>0</v>
      </c>
      <c r="R29" s="100">
        <f t="shared" si="26"/>
        <v>0</v>
      </c>
      <c r="S29" s="114"/>
      <c r="T29" s="73">
        <v>0</v>
      </c>
      <c r="U29" s="61">
        <f t="shared" si="27"/>
        <v>0</v>
      </c>
      <c r="V29" s="61">
        <f t="shared" si="28"/>
        <v>0</v>
      </c>
      <c r="W29" s="61">
        <f t="shared" si="29"/>
        <v>0</v>
      </c>
      <c r="X29" s="61">
        <f t="shared" si="30"/>
        <v>0</v>
      </c>
      <c r="Y29" s="61">
        <f t="shared" si="31"/>
        <v>0</v>
      </c>
      <c r="Z29" s="61">
        <f t="shared" si="32"/>
        <v>0</v>
      </c>
      <c r="AA29" s="61">
        <f t="shared" si="33"/>
        <v>0</v>
      </c>
      <c r="AB29" s="61">
        <f t="shared" si="34"/>
        <v>0</v>
      </c>
      <c r="AC29" s="61">
        <f t="shared" si="35"/>
        <v>0</v>
      </c>
      <c r="AD29" s="61">
        <f t="shared" si="36"/>
        <v>0</v>
      </c>
      <c r="AE29" s="61">
        <f t="shared" si="37"/>
        <v>0</v>
      </c>
      <c r="AF29" s="61">
        <f t="shared" si="38"/>
        <v>0</v>
      </c>
      <c r="AG29" s="122">
        <f t="shared" si="39"/>
        <v>0</v>
      </c>
      <c r="AH29" s="100">
        <f t="shared" si="40"/>
        <v>0</v>
      </c>
      <c r="AJ29" s="104">
        <f t="shared" si="41"/>
        <v>0</v>
      </c>
    </row>
    <row r="30" spans="1:36" ht="13">
      <c r="A30" s="113">
        <v>6</v>
      </c>
      <c r="B30" s="102" t="s">
        <v>142</v>
      </c>
      <c r="C30" s="100">
        <v>0</v>
      </c>
      <c r="D30" s="100"/>
      <c r="E30" s="61">
        <f t="shared" si="14"/>
        <v>0</v>
      </c>
      <c r="F30" s="61">
        <f t="shared" si="15"/>
        <v>0</v>
      </c>
      <c r="G30" s="61">
        <f t="shared" si="16"/>
        <v>0</v>
      </c>
      <c r="H30" s="61">
        <f t="shared" si="17"/>
        <v>0</v>
      </c>
      <c r="I30" s="61">
        <f t="shared" si="18"/>
        <v>0</v>
      </c>
      <c r="J30" s="61">
        <f t="shared" si="19"/>
        <v>0</v>
      </c>
      <c r="K30" s="61">
        <f t="shared" si="20"/>
        <v>0</v>
      </c>
      <c r="L30" s="61">
        <f t="shared" si="21"/>
        <v>0</v>
      </c>
      <c r="M30" s="61">
        <f t="shared" si="13"/>
        <v>0</v>
      </c>
      <c r="N30" s="61">
        <f t="shared" si="22"/>
        <v>0</v>
      </c>
      <c r="O30" s="61">
        <f t="shared" si="23"/>
        <v>0</v>
      </c>
      <c r="P30" s="61">
        <f t="shared" si="24"/>
        <v>0</v>
      </c>
      <c r="Q30" s="61">
        <f t="shared" si="25"/>
        <v>0</v>
      </c>
      <c r="R30" s="100">
        <f t="shared" si="26"/>
        <v>0</v>
      </c>
      <c r="S30" s="114"/>
      <c r="T30" s="73">
        <v>0</v>
      </c>
      <c r="U30" s="61">
        <f t="shared" si="27"/>
        <v>0</v>
      </c>
      <c r="V30" s="61">
        <f t="shared" si="28"/>
        <v>0</v>
      </c>
      <c r="W30" s="61">
        <f t="shared" si="29"/>
        <v>0</v>
      </c>
      <c r="X30" s="61">
        <f t="shared" si="30"/>
        <v>0</v>
      </c>
      <c r="Y30" s="61">
        <f t="shared" si="31"/>
        <v>0</v>
      </c>
      <c r="Z30" s="61">
        <f t="shared" si="32"/>
        <v>0</v>
      </c>
      <c r="AA30" s="61">
        <f t="shared" si="33"/>
        <v>0</v>
      </c>
      <c r="AB30" s="61">
        <f t="shared" si="34"/>
        <v>0</v>
      </c>
      <c r="AC30" s="61">
        <f t="shared" si="35"/>
        <v>0</v>
      </c>
      <c r="AD30" s="61">
        <f t="shared" si="36"/>
        <v>0</v>
      </c>
      <c r="AE30" s="61">
        <f t="shared" si="37"/>
        <v>0</v>
      </c>
      <c r="AF30" s="61">
        <f t="shared" si="38"/>
        <v>0</v>
      </c>
      <c r="AG30" s="122">
        <f t="shared" si="39"/>
        <v>0</v>
      </c>
      <c r="AH30" s="100">
        <f t="shared" si="40"/>
        <v>0</v>
      </c>
      <c r="AJ30" s="104">
        <f t="shared" si="41"/>
        <v>0</v>
      </c>
    </row>
    <row r="31" spans="1:36" ht="13">
      <c r="A31" s="113">
        <v>7</v>
      </c>
      <c r="B31" s="102" t="s">
        <v>143</v>
      </c>
      <c r="C31" s="100">
        <v>2.41</v>
      </c>
      <c r="D31" s="100"/>
      <c r="E31" s="61">
        <f t="shared" si="14"/>
        <v>0</v>
      </c>
      <c r="F31" s="61">
        <f t="shared" si="15"/>
        <v>52984.573000000011</v>
      </c>
      <c r="G31" s="61">
        <f t="shared" si="16"/>
        <v>0</v>
      </c>
      <c r="H31" s="61">
        <f t="shared" si="17"/>
        <v>0</v>
      </c>
      <c r="I31" s="61">
        <f t="shared" si="18"/>
        <v>3401.9116801000005</v>
      </c>
      <c r="J31" s="61">
        <f t="shared" si="19"/>
        <v>7416.167462618002</v>
      </c>
      <c r="K31" s="61">
        <f t="shared" si="20"/>
        <v>8083.6225342536227</v>
      </c>
      <c r="L31" s="61">
        <f t="shared" si="21"/>
        <v>0</v>
      </c>
      <c r="M31" s="61">
        <f t="shared" si="13"/>
        <v>0</v>
      </c>
      <c r="N31" s="61">
        <f t="shared" si="22"/>
        <v>0</v>
      </c>
      <c r="O31" s="61">
        <f t="shared" si="23"/>
        <v>0</v>
      </c>
      <c r="P31" s="61">
        <f t="shared" si="24"/>
        <v>0</v>
      </c>
      <c r="Q31" s="61">
        <f t="shared" si="25"/>
        <v>71886.274676971632</v>
      </c>
      <c r="R31" s="100">
        <f t="shared" si="26"/>
        <v>2.8560299831931517</v>
      </c>
      <c r="S31" s="114"/>
      <c r="T31" s="73">
        <v>3.64</v>
      </c>
      <c r="U31" s="61">
        <f t="shared" si="27"/>
        <v>0</v>
      </c>
      <c r="V31" s="61">
        <f t="shared" si="28"/>
        <v>75621.364000000001</v>
      </c>
      <c r="W31" s="61">
        <f t="shared" si="29"/>
        <v>0</v>
      </c>
      <c r="X31" s="61">
        <f t="shared" si="30"/>
        <v>0</v>
      </c>
      <c r="Y31" s="61">
        <f t="shared" si="31"/>
        <v>4096.8520684000005</v>
      </c>
      <c r="Z31" s="61">
        <f t="shared" si="32"/>
        <v>8439.5152609039997</v>
      </c>
      <c r="AA31" s="61">
        <f t="shared" si="33"/>
        <v>8692.700718731121</v>
      </c>
      <c r="AB31" s="61">
        <f t="shared" si="34"/>
        <v>0</v>
      </c>
      <c r="AC31" s="61">
        <f t="shared" si="35"/>
        <v>0</v>
      </c>
      <c r="AD31" s="61">
        <f t="shared" si="36"/>
        <v>0</v>
      </c>
      <c r="AE31" s="61">
        <f t="shared" si="37"/>
        <v>0</v>
      </c>
      <c r="AF31" s="61">
        <f t="shared" si="38"/>
        <v>0</v>
      </c>
      <c r="AG31" s="122">
        <f t="shared" si="39"/>
        <v>96850.432048035116</v>
      </c>
      <c r="AH31" s="100">
        <f t="shared" si="40"/>
        <v>3.8478518890756899</v>
      </c>
      <c r="AJ31" s="104">
        <f t="shared" si="41"/>
        <v>6.7038818722688411</v>
      </c>
    </row>
    <row r="32" spans="1:36" ht="13">
      <c r="A32" s="113">
        <v>8</v>
      </c>
      <c r="B32" s="102" t="s">
        <v>144</v>
      </c>
      <c r="C32" s="100">
        <v>1.82</v>
      </c>
      <c r="D32" s="100"/>
      <c r="E32" s="61">
        <f t="shared" si="14"/>
        <v>0</v>
      </c>
      <c r="F32" s="61">
        <f t="shared" si="15"/>
        <v>40013.246000000006</v>
      </c>
      <c r="G32" s="61">
        <f t="shared" si="16"/>
        <v>0</v>
      </c>
      <c r="H32" s="61">
        <f t="shared" si="17"/>
        <v>0</v>
      </c>
      <c r="I32" s="61">
        <f t="shared" si="18"/>
        <v>2569.0785302000004</v>
      </c>
      <c r="J32" s="61">
        <f t="shared" si="19"/>
        <v>5600.591195836002</v>
      </c>
      <c r="K32" s="61">
        <f t="shared" si="20"/>
        <v>6104.6444034612423</v>
      </c>
      <c r="L32" s="61">
        <f t="shared" si="21"/>
        <v>0</v>
      </c>
      <c r="M32" s="61">
        <f t="shared" si="13"/>
        <v>0</v>
      </c>
      <c r="N32" s="61">
        <f t="shared" si="22"/>
        <v>0</v>
      </c>
      <c r="O32" s="61">
        <f t="shared" si="23"/>
        <v>0</v>
      </c>
      <c r="P32" s="61">
        <f t="shared" si="24"/>
        <v>0</v>
      </c>
      <c r="Q32" s="61">
        <f t="shared" si="25"/>
        <v>54287.560129497251</v>
      </c>
      <c r="R32" s="100">
        <f t="shared" si="26"/>
        <v>2.1568359209176502</v>
      </c>
      <c r="S32" s="114"/>
      <c r="T32" s="73">
        <v>2.93</v>
      </c>
      <c r="U32" s="61">
        <f t="shared" si="27"/>
        <v>0</v>
      </c>
      <c r="V32" s="61">
        <f t="shared" si="28"/>
        <v>60871.043000000005</v>
      </c>
      <c r="W32" s="61">
        <f t="shared" si="29"/>
        <v>0</v>
      </c>
      <c r="X32" s="61">
        <f t="shared" si="30"/>
        <v>0</v>
      </c>
      <c r="Y32" s="61">
        <f t="shared" si="31"/>
        <v>3297.7408133000004</v>
      </c>
      <c r="Z32" s="61">
        <f t="shared" si="32"/>
        <v>6793.3460753980007</v>
      </c>
      <c r="AA32" s="61">
        <f t="shared" si="33"/>
        <v>6997.146457659941</v>
      </c>
      <c r="AB32" s="61">
        <f t="shared" si="34"/>
        <v>0</v>
      </c>
      <c r="AC32" s="61">
        <f t="shared" si="35"/>
        <v>0</v>
      </c>
      <c r="AD32" s="61">
        <f t="shared" si="36"/>
        <v>0</v>
      </c>
      <c r="AE32" s="61">
        <f t="shared" si="37"/>
        <v>0</v>
      </c>
      <c r="AF32" s="61">
        <f t="shared" si="38"/>
        <v>0</v>
      </c>
      <c r="AG32" s="122">
        <f t="shared" si="39"/>
        <v>77959.276346357947</v>
      </c>
      <c r="AH32" s="100">
        <f t="shared" si="40"/>
        <v>3.0973093502724649</v>
      </c>
      <c r="AJ32" s="104">
        <f t="shared" si="41"/>
        <v>5.2541452711901151</v>
      </c>
    </row>
    <row r="33" spans="1:37" ht="13">
      <c r="A33" s="113">
        <v>9</v>
      </c>
      <c r="B33" s="102" t="s">
        <v>145</v>
      </c>
      <c r="C33" s="100">
        <v>0</v>
      </c>
      <c r="D33" s="100"/>
      <c r="E33" s="61">
        <f t="shared" si="14"/>
        <v>0</v>
      </c>
      <c r="F33" s="61">
        <f t="shared" si="15"/>
        <v>0</v>
      </c>
      <c r="G33" s="61">
        <f t="shared" si="16"/>
        <v>0</v>
      </c>
      <c r="H33" s="61">
        <f t="shared" si="17"/>
        <v>0</v>
      </c>
      <c r="I33" s="61">
        <f t="shared" si="18"/>
        <v>0</v>
      </c>
      <c r="J33" s="61">
        <f t="shared" si="19"/>
        <v>0</v>
      </c>
      <c r="K33" s="61">
        <f t="shared" si="20"/>
        <v>0</v>
      </c>
      <c r="L33" s="61">
        <f t="shared" si="21"/>
        <v>0</v>
      </c>
      <c r="M33" s="61">
        <f t="shared" si="13"/>
        <v>0</v>
      </c>
      <c r="N33" s="61">
        <f t="shared" si="22"/>
        <v>0</v>
      </c>
      <c r="O33" s="61">
        <f t="shared" si="23"/>
        <v>0</v>
      </c>
      <c r="P33" s="61">
        <f t="shared" si="24"/>
        <v>0</v>
      </c>
      <c r="Q33" s="61">
        <f t="shared" si="25"/>
        <v>0</v>
      </c>
      <c r="R33" s="100">
        <f t="shared" si="26"/>
        <v>0</v>
      </c>
      <c r="S33" s="114"/>
      <c r="T33" s="73">
        <v>0</v>
      </c>
      <c r="U33" s="61">
        <f t="shared" si="27"/>
        <v>0</v>
      </c>
      <c r="V33" s="61">
        <f t="shared" si="28"/>
        <v>0</v>
      </c>
      <c r="W33" s="61">
        <f t="shared" si="29"/>
        <v>0</v>
      </c>
      <c r="X33" s="61">
        <f t="shared" si="30"/>
        <v>0</v>
      </c>
      <c r="Y33" s="61">
        <f t="shared" si="31"/>
        <v>0</v>
      </c>
      <c r="Z33" s="61">
        <f t="shared" si="32"/>
        <v>0</v>
      </c>
      <c r="AA33" s="61">
        <f t="shared" si="33"/>
        <v>0</v>
      </c>
      <c r="AB33" s="61">
        <f t="shared" si="34"/>
        <v>0</v>
      </c>
      <c r="AC33" s="61">
        <f t="shared" si="35"/>
        <v>0</v>
      </c>
      <c r="AD33" s="61">
        <f t="shared" si="36"/>
        <v>0</v>
      </c>
      <c r="AE33" s="61">
        <f t="shared" si="37"/>
        <v>0</v>
      </c>
      <c r="AF33" s="61">
        <f t="shared" si="38"/>
        <v>0</v>
      </c>
      <c r="AG33" s="122">
        <f t="shared" si="39"/>
        <v>0</v>
      </c>
      <c r="AH33" s="100">
        <f t="shared" si="40"/>
        <v>0</v>
      </c>
      <c r="AJ33" s="104">
        <f t="shared" si="41"/>
        <v>0</v>
      </c>
    </row>
    <row r="34" spans="1:37" s="142" customFormat="1" ht="13">
      <c r="A34" s="135">
        <v>10</v>
      </c>
      <c r="B34" s="136" t="s">
        <v>177</v>
      </c>
      <c r="C34" s="137">
        <v>1.65</v>
      </c>
      <c r="D34" s="137"/>
      <c r="E34" s="138">
        <f t="shared" si="14"/>
        <v>0</v>
      </c>
      <c r="F34" s="138">
        <f t="shared" si="15"/>
        <v>36275.745000000003</v>
      </c>
      <c r="G34" s="138">
        <f t="shared" si="16"/>
        <v>0</v>
      </c>
      <c r="H34" s="138">
        <f t="shared" si="17"/>
        <v>0</v>
      </c>
      <c r="I34" s="138">
        <f t="shared" si="18"/>
        <v>2329.1096565000003</v>
      </c>
      <c r="J34" s="138">
        <f t="shared" si="19"/>
        <v>5077.4590511700017</v>
      </c>
      <c r="K34" s="138">
        <f t="shared" si="20"/>
        <v>5534.4303657753017</v>
      </c>
      <c r="L34" s="138">
        <f t="shared" si="21"/>
        <v>0</v>
      </c>
      <c r="M34" s="138">
        <f t="shared" si="13"/>
        <v>0</v>
      </c>
      <c r="N34" s="138">
        <f t="shared" si="22"/>
        <v>0</v>
      </c>
      <c r="O34" s="138">
        <f t="shared" si="23"/>
        <v>0</v>
      </c>
      <c r="P34" s="138">
        <f t="shared" si="24"/>
        <v>0</v>
      </c>
      <c r="Q34" s="138">
        <f t="shared" si="25"/>
        <v>49216.744073445305</v>
      </c>
      <c r="R34" s="137">
        <f t="shared" si="26"/>
        <v>1.9553732250077593</v>
      </c>
      <c r="S34" s="139"/>
      <c r="T34" s="140">
        <v>1.65</v>
      </c>
      <c r="U34" s="138">
        <f t="shared" si="27"/>
        <v>0</v>
      </c>
      <c r="V34" s="138">
        <f t="shared" si="28"/>
        <v>34278.915000000001</v>
      </c>
      <c r="W34" s="138">
        <f t="shared" si="29"/>
        <v>0</v>
      </c>
      <c r="X34" s="138">
        <f t="shared" si="30"/>
        <v>0</v>
      </c>
      <c r="Y34" s="138">
        <f t="shared" si="31"/>
        <v>1857.0895365000001</v>
      </c>
      <c r="Z34" s="138">
        <f t="shared" si="32"/>
        <v>3825.6044451900002</v>
      </c>
      <c r="AA34" s="138">
        <f t="shared" si="33"/>
        <v>3940.3725785457004</v>
      </c>
      <c r="AB34" s="138">
        <f t="shared" si="34"/>
        <v>0</v>
      </c>
      <c r="AC34" s="138">
        <f t="shared" si="35"/>
        <v>0</v>
      </c>
      <c r="AD34" s="138">
        <f t="shared" si="36"/>
        <v>0</v>
      </c>
      <c r="AE34" s="138">
        <f t="shared" si="37"/>
        <v>0</v>
      </c>
      <c r="AF34" s="138">
        <f t="shared" si="38"/>
        <v>0</v>
      </c>
      <c r="AG34" s="141">
        <f t="shared" si="39"/>
        <v>43901.981560235705</v>
      </c>
      <c r="AH34" s="137">
        <f t="shared" si="40"/>
        <v>1.7442185760920026</v>
      </c>
      <c r="AJ34" s="143">
        <f t="shared" si="41"/>
        <v>3.6995918010997619</v>
      </c>
    </row>
    <row r="35" spans="1:37" s="142" customFormat="1" ht="13">
      <c r="A35" s="135">
        <v>11</v>
      </c>
      <c r="B35" s="136" t="s">
        <v>178</v>
      </c>
      <c r="C35" s="137"/>
      <c r="D35" s="137"/>
      <c r="E35" s="138">
        <f t="shared" si="14"/>
        <v>0</v>
      </c>
      <c r="F35" s="138">
        <f t="shared" si="15"/>
        <v>0</v>
      </c>
      <c r="G35" s="138">
        <f t="shared" si="16"/>
        <v>0</v>
      </c>
      <c r="H35" s="138">
        <f t="shared" si="17"/>
        <v>0</v>
      </c>
      <c r="I35" s="138">
        <f t="shared" si="18"/>
        <v>0</v>
      </c>
      <c r="J35" s="138">
        <f t="shared" si="19"/>
        <v>0</v>
      </c>
      <c r="K35" s="138">
        <f t="shared" si="20"/>
        <v>0</v>
      </c>
      <c r="L35" s="138">
        <f t="shared" si="21"/>
        <v>0</v>
      </c>
      <c r="M35" s="138">
        <f t="shared" si="13"/>
        <v>0</v>
      </c>
      <c r="N35" s="138">
        <f t="shared" si="22"/>
        <v>0</v>
      </c>
      <c r="O35" s="138">
        <f t="shared" si="23"/>
        <v>0</v>
      </c>
      <c r="P35" s="138">
        <f t="shared" si="24"/>
        <v>0</v>
      </c>
      <c r="Q35" s="138">
        <f t="shared" si="25"/>
        <v>0</v>
      </c>
      <c r="R35" s="137">
        <f t="shared" si="26"/>
        <v>0</v>
      </c>
      <c r="S35" s="139"/>
      <c r="T35" s="140">
        <v>0</v>
      </c>
      <c r="U35" s="138">
        <f t="shared" si="27"/>
        <v>0</v>
      </c>
      <c r="V35" s="138">
        <f t="shared" si="28"/>
        <v>0</v>
      </c>
      <c r="W35" s="138">
        <f t="shared" si="29"/>
        <v>0</v>
      </c>
      <c r="X35" s="138">
        <f t="shared" si="30"/>
        <v>0</v>
      </c>
      <c r="Y35" s="138">
        <f t="shared" si="31"/>
        <v>0</v>
      </c>
      <c r="Z35" s="138">
        <f t="shared" si="32"/>
        <v>0</v>
      </c>
      <c r="AA35" s="138">
        <f t="shared" si="33"/>
        <v>0</v>
      </c>
      <c r="AB35" s="138">
        <f t="shared" si="34"/>
        <v>0</v>
      </c>
      <c r="AC35" s="138">
        <f t="shared" si="35"/>
        <v>0</v>
      </c>
      <c r="AD35" s="138">
        <f t="shared" si="36"/>
        <v>0</v>
      </c>
      <c r="AE35" s="138">
        <f t="shared" si="37"/>
        <v>0</v>
      </c>
      <c r="AF35" s="138">
        <f t="shared" si="38"/>
        <v>0</v>
      </c>
      <c r="AG35" s="141">
        <f t="shared" si="39"/>
        <v>0</v>
      </c>
      <c r="AH35" s="137">
        <f t="shared" si="40"/>
        <v>0</v>
      </c>
      <c r="AJ35" s="143">
        <f t="shared" si="41"/>
        <v>0</v>
      </c>
    </row>
    <row r="36" spans="1:37" ht="13">
      <c r="A36" s="113">
        <v>12</v>
      </c>
      <c r="B36" s="102" t="s">
        <v>146</v>
      </c>
      <c r="C36" s="100">
        <v>1.5</v>
      </c>
      <c r="D36" s="100"/>
      <c r="E36" s="61">
        <f t="shared" si="14"/>
        <v>0</v>
      </c>
      <c r="F36" s="61">
        <f t="shared" si="15"/>
        <v>32977.950000000004</v>
      </c>
      <c r="G36" s="61">
        <f t="shared" si="16"/>
        <v>0</v>
      </c>
      <c r="H36" s="61">
        <f t="shared" si="17"/>
        <v>0</v>
      </c>
      <c r="I36" s="61">
        <f t="shared" si="18"/>
        <v>2117.3724150000003</v>
      </c>
      <c r="J36" s="61">
        <f t="shared" si="19"/>
        <v>4615.8718647000014</v>
      </c>
      <c r="K36" s="61">
        <f t="shared" si="20"/>
        <v>5031.300332523002</v>
      </c>
      <c r="L36" s="61">
        <f t="shared" si="21"/>
        <v>0</v>
      </c>
      <c r="M36" s="61">
        <f t="shared" si="13"/>
        <v>0</v>
      </c>
      <c r="N36" s="61">
        <f t="shared" si="22"/>
        <v>0</v>
      </c>
      <c r="O36" s="61">
        <f t="shared" si="23"/>
        <v>0</v>
      </c>
      <c r="P36" s="61">
        <f t="shared" si="24"/>
        <v>0</v>
      </c>
      <c r="Q36" s="61">
        <f t="shared" si="25"/>
        <v>44742.494612223003</v>
      </c>
      <c r="R36" s="100">
        <f t="shared" si="26"/>
        <v>1.7776120227343266</v>
      </c>
      <c r="S36" s="114"/>
      <c r="T36" s="73">
        <v>1.5</v>
      </c>
      <c r="U36" s="61">
        <f t="shared" si="27"/>
        <v>0</v>
      </c>
      <c r="V36" s="61">
        <f t="shared" si="28"/>
        <v>31162.65</v>
      </c>
      <c r="W36" s="61">
        <f t="shared" si="29"/>
        <v>0</v>
      </c>
      <c r="X36" s="61">
        <f t="shared" si="30"/>
        <v>0</v>
      </c>
      <c r="Y36" s="61">
        <f t="shared" si="31"/>
        <v>1688.2632150000002</v>
      </c>
      <c r="Z36" s="61">
        <f t="shared" si="32"/>
        <v>3477.8222229000003</v>
      </c>
      <c r="AA36" s="61">
        <f t="shared" si="33"/>
        <v>3582.1568895870005</v>
      </c>
      <c r="AB36" s="61">
        <f t="shared" si="34"/>
        <v>0</v>
      </c>
      <c r="AC36" s="61">
        <f t="shared" si="35"/>
        <v>0</v>
      </c>
      <c r="AD36" s="61">
        <f t="shared" si="36"/>
        <v>0</v>
      </c>
      <c r="AE36" s="61">
        <f t="shared" si="37"/>
        <v>0</v>
      </c>
      <c r="AF36" s="61">
        <f t="shared" si="38"/>
        <v>0</v>
      </c>
      <c r="AG36" s="122">
        <f t="shared" si="39"/>
        <v>39910.892327487003</v>
      </c>
      <c r="AH36" s="100">
        <f t="shared" si="40"/>
        <v>1.5856532509927295</v>
      </c>
      <c r="AJ36" s="104">
        <f t="shared" si="41"/>
        <v>3.3632652737270563</v>
      </c>
    </row>
    <row r="37" spans="1:37" ht="13">
      <c r="A37" s="113">
        <v>13</v>
      </c>
      <c r="B37" s="102" t="s">
        <v>147</v>
      </c>
      <c r="C37" s="100">
        <v>1.2</v>
      </c>
      <c r="D37" s="100"/>
      <c r="E37" s="61">
        <f t="shared" si="14"/>
        <v>0</v>
      </c>
      <c r="F37" s="61">
        <f t="shared" si="15"/>
        <v>26382.36</v>
      </c>
      <c r="G37" s="61">
        <f t="shared" si="16"/>
        <v>0</v>
      </c>
      <c r="H37" s="61">
        <f t="shared" si="17"/>
        <v>0</v>
      </c>
      <c r="I37" s="61">
        <f t="shared" si="18"/>
        <v>1693.8979320000003</v>
      </c>
      <c r="J37" s="61">
        <f t="shared" si="19"/>
        <v>3692.697491760001</v>
      </c>
      <c r="K37" s="61">
        <f t="shared" si="20"/>
        <v>4025.0402660184013</v>
      </c>
      <c r="L37" s="61">
        <f t="shared" si="21"/>
        <v>0</v>
      </c>
      <c r="M37" s="61">
        <f t="shared" si="13"/>
        <v>0</v>
      </c>
      <c r="N37" s="61">
        <f t="shared" si="22"/>
        <v>0</v>
      </c>
      <c r="O37" s="61">
        <f t="shared" si="23"/>
        <v>0</v>
      </c>
      <c r="P37" s="61">
        <f t="shared" si="24"/>
        <v>0</v>
      </c>
      <c r="Q37" s="61">
        <f t="shared" si="25"/>
        <v>35793.995689778407</v>
      </c>
      <c r="R37" s="100">
        <f t="shared" si="26"/>
        <v>1.4220896181874616</v>
      </c>
      <c r="S37" s="114"/>
      <c r="T37" s="73">
        <v>1.2</v>
      </c>
      <c r="U37" s="61">
        <f t="shared" si="27"/>
        <v>0</v>
      </c>
      <c r="V37" s="61">
        <f t="shared" si="28"/>
        <v>24930.12</v>
      </c>
      <c r="W37" s="61">
        <f t="shared" si="29"/>
        <v>0</v>
      </c>
      <c r="X37" s="61">
        <f t="shared" si="30"/>
        <v>0</v>
      </c>
      <c r="Y37" s="61">
        <f t="shared" si="31"/>
        <v>1350.6105720000003</v>
      </c>
      <c r="Z37" s="61">
        <f t="shared" si="32"/>
        <v>2782.2577783199999</v>
      </c>
      <c r="AA37" s="61">
        <f t="shared" si="33"/>
        <v>2865.7255116696001</v>
      </c>
      <c r="AB37" s="61">
        <f t="shared" si="34"/>
        <v>0</v>
      </c>
      <c r="AC37" s="61">
        <f t="shared" si="35"/>
        <v>0</v>
      </c>
      <c r="AD37" s="61">
        <f t="shared" si="36"/>
        <v>0</v>
      </c>
      <c r="AE37" s="61">
        <f t="shared" si="37"/>
        <v>0</v>
      </c>
      <c r="AF37" s="61">
        <f t="shared" si="38"/>
        <v>0</v>
      </c>
      <c r="AG37" s="122">
        <f t="shared" si="39"/>
        <v>31928.7138619896</v>
      </c>
      <c r="AH37" s="100">
        <f t="shared" si="40"/>
        <v>1.2685226007941834</v>
      </c>
      <c r="AJ37" s="104">
        <f t="shared" si="41"/>
        <v>2.690612218981645</v>
      </c>
    </row>
    <row r="38" spans="1:37" ht="13">
      <c r="A38" s="113">
        <v>14</v>
      </c>
      <c r="B38" s="102" t="s">
        <v>32</v>
      </c>
      <c r="C38" s="100">
        <v>0.12</v>
      </c>
      <c r="D38" s="100"/>
      <c r="E38" s="61">
        <f t="shared" si="14"/>
        <v>0</v>
      </c>
      <c r="F38" s="61">
        <f t="shared" si="15"/>
        <v>2638.2360000000003</v>
      </c>
      <c r="G38" s="61">
        <f t="shared" si="16"/>
        <v>0</v>
      </c>
      <c r="H38" s="61">
        <f t="shared" si="17"/>
        <v>0</v>
      </c>
      <c r="I38" s="61">
        <f t="shared" si="18"/>
        <v>169.38979320000004</v>
      </c>
      <c r="J38" s="61">
        <f t="shared" si="19"/>
        <v>369.26974917600012</v>
      </c>
      <c r="K38" s="61">
        <f t="shared" si="20"/>
        <v>402.50402660184017</v>
      </c>
      <c r="L38" s="61">
        <f t="shared" si="21"/>
        <v>0</v>
      </c>
      <c r="M38" s="61">
        <f t="shared" si="13"/>
        <v>0</v>
      </c>
      <c r="N38" s="61">
        <f t="shared" si="22"/>
        <v>0</v>
      </c>
      <c r="O38" s="61">
        <f t="shared" si="23"/>
        <v>0</v>
      </c>
      <c r="P38" s="61">
        <f t="shared" si="24"/>
        <v>0</v>
      </c>
      <c r="Q38" s="61">
        <f t="shared" si="25"/>
        <v>3579.3995689778403</v>
      </c>
      <c r="R38" s="100">
        <f t="shared" si="26"/>
        <v>0.14220896181874615</v>
      </c>
      <c r="S38" s="114"/>
      <c r="T38" s="73">
        <v>8.6437198067632857E-3</v>
      </c>
      <c r="U38" s="61">
        <f t="shared" si="27"/>
        <v>0</v>
      </c>
      <c r="V38" s="61">
        <f t="shared" si="28"/>
        <v>179.57414335748794</v>
      </c>
      <c r="W38" s="61">
        <f t="shared" si="29"/>
        <v>0</v>
      </c>
      <c r="X38" s="61">
        <f t="shared" si="30"/>
        <v>0</v>
      </c>
      <c r="Y38" s="61">
        <f t="shared" si="31"/>
        <v>9.7285827936835769</v>
      </c>
      <c r="Z38" s="61">
        <f t="shared" si="32"/>
        <v>20.040880554988167</v>
      </c>
      <c r="AA38" s="61">
        <f t="shared" si="33"/>
        <v>20.642106971637816</v>
      </c>
      <c r="AB38" s="61">
        <f t="shared" si="34"/>
        <v>0</v>
      </c>
      <c r="AC38" s="61">
        <f t="shared" si="35"/>
        <v>0</v>
      </c>
      <c r="AD38" s="61">
        <f t="shared" si="36"/>
        <v>0</v>
      </c>
      <c r="AE38" s="61">
        <f t="shared" si="37"/>
        <v>0</v>
      </c>
      <c r="AF38" s="61">
        <f t="shared" si="38"/>
        <v>0</v>
      </c>
      <c r="AG38" s="122">
        <f t="shared" si="39"/>
        <v>229.98571367779752</v>
      </c>
      <c r="AH38" s="100">
        <f t="shared" si="40"/>
        <v>9.1372949415096348E-3</v>
      </c>
      <c r="AJ38" s="104">
        <f t="shared" si="41"/>
        <v>0.15134625676025579</v>
      </c>
    </row>
    <row r="39" spans="1:37" ht="13">
      <c r="A39" s="113">
        <v>15</v>
      </c>
      <c r="B39" s="102" t="s">
        <v>22</v>
      </c>
      <c r="C39" s="100">
        <v>2.66</v>
      </c>
      <c r="D39" s="67"/>
      <c r="E39" s="61">
        <f t="shared" si="14"/>
        <v>0</v>
      </c>
      <c r="F39" s="61">
        <f t="shared" si="15"/>
        <v>58480.898000000008</v>
      </c>
      <c r="G39" s="61">
        <f t="shared" si="16"/>
        <v>0</v>
      </c>
      <c r="H39" s="61">
        <f t="shared" si="17"/>
        <v>0</v>
      </c>
      <c r="I39" s="61">
        <f t="shared" si="18"/>
        <v>3754.8070826000007</v>
      </c>
      <c r="J39" s="61">
        <f t="shared" si="19"/>
        <v>8185.479440068003</v>
      </c>
      <c r="K39" s="61">
        <f t="shared" si="20"/>
        <v>8922.1725896741227</v>
      </c>
      <c r="L39" s="61">
        <f t="shared" si="21"/>
        <v>0</v>
      </c>
      <c r="M39" s="61">
        <f t="shared" si="13"/>
        <v>0</v>
      </c>
      <c r="N39" s="61">
        <f t="shared" si="22"/>
        <v>0</v>
      </c>
      <c r="O39" s="61">
        <f t="shared" si="23"/>
        <v>0</v>
      </c>
      <c r="P39" s="61">
        <f t="shared" si="24"/>
        <v>0</v>
      </c>
      <c r="Q39" s="61">
        <f t="shared" si="25"/>
        <v>79343.357112342142</v>
      </c>
      <c r="R39" s="100">
        <f t="shared" si="26"/>
        <v>3.1522986536488733</v>
      </c>
      <c r="S39" s="114"/>
      <c r="T39" s="73">
        <v>0.64</v>
      </c>
      <c r="U39" s="61">
        <f t="shared" si="27"/>
        <v>0</v>
      </c>
      <c r="V39" s="61">
        <f t="shared" si="28"/>
        <v>13296.064000000002</v>
      </c>
      <c r="W39" s="61">
        <f t="shared" si="29"/>
        <v>0</v>
      </c>
      <c r="X39" s="61">
        <f t="shared" si="30"/>
        <v>0</v>
      </c>
      <c r="Y39" s="61">
        <f t="shared" si="31"/>
        <v>720.32563840000012</v>
      </c>
      <c r="Z39" s="61">
        <f t="shared" si="32"/>
        <v>1483.870815104</v>
      </c>
      <c r="AA39" s="61">
        <f t="shared" si="33"/>
        <v>1528.3869395571201</v>
      </c>
      <c r="AB39" s="61">
        <f t="shared" si="34"/>
        <v>0</v>
      </c>
      <c r="AC39" s="61">
        <f t="shared" si="35"/>
        <v>0</v>
      </c>
      <c r="AD39" s="61">
        <f t="shared" si="36"/>
        <v>0</v>
      </c>
      <c r="AE39" s="61">
        <f t="shared" si="37"/>
        <v>0</v>
      </c>
      <c r="AF39" s="61">
        <f t="shared" si="38"/>
        <v>0</v>
      </c>
      <c r="AG39" s="122">
        <f t="shared" si="39"/>
        <v>17028.647393061121</v>
      </c>
      <c r="AH39" s="100">
        <f t="shared" si="40"/>
        <v>0.67654538709023126</v>
      </c>
      <c r="AJ39" s="104">
        <f t="shared" si="41"/>
        <v>3.8288440407391047</v>
      </c>
    </row>
    <row r="40" spans="1:37" ht="13">
      <c r="A40" s="113">
        <v>16</v>
      </c>
      <c r="B40" s="102" t="s">
        <v>148</v>
      </c>
      <c r="C40" s="100">
        <v>0</v>
      </c>
      <c r="D40" s="67"/>
      <c r="E40" s="61">
        <f t="shared" si="14"/>
        <v>0</v>
      </c>
      <c r="F40" s="61">
        <f t="shared" si="15"/>
        <v>0</v>
      </c>
      <c r="G40" s="61">
        <f t="shared" si="16"/>
        <v>0</v>
      </c>
      <c r="H40" s="61">
        <f t="shared" si="17"/>
        <v>0</v>
      </c>
      <c r="I40" s="61">
        <f t="shared" si="18"/>
        <v>0</v>
      </c>
      <c r="J40" s="61">
        <f t="shared" si="19"/>
        <v>0</v>
      </c>
      <c r="K40" s="61">
        <f t="shared" si="20"/>
        <v>0</v>
      </c>
      <c r="L40" s="61">
        <f t="shared" si="21"/>
        <v>0</v>
      </c>
      <c r="M40" s="61">
        <f t="shared" si="13"/>
        <v>0</v>
      </c>
      <c r="N40" s="61">
        <f t="shared" si="22"/>
        <v>0</v>
      </c>
      <c r="O40" s="61">
        <f t="shared" si="23"/>
        <v>0</v>
      </c>
      <c r="P40" s="61">
        <f t="shared" si="24"/>
        <v>0</v>
      </c>
      <c r="Q40" s="61">
        <f t="shared" si="25"/>
        <v>0</v>
      </c>
      <c r="R40" s="100">
        <f t="shared" si="26"/>
        <v>0</v>
      </c>
      <c r="S40" s="114"/>
      <c r="T40" s="73">
        <v>0</v>
      </c>
      <c r="U40" s="61">
        <f t="shared" si="27"/>
        <v>0</v>
      </c>
      <c r="V40" s="61">
        <f t="shared" si="28"/>
        <v>0</v>
      </c>
      <c r="W40" s="61">
        <f t="shared" si="29"/>
        <v>0</v>
      </c>
      <c r="X40" s="61">
        <f t="shared" si="30"/>
        <v>0</v>
      </c>
      <c r="Y40" s="61">
        <f t="shared" si="31"/>
        <v>0</v>
      </c>
      <c r="Z40" s="61">
        <f t="shared" si="32"/>
        <v>0</v>
      </c>
      <c r="AA40" s="61">
        <f t="shared" si="33"/>
        <v>0</v>
      </c>
      <c r="AB40" s="61">
        <f t="shared" si="34"/>
        <v>0</v>
      </c>
      <c r="AC40" s="61">
        <f t="shared" si="35"/>
        <v>0</v>
      </c>
      <c r="AD40" s="61">
        <f t="shared" si="36"/>
        <v>0</v>
      </c>
      <c r="AE40" s="61">
        <f t="shared" si="37"/>
        <v>0</v>
      </c>
      <c r="AF40" s="61">
        <f t="shared" si="38"/>
        <v>0</v>
      </c>
      <c r="AG40" s="122">
        <f t="shared" si="39"/>
        <v>0</v>
      </c>
      <c r="AH40" s="100">
        <f t="shared" si="40"/>
        <v>0</v>
      </c>
      <c r="AJ40" s="104">
        <f t="shared" si="41"/>
        <v>0</v>
      </c>
    </row>
    <row r="41" spans="1:37" ht="13">
      <c r="A41" s="113">
        <v>17</v>
      </c>
      <c r="B41" s="102" t="s">
        <v>149</v>
      </c>
      <c r="C41" s="100">
        <v>0</v>
      </c>
      <c r="D41" s="67"/>
      <c r="E41" s="61">
        <f t="shared" si="14"/>
        <v>0</v>
      </c>
      <c r="F41" s="61">
        <f t="shared" si="15"/>
        <v>0</v>
      </c>
      <c r="G41" s="61">
        <f t="shared" si="16"/>
        <v>0</v>
      </c>
      <c r="H41" s="61">
        <f t="shared" si="17"/>
        <v>0</v>
      </c>
      <c r="I41" s="61">
        <f t="shared" si="18"/>
        <v>0</v>
      </c>
      <c r="J41" s="61">
        <f t="shared" si="19"/>
        <v>0</v>
      </c>
      <c r="K41" s="61">
        <f t="shared" si="20"/>
        <v>0</v>
      </c>
      <c r="L41" s="61">
        <f t="shared" si="21"/>
        <v>0</v>
      </c>
      <c r="M41" s="61">
        <f t="shared" si="13"/>
        <v>0</v>
      </c>
      <c r="N41" s="61">
        <f t="shared" si="22"/>
        <v>0</v>
      </c>
      <c r="O41" s="61">
        <f t="shared" si="23"/>
        <v>0</v>
      </c>
      <c r="P41" s="61">
        <f t="shared" si="24"/>
        <v>0</v>
      </c>
      <c r="Q41" s="61">
        <f t="shared" si="25"/>
        <v>0</v>
      </c>
      <c r="R41" s="100">
        <f t="shared" si="26"/>
        <v>0</v>
      </c>
      <c r="S41" s="114"/>
      <c r="T41" s="73">
        <v>0</v>
      </c>
      <c r="U41" s="61">
        <f t="shared" si="27"/>
        <v>0</v>
      </c>
      <c r="V41" s="61">
        <f t="shared" si="28"/>
        <v>0</v>
      </c>
      <c r="W41" s="61">
        <f t="shared" si="29"/>
        <v>0</v>
      </c>
      <c r="X41" s="61">
        <f t="shared" si="30"/>
        <v>0</v>
      </c>
      <c r="Y41" s="61">
        <f t="shared" si="31"/>
        <v>0</v>
      </c>
      <c r="Z41" s="61">
        <f t="shared" si="32"/>
        <v>0</v>
      </c>
      <c r="AA41" s="61">
        <f t="shared" si="33"/>
        <v>0</v>
      </c>
      <c r="AB41" s="61">
        <f t="shared" si="34"/>
        <v>0</v>
      </c>
      <c r="AC41" s="61">
        <f t="shared" si="35"/>
        <v>0</v>
      </c>
      <c r="AD41" s="61">
        <f t="shared" si="36"/>
        <v>0</v>
      </c>
      <c r="AE41" s="61">
        <f t="shared" si="37"/>
        <v>0</v>
      </c>
      <c r="AF41" s="61">
        <f t="shared" si="38"/>
        <v>0</v>
      </c>
      <c r="AG41" s="122">
        <f t="shared" si="39"/>
        <v>0</v>
      </c>
      <c r="AH41" s="100">
        <f t="shared" si="40"/>
        <v>0</v>
      </c>
      <c r="AJ41" s="104">
        <f t="shared" si="41"/>
        <v>0</v>
      </c>
    </row>
    <row r="42" spans="1:37" s="75" customFormat="1" ht="13">
      <c r="A42" s="113">
        <v>18</v>
      </c>
      <c r="B42" s="102" t="s">
        <v>23</v>
      </c>
      <c r="C42" s="100">
        <v>0.73</v>
      </c>
      <c r="D42" s="74"/>
      <c r="E42" s="61">
        <f t="shared" si="14"/>
        <v>0</v>
      </c>
      <c r="F42" s="61">
        <f t="shared" si="15"/>
        <v>16049.269000000002</v>
      </c>
      <c r="G42" s="61">
        <f t="shared" si="16"/>
        <v>0</v>
      </c>
      <c r="H42" s="61">
        <f t="shared" si="17"/>
        <v>0</v>
      </c>
      <c r="I42" s="61">
        <f t="shared" si="18"/>
        <v>1030.4545753000002</v>
      </c>
      <c r="J42" s="61">
        <f t="shared" si="19"/>
        <v>2246.3909741540006</v>
      </c>
      <c r="K42" s="61">
        <f t="shared" si="20"/>
        <v>2448.5661618278609</v>
      </c>
      <c r="L42" s="61">
        <f t="shared" si="21"/>
        <v>0</v>
      </c>
      <c r="M42" s="61">
        <f t="shared" si="13"/>
        <v>0</v>
      </c>
      <c r="N42" s="61">
        <f t="shared" si="22"/>
        <v>0</v>
      </c>
      <c r="O42" s="61">
        <f t="shared" si="23"/>
        <v>0</v>
      </c>
      <c r="P42" s="61">
        <f t="shared" si="24"/>
        <v>0</v>
      </c>
      <c r="Q42" s="61">
        <f t="shared" si="25"/>
        <v>21774.680711281864</v>
      </c>
      <c r="R42" s="100">
        <f t="shared" si="26"/>
        <v>0.86510451773070574</v>
      </c>
      <c r="S42" s="115"/>
      <c r="T42" s="73">
        <v>0.26</v>
      </c>
      <c r="U42" s="61">
        <f t="shared" si="27"/>
        <v>0</v>
      </c>
      <c r="V42" s="61">
        <f t="shared" si="28"/>
        <v>5401.5259999999998</v>
      </c>
      <c r="W42" s="61">
        <f t="shared" si="29"/>
        <v>0</v>
      </c>
      <c r="X42" s="61">
        <f t="shared" si="30"/>
        <v>0</v>
      </c>
      <c r="Y42" s="61">
        <f t="shared" si="31"/>
        <v>292.63229060000003</v>
      </c>
      <c r="Z42" s="61">
        <f t="shared" si="32"/>
        <v>602.82251863600004</v>
      </c>
      <c r="AA42" s="61">
        <f t="shared" si="33"/>
        <v>620.90719419508002</v>
      </c>
      <c r="AB42" s="61">
        <f t="shared" si="34"/>
        <v>0</v>
      </c>
      <c r="AC42" s="61">
        <f t="shared" si="35"/>
        <v>0</v>
      </c>
      <c r="AD42" s="61">
        <f t="shared" si="36"/>
        <v>0</v>
      </c>
      <c r="AE42" s="61">
        <f t="shared" si="37"/>
        <v>0</v>
      </c>
      <c r="AF42" s="61">
        <f t="shared" si="38"/>
        <v>0</v>
      </c>
      <c r="AG42" s="122">
        <f t="shared" si="39"/>
        <v>6917.8880034310796</v>
      </c>
      <c r="AH42" s="100">
        <f t="shared" si="40"/>
        <v>0.27484656350540643</v>
      </c>
      <c r="AJ42" s="104">
        <f t="shared" si="41"/>
        <v>1.1399510812361122</v>
      </c>
      <c r="AK42" s="75">
        <f>AJ42*60</f>
        <v>68.39706487416673</v>
      </c>
    </row>
    <row r="43" spans="1:37" s="75" customFormat="1" ht="13">
      <c r="A43" s="113">
        <v>19</v>
      </c>
      <c r="B43" s="102" t="s">
        <v>150</v>
      </c>
      <c r="C43" s="100">
        <v>2.4500000000000002</v>
      </c>
      <c r="D43" s="74"/>
      <c r="E43" s="61">
        <f t="shared" si="14"/>
        <v>0</v>
      </c>
      <c r="F43" s="61">
        <f t="shared" si="15"/>
        <v>53863.985000000001</v>
      </c>
      <c r="G43" s="61">
        <f t="shared" si="16"/>
        <v>0</v>
      </c>
      <c r="H43" s="61">
        <f t="shared" si="17"/>
        <v>0</v>
      </c>
      <c r="I43" s="61">
        <f t="shared" si="18"/>
        <v>3458.3749445000008</v>
      </c>
      <c r="J43" s="61">
        <f t="shared" si="19"/>
        <v>7539.2573790100023</v>
      </c>
      <c r="K43" s="61">
        <f t="shared" si="20"/>
        <v>8217.7905431209037</v>
      </c>
      <c r="L43" s="61">
        <f t="shared" si="21"/>
        <v>0</v>
      </c>
      <c r="M43" s="61">
        <f t="shared" si="13"/>
        <v>0</v>
      </c>
      <c r="N43" s="61">
        <f t="shared" si="22"/>
        <v>0</v>
      </c>
      <c r="O43" s="61">
        <f t="shared" si="23"/>
        <v>0</v>
      </c>
      <c r="P43" s="61">
        <f t="shared" si="24"/>
        <v>0</v>
      </c>
      <c r="Q43" s="61">
        <f t="shared" si="25"/>
        <v>73079.407866630907</v>
      </c>
      <c r="R43" s="100">
        <f t="shared" si="26"/>
        <v>2.9034329704660671</v>
      </c>
      <c r="S43" s="115"/>
      <c r="T43" s="73">
        <v>1.89</v>
      </c>
      <c r="U43" s="61">
        <f t="shared" si="27"/>
        <v>0</v>
      </c>
      <c r="V43" s="61">
        <f t="shared" si="28"/>
        <v>39264.938999999998</v>
      </c>
      <c r="W43" s="61">
        <f t="shared" si="29"/>
        <v>0</v>
      </c>
      <c r="X43" s="61">
        <f t="shared" si="30"/>
        <v>0</v>
      </c>
      <c r="Y43" s="61">
        <f t="shared" si="31"/>
        <v>2127.2116509000002</v>
      </c>
      <c r="Z43" s="61">
        <f t="shared" si="32"/>
        <v>4382.0560008540006</v>
      </c>
      <c r="AA43" s="61">
        <f t="shared" si="33"/>
        <v>4513.5176808796205</v>
      </c>
      <c r="AB43" s="61">
        <f t="shared" si="34"/>
        <v>0</v>
      </c>
      <c r="AC43" s="61">
        <f t="shared" si="35"/>
        <v>0</v>
      </c>
      <c r="AD43" s="61">
        <f t="shared" si="36"/>
        <v>0</v>
      </c>
      <c r="AE43" s="61">
        <f t="shared" si="37"/>
        <v>0</v>
      </c>
      <c r="AF43" s="61">
        <f t="shared" si="38"/>
        <v>0</v>
      </c>
      <c r="AG43" s="122">
        <f t="shared" si="39"/>
        <v>50287.724332633617</v>
      </c>
      <c r="AH43" s="100">
        <f t="shared" si="40"/>
        <v>1.997923096250839</v>
      </c>
      <c r="AJ43" s="104">
        <f t="shared" si="41"/>
        <v>4.9013560667169056</v>
      </c>
    </row>
    <row r="44" spans="1:37" s="75" customFormat="1" ht="13">
      <c r="A44" s="113">
        <v>20</v>
      </c>
      <c r="B44" s="102" t="s">
        <v>83</v>
      </c>
      <c r="C44" s="100">
        <v>1.25</v>
      </c>
      <c r="D44" s="74"/>
      <c r="E44" s="61">
        <f t="shared" si="14"/>
        <v>0</v>
      </c>
      <c r="F44" s="61">
        <f t="shared" si="15"/>
        <v>27481.625000000004</v>
      </c>
      <c r="G44" s="61">
        <f t="shared" si="16"/>
        <v>0</v>
      </c>
      <c r="H44" s="61">
        <f t="shared" si="17"/>
        <v>0</v>
      </c>
      <c r="I44" s="61">
        <f t="shared" si="18"/>
        <v>1764.4770125000002</v>
      </c>
      <c r="J44" s="61">
        <f t="shared" si="19"/>
        <v>3846.5598872500013</v>
      </c>
      <c r="K44" s="61">
        <f t="shared" si="20"/>
        <v>4192.750277102502</v>
      </c>
      <c r="L44" s="61">
        <f t="shared" si="21"/>
        <v>0</v>
      </c>
      <c r="M44" s="61">
        <f t="shared" si="13"/>
        <v>0</v>
      </c>
      <c r="N44" s="61">
        <f t="shared" si="22"/>
        <v>0</v>
      </c>
      <c r="O44" s="61">
        <f t="shared" si="23"/>
        <v>0</v>
      </c>
      <c r="P44" s="61">
        <f t="shared" si="24"/>
        <v>0</v>
      </c>
      <c r="Q44" s="61">
        <f t="shared" si="25"/>
        <v>37285.412176852507</v>
      </c>
      <c r="R44" s="100">
        <f t="shared" si="26"/>
        <v>1.4813433522786057</v>
      </c>
      <c r="S44" s="115"/>
      <c r="T44" s="73">
        <v>0.92</v>
      </c>
      <c r="U44" s="61">
        <f t="shared" si="27"/>
        <v>0</v>
      </c>
      <c r="V44" s="61">
        <f t="shared" si="28"/>
        <v>19113.092000000001</v>
      </c>
      <c r="W44" s="61">
        <f t="shared" si="29"/>
        <v>0</v>
      </c>
      <c r="X44" s="61">
        <f t="shared" si="30"/>
        <v>0</v>
      </c>
      <c r="Y44" s="61">
        <f t="shared" si="31"/>
        <v>1035.4681052000001</v>
      </c>
      <c r="Z44" s="61">
        <f t="shared" si="32"/>
        <v>2133.0642967120002</v>
      </c>
      <c r="AA44" s="61">
        <f t="shared" si="33"/>
        <v>2197.0562256133603</v>
      </c>
      <c r="AB44" s="61">
        <f t="shared" si="34"/>
        <v>0</v>
      </c>
      <c r="AC44" s="61">
        <f t="shared" si="35"/>
        <v>0</v>
      </c>
      <c r="AD44" s="61">
        <f t="shared" si="36"/>
        <v>0</v>
      </c>
      <c r="AE44" s="61">
        <f t="shared" si="37"/>
        <v>0</v>
      </c>
      <c r="AF44" s="61">
        <f t="shared" si="38"/>
        <v>0</v>
      </c>
      <c r="AG44" s="122">
        <f t="shared" si="39"/>
        <v>24478.680627525362</v>
      </c>
      <c r="AH44" s="100">
        <f t="shared" si="40"/>
        <v>0.97253399394220752</v>
      </c>
      <c r="AJ44" s="104">
        <f t="shared" si="41"/>
        <v>2.4538773462208132</v>
      </c>
    </row>
    <row r="45" spans="1:37" s="75" customFormat="1" ht="13">
      <c r="A45" s="113">
        <v>21</v>
      </c>
      <c r="B45" s="102" t="s">
        <v>66</v>
      </c>
      <c r="C45" s="100">
        <v>0</v>
      </c>
      <c r="D45" s="74"/>
      <c r="E45" s="61">
        <f t="shared" si="14"/>
        <v>0</v>
      </c>
      <c r="F45" s="61">
        <f t="shared" si="15"/>
        <v>0</v>
      </c>
      <c r="G45" s="61">
        <f t="shared" si="16"/>
        <v>0</v>
      </c>
      <c r="H45" s="61">
        <f t="shared" si="17"/>
        <v>0</v>
      </c>
      <c r="I45" s="61">
        <f t="shared" si="18"/>
        <v>0</v>
      </c>
      <c r="J45" s="61">
        <f t="shared" si="19"/>
        <v>0</v>
      </c>
      <c r="K45" s="61">
        <f t="shared" si="20"/>
        <v>0</v>
      </c>
      <c r="L45" s="61">
        <f t="shared" si="21"/>
        <v>0</v>
      </c>
      <c r="M45" s="61">
        <f t="shared" si="13"/>
        <v>0</v>
      </c>
      <c r="N45" s="61">
        <f t="shared" si="22"/>
        <v>0</v>
      </c>
      <c r="O45" s="61">
        <f t="shared" si="23"/>
        <v>0</v>
      </c>
      <c r="P45" s="61">
        <f t="shared" si="24"/>
        <v>0</v>
      </c>
      <c r="Q45" s="61">
        <f t="shared" si="25"/>
        <v>0</v>
      </c>
      <c r="R45" s="100">
        <f t="shared" si="26"/>
        <v>0</v>
      </c>
      <c r="S45" s="115"/>
      <c r="T45" s="73">
        <v>0</v>
      </c>
      <c r="U45" s="61">
        <f t="shared" si="27"/>
        <v>0</v>
      </c>
      <c r="V45" s="61">
        <f t="shared" si="28"/>
        <v>0</v>
      </c>
      <c r="W45" s="61">
        <f t="shared" si="29"/>
        <v>0</v>
      </c>
      <c r="X45" s="61">
        <f t="shared" si="30"/>
        <v>0</v>
      </c>
      <c r="Y45" s="61">
        <f t="shared" si="31"/>
        <v>0</v>
      </c>
      <c r="Z45" s="61">
        <f t="shared" si="32"/>
        <v>0</v>
      </c>
      <c r="AA45" s="61">
        <f t="shared" si="33"/>
        <v>0</v>
      </c>
      <c r="AB45" s="61">
        <f t="shared" si="34"/>
        <v>0</v>
      </c>
      <c r="AC45" s="61">
        <f t="shared" si="35"/>
        <v>0</v>
      </c>
      <c r="AD45" s="61">
        <f t="shared" si="36"/>
        <v>0</v>
      </c>
      <c r="AE45" s="61">
        <f t="shared" si="37"/>
        <v>0</v>
      </c>
      <c r="AF45" s="61">
        <f t="shared" si="38"/>
        <v>0</v>
      </c>
      <c r="AG45" s="122">
        <f t="shared" si="39"/>
        <v>0</v>
      </c>
      <c r="AH45" s="100">
        <f t="shared" si="40"/>
        <v>0</v>
      </c>
      <c r="AJ45" s="104">
        <f t="shared" si="41"/>
        <v>0</v>
      </c>
    </row>
    <row r="46" spans="1:37" s="75" customFormat="1" ht="13">
      <c r="A46" s="113">
        <v>22</v>
      </c>
      <c r="B46" s="101" t="s">
        <v>151</v>
      </c>
      <c r="C46" s="100">
        <v>0.69906884057971008</v>
      </c>
      <c r="D46" s="74"/>
      <c r="E46" s="61">
        <f t="shared" si="14"/>
        <v>0</v>
      </c>
      <c r="F46" s="61">
        <f t="shared" si="15"/>
        <v>15369.2381807971</v>
      </c>
      <c r="G46" s="61">
        <f t="shared" si="16"/>
        <v>0</v>
      </c>
      <c r="H46" s="61">
        <f t="shared" si="17"/>
        <v>0</v>
      </c>
      <c r="I46" s="61">
        <f t="shared" si="18"/>
        <v>986.79271948634073</v>
      </c>
      <c r="J46" s="61">
        <f t="shared" si="19"/>
        <v>2151.208128480223</v>
      </c>
      <c r="K46" s="61">
        <f t="shared" si="20"/>
        <v>2344.8168600434433</v>
      </c>
      <c r="L46" s="61">
        <f t="shared" si="21"/>
        <v>0</v>
      </c>
      <c r="M46" s="61">
        <f t="shared" si="13"/>
        <v>0</v>
      </c>
      <c r="N46" s="61">
        <f t="shared" si="22"/>
        <v>0</v>
      </c>
      <c r="O46" s="61">
        <f t="shared" si="23"/>
        <v>0</v>
      </c>
      <c r="P46" s="61">
        <f t="shared" si="24"/>
        <v>0</v>
      </c>
      <c r="Q46" s="61">
        <f t="shared" si="25"/>
        <v>20852.055888807106</v>
      </c>
      <c r="R46" s="100">
        <f t="shared" si="26"/>
        <v>0.8284487838222927</v>
      </c>
      <c r="S46" s="115"/>
      <c r="T46" s="73">
        <v>1.0764492753623187</v>
      </c>
      <c r="U46" s="61">
        <f t="shared" si="27"/>
        <v>0</v>
      </c>
      <c r="V46" s="61">
        <f t="shared" si="28"/>
        <v>22363.341340579707</v>
      </c>
      <c r="W46" s="61">
        <f t="shared" si="29"/>
        <v>0</v>
      </c>
      <c r="X46" s="61">
        <f t="shared" si="30"/>
        <v>0</v>
      </c>
      <c r="Y46" s="61">
        <f t="shared" si="31"/>
        <v>1211.5531429384059</v>
      </c>
      <c r="Z46" s="61">
        <f t="shared" si="32"/>
        <v>2495.7994744531161</v>
      </c>
      <c r="AA46" s="61">
        <f t="shared" si="33"/>
        <v>2570.6734586867096</v>
      </c>
      <c r="AB46" s="61">
        <f t="shared" si="34"/>
        <v>0</v>
      </c>
      <c r="AC46" s="61">
        <f t="shared" si="35"/>
        <v>0</v>
      </c>
      <c r="AD46" s="61">
        <f t="shared" si="36"/>
        <v>0</v>
      </c>
      <c r="AE46" s="61">
        <f t="shared" si="37"/>
        <v>0</v>
      </c>
      <c r="AF46" s="61">
        <f t="shared" si="38"/>
        <v>0</v>
      </c>
      <c r="AG46" s="122">
        <f t="shared" si="39"/>
        <v>28641.36741665794</v>
      </c>
      <c r="AH46" s="100">
        <f t="shared" si="40"/>
        <v>1.1379168620046858</v>
      </c>
      <c r="AJ46" s="104">
        <f t="shared" si="41"/>
        <v>1.9663656458269785</v>
      </c>
    </row>
    <row r="47" spans="1:37" s="75" customFormat="1" ht="13">
      <c r="A47" s="113">
        <v>23</v>
      </c>
      <c r="B47" s="101" t="s">
        <v>152</v>
      </c>
      <c r="C47" s="100">
        <v>1.7620159420289854</v>
      </c>
      <c r="D47" s="74"/>
      <c r="E47" s="61">
        <f t="shared" si="14"/>
        <v>0</v>
      </c>
      <c r="F47" s="61">
        <f t="shared" si="15"/>
        <v>38738.449090289854</v>
      </c>
      <c r="G47" s="61">
        <f t="shared" si="16"/>
        <v>0</v>
      </c>
      <c r="H47" s="61">
        <f t="shared" si="17"/>
        <v>0</v>
      </c>
      <c r="I47" s="61">
        <f t="shared" si="18"/>
        <v>2487.2293002949423</v>
      </c>
      <c r="J47" s="61">
        <f t="shared" si="19"/>
        <v>5422.1598746429745</v>
      </c>
      <c r="K47" s="61">
        <f t="shared" si="20"/>
        <v>5910.1542633608433</v>
      </c>
      <c r="L47" s="61">
        <f t="shared" si="21"/>
        <v>0</v>
      </c>
      <c r="M47" s="61">
        <f t="shared" si="13"/>
        <v>0</v>
      </c>
      <c r="N47" s="61">
        <f t="shared" si="22"/>
        <v>0</v>
      </c>
      <c r="O47" s="61">
        <f t="shared" si="23"/>
        <v>0</v>
      </c>
      <c r="P47" s="61">
        <f t="shared" si="24"/>
        <v>0</v>
      </c>
      <c r="Q47" s="61">
        <f t="shared" si="25"/>
        <v>52557.992528588613</v>
      </c>
      <c r="R47" s="100">
        <f t="shared" si="26"/>
        <v>2.08812048186685</v>
      </c>
      <c r="S47" s="115"/>
      <c r="T47" s="73">
        <v>0.75351449275362326</v>
      </c>
      <c r="U47" s="61">
        <f t="shared" si="27"/>
        <v>0</v>
      </c>
      <c r="V47" s="61">
        <f t="shared" si="28"/>
        <v>15654.338938405799</v>
      </c>
      <c r="W47" s="61">
        <f t="shared" si="29"/>
        <v>0</v>
      </c>
      <c r="X47" s="61">
        <f t="shared" si="30"/>
        <v>0</v>
      </c>
      <c r="Y47" s="61">
        <f t="shared" si="31"/>
        <v>848.08720005688417</v>
      </c>
      <c r="Z47" s="61">
        <f t="shared" si="32"/>
        <v>1747.0596321171813</v>
      </c>
      <c r="AA47" s="61">
        <f t="shared" si="33"/>
        <v>1799.4714210806969</v>
      </c>
      <c r="AB47" s="61">
        <f t="shared" si="34"/>
        <v>0</v>
      </c>
      <c r="AC47" s="61">
        <f t="shared" si="35"/>
        <v>0</v>
      </c>
      <c r="AD47" s="61">
        <f t="shared" si="36"/>
        <v>0</v>
      </c>
      <c r="AE47" s="61">
        <f t="shared" si="37"/>
        <v>0</v>
      </c>
      <c r="AF47" s="61">
        <f t="shared" si="38"/>
        <v>0</v>
      </c>
      <c r="AG47" s="122">
        <f t="shared" si="39"/>
        <v>20048.95719166056</v>
      </c>
      <c r="AH47" s="100">
        <f t="shared" si="40"/>
        <v>0.79654180340328007</v>
      </c>
      <c r="AJ47" s="104">
        <f t="shared" si="41"/>
        <v>2.8846622852701298</v>
      </c>
    </row>
    <row r="48" spans="1:37" s="75" customFormat="1" ht="13">
      <c r="A48" s="113">
        <v>24</v>
      </c>
      <c r="B48" s="101" t="s">
        <v>175</v>
      </c>
      <c r="C48" s="100">
        <v>6.118252657004831</v>
      </c>
      <c r="D48" s="74"/>
      <c r="E48" s="61">
        <f t="shared" si="14"/>
        <v>0</v>
      </c>
      <c r="F48" s="61">
        <f t="shared" si="15"/>
        <v>134511.62014004833</v>
      </c>
      <c r="G48" s="61">
        <f t="shared" si="16"/>
        <v>0</v>
      </c>
      <c r="H48" s="61">
        <f t="shared" si="17"/>
        <v>0</v>
      </c>
      <c r="I48" s="61">
        <f t="shared" si="18"/>
        <v>8636.41293596166</v>
      </c>
      <c r="J48" s="61">
        <f t="shared" si="19"/>
        <v>18827.380200396419</v>
      </c>
      <c r="K48" s="61">
        <f t="shared" si="20"/>
        <v>20521.844418432098</v>
      </c>
      <c r="L48" s="61">
        <f t="shared" si="21"/>
        <v>0</v>
      </c>
      <c r="M48" s="61">
        <f t="shared" si="13"/>
        <v>0</v>
      </c>
      <c r="N48" s="61">
        <f t="shared" si="22"/>
        <v>0</v>
      </c>
      <c r="O48" s="61">
        <f t="shared" si="23"/>
        <v>0</v>
      </c>
      <c r="P48" s="61">
        <f t="shared" si="24"/>
        <v>0</v>
      </c>
      <c r="Q48" s="61">
        <f t="shared" si="25"/>
        <v>182497.25769483848</v>
      </c>
      <c r="R48" s="100">
        <f t="shared" si="26"/>
        <v>7.2505863208120171</v>
      </c>
      <c r="S48" s="115"/>
      <c r="T48" s="73">
        <v>3.430922282125604</v>
      </c>
      <c r="U48" s="61">
        <f t="shared" si="27"/>
        <v>0</v>
      </c>
      <c r="V48" s="61">
        <f t="shared" si="28"/>
        <v>71277.753503387648</v>
      </c>
      <c r="W48" s="61">
        <f t="shared" si="29"/>
        <v>0</v>
      </c>
      <c r="X48" s="61">
        <f t="shared" si="30"/>
        <v>0</v>
      </c>
      <c r="Y48" s="61">
        <f t="shared" si="31"/>
        <v>3861.5332549576733</v>
      </c>
      <c r="Z48" s="61">
        <f t="shared" si="32"/>
        <v>7954.7585052128061</v>
      </c>
      <c r="AA48" s="61">
        <f t="shared" si="33"/>
        <v>8193.4012603691917</v>
      </c>
      <c r="AB48" s="61">
        <f t="shared" si="34"/>
        <v>0</v>
      </c>
      <c r="AC48" s="61">
        <f t="shared" si="35"/>
        <v>0</v>
      </c>
      <c r="AD48" s="61">
        <f t="shared" si="36"/>
        <v>0</v>
      </c>
      <c r="AE48" s="61">
        <f t="shared" si="37"/>
        <v>0</v>
      </c>
      <c r="AF48" s="61">
        <f t="shared" si="38"/>
        <v>0</v>
      </c>
      <c r="AG48" s="122">
        <f t="shared" si="39"/>
        <v>91287.446523927327</v>
      </c>
      <c r="AH48" s="100">
        <f t="shared" si="40"/>
        <v>3.6268353803705731</v>
      </c>
      <c r="AJ48" s="104">
        <f t="shared" si="41"/>
        <v>10.877421701182591</v>
      </c>
    </row>
    <row r="49" spans="1:36" s="75" customFormat="1" ht="26">
      <c r="A49" s="113">
        <v>25</v>
      </c>
      <c r="B49" s="102" t="s">
        <v>153</v>
      </c>
      <c r="C49" s="100">
        <v>1.5559111288862353</v>
      </c>
      <c r="D49" s="74"/>
      <c r="E49" s="61">
        <f t="shared" si="14"/>
        <v>0</v>
      </c>
      <c r="F49" s="61">
        <f t="shared" si="15"/>
        <v>34207.172941902551</v>
      </c>
      <c r="G49" s="61">
        <f t="shared" si="16"/>
        <v>0</v>
      </c>
      <c r="H49" s="61">
        <f t="shared" si="17"/>
        <v>0</v>
      </c>
      <c r="I49" s="61">
        <f t="shared" si="18"/>
        <v>2196.2955363301498</v>
      </c>
      <c r="J49" s="61">
        <f t="shared" si="19"/>
        <v>4787.924269199727</v>
      </c>
      <c r="K49" s="61">
        <f t="shared" si="20"/>
        <v>5218.8374534277027</v>
      </c>
      <c r="L49" s="61">
        <f t="shared" si="21"/>
        <v>0</v>
      </c>
      <c r="M49" s="61">
        <f t="shared" si="13"/>
        <v>0</v>
      </c>
      <c r="N49" s="61">
        <f t="shared" si="22"/>
        <v>0</v>
      </c>
      <c r="O49" s="61">
        <f t="shared" si="23"/>
        <v>0</v>
      </c>
      <c r="P49" s="61">
        <f t="shared" si="24"/>
        <v>0</v>
      </c>
      <c r="Q49" s="61">
        <f t="shared" si="25"/>
        <v>46410.230200860133</v>
      </c>
      <c r="R49" s="100">
        <f t="shared" si="26"/>
        <v>1.8438708860095405</v>
      </c>
      <c r="S49" s="115"/>
      <c r="T49" s="73">
        <v>3.9469806763285025</v>
      </c>
      <c r="U49" s="61">
        <f t="shared" si="27"/>
        <v>0</v>
      </c>
      <c r="V49" s="61">
        <f t="shared" si="28"/>
        <v>81998.918248792266</v>
      </c>
      <c r="W49" s="61">
        <f t="shared" si="29"/>
        <v>0</v>
      </c>
      <c r="X49" s="61">
        <f t="shared" si="30"/>
        <v>0</v>
      </c>
      <c r="Y49" s="61">
        <f t="shared" si="31"/>
        <v>4442.3615241074885</v>
      </c>
      <c r="Z49" s="61">
        <f t="shared" si="32"/>
        <v>9151.2647396614248</v>
      </c>
      <c r="AA49" s="61">
        <f t="shared" si="33"/>
        <v>9425.8026818512681</v>
      </c>
      <c r="AB49" s="61">
        <f t="shared" si="34"/>
        <v>0</v>
      </c>
      <c r="AC49" s="61">
        <f t="shared" si="35"/>
        <v>0</v>
      </c>
      <c r="AD49" s="61">
        <f t="shared" si="36"/>
        <v>0</v>
      </c>
      <c r="AE49" s="61">
        <f t="shared" si="37"/>
        <v>0</v>
      </c>
      <c r="AF49" s="61">
        <f t="shared" si="38"/>
        <v>0</v>
      </c>
      <c r="AG49" s="122">
        <f t="shared" si="39"/>
        <v>105018.34719441245</v>
      </c>
      <c r="AH49" s="100">
        <f t="shared" si="40"/>
        <v>4.1723618273505148</v>
      </c>
      <c r="AJ49" s="104">
        <f t="shared" si="41"/>
        <v>6.0162327133600551</v>
      </c>
    </row>
    <row r="50" spans="1:36" s="75" customFormat="1" ht="26">
      <c r="A50" s="113">
        <v>26</v>
      </c>
      <c r="B50" s="102" t="s">
        <v>154</v>
      </c>
      <c r="C50" s="100">
        <v>5.8796613701359037</v>
      </c>
      <c r="D50" s="74"/>
      <c r="E50" s="61">
        <f t="shared" si="14"/>
        <v>0</v>
      </c>
      <c r="F50" s="61">
        <f t="shared" si="15"/>
        <v>129266.11912084889</v>
      </c>
      <c r="G50" s="61">
        <f t="shared" si="16"/>
        <v>0</v>
      </c>
      <c r="H50" s="61">
        <f t="shared" si="17"/>
        <v>0</v>
      </c>
      <c r="I50" s="61">
        <f t="shared" si="18"/>
        <v>8299.6218631112461</v>
      </c>
      <c r="J50" s="61">
        <f t="shared" si="19"/>
        <v>18093.175661582518</v>
      </c>
      <c r="K50" s="61">
        <f t="shared" si="20"/>
        <v>19721.561471124947</v>
      </c>
      <c r="L50" s="61">
        <f t="shared" si="21"/>
        <v>0</v>
      </c>
      <c r="M50" s="61">
        <f t="shared" si="13"/>
        <v>0</v>
      </c>
      <c r="N50" s="61">
        <f t="shared" si="22"/>
        <v>0</v>
      </c>
      <c r="O50" s="61">
        <f t="shared" si="23"/>
        <v>0</v>
      </c>
      <c r="P50" s="61">
        <f t="shared" si="24"/>
        <v>0</v>
      </c>
      <c r="Q50" s="61">
        <f t="shared" si="25"/>
        <v>175380.4781166676</v>
      </c>
      <c r="R50" s="100">
        <f t="shared" si="26"/>
        <v>6.9678378274401114</v>
      </c>
      <c r="S50" s="115"/>
      <c r="T50" s="73">
        <v>2.8705314009661835</v>
      </c>
      <c r="U50" s="61">
        <f t="shared" si="27"/>
        <v>0</v>
      </c>
      <c r="V50" s="61">
        <f t="shared" si="28"/>
        <v>59635.576908212563</v>
      </c>
      <c r="W50" s="61">
        <f t="shared" si="29"/>
        <v>0</v>
      </c>
      <c r="X50" s="61">
        <f t="shared" si="30"/>
        <v>0</v>
      </c>
      <c r="Y50" s="61">
        <f t="shared" si="31"/>
        <v>3230.8083811690822</v>
      </c>
      <c r="Z50" s="61">
        <f t="shared" si="32"/>
        <v>6655.4652652083087</v>
      </c>
      <c r="AA50" s="61">
        <f t="shared" si="33"/>
        <v>6855.1292231645584</v>
      </c>
      <c r="AB50" s="61">
        <f t="shared" si="34"/>
        <v>0</v>
      </c>
      <c r="AC50" s="61">
        <f t="shared" si="35"/>
        <v>0</v>
      </c>
      <c r="AD50" s="61">
        <f t="shared" si="36"/>
        <v>0</v>
      </c>
      <c r="AE50" s="61">
        <f t="shared" si="37"/>
        <v>0</v>
      </c>
      <c r="AF50" s="61">
        <f t="shared" si="38"/>
        <v>0</v>
      </c>
      <c r="AG50" s="122">
        <f t="shared" si="39"/>
        <v>76376.979777754517</v>
      </c>
      <c r="AH50" s="100">
        <f t="shared" si="40"/>
        <v>3.0344449653458292</v>
      </c>
      <c r="AJ50" s="104">
        <f t="shared" si="41"/>
        <v>10.002282792785941</v>
      </c>
    </row>
    <row r="51" spans="1:36" s="75" customFormat="1" ht="26">
      <c r="A51" s="113">
        <v>27</v>
      </c>
      <c r="B51" s="102" t="s">
        <v>155</v>
      </c>
      <c r="C51" s="100">
        <v>0.3</v>
      </c>
      <c r="D51" s="74"/>
      <c r="E51" s="61">
        <f t="shared" si="14"/>
        <v>0</v>
      </c>
      <c r="F51" s="61">
        <f t="shared" si="15"/>
        <v>6595.59</v>
      </c>
      <c r="G51" s="61">
        <f t="shared" si="16"/>
        <v>0</v>
      </c>
      <c r="H51" s="61">
        <f t="shared" si="17"/>
        <v>0</v>
      </c>
      <c r="I51" s="61">
        <f t="shared" si="18"/>
        <v>423.47448300000008</v>
      </c>
      <c r="J51" s="61">
        <f t="shared" si="19"/>
        <v>923.17437294000024</v>
      </c>
      <c r="K51" s="61">
        <f t="shared" si="20"/>
        <v>1006.2600665046003</v>
      </c>
      <c r="L51" s="61">
        <f t="shared" si="21"/>
        <v>0</v>
      </c>
      <c r="M51" s="61">
        <f t="shared" si="13"/>
        <v>0</v>
      </c>
      <c r="N51" s="61">
        <f t="shared" si="22"/>
        <v>0</v>
      </c>
      <c r="O51" s="61">
        <f t="shared" si="23"/>
        <v>0</v>
      </c>
      <c r="P51" s="61">
        <f t="shared" si="24"/>
        <v>0</v>
      </c>
      <c r="Q51" s="61">
        <f t="shared" si="25"/>
        <v>8948.4989224446017</v>
      </c>
      <c r="R51" s="100">
        <f t="shared" si="26"/>
        <v>0.3555224045468654</v>
      </c>
      <c r="S51" s="115"/>
      <c r="T51" s="73">
        <v>0.11</v>
      </c>
      <c r="U51" s="61">
        <f t="shared" si="27"/>
        <v>0</v>
      </c>
      <c r="V51" s="61">
        <f t="shared" si="28"/>
        <v>2285.261</v>
      </c>
      <c r="W51" s="61">
        <f t="shared" si="29"/>
        <v>0</v>
      </c>
      <c r="X51" s="61">
        <f t="shared" si="30"/>
        <v>0</v>
      </c>
      <c r="Y51" s="61">
        <f t="shared" si="31"/>
        <v>123.80596910000001</v>
      </c>
      <c r="Z51" s="61">
        <f t="shared" si="32"/>
        <v>255.04029634600002</v>
      </c>
      <c r="AA51" s="61">
        <f t="shared" si="33"/>
        <v>262.69150523638001</v>
      </c>
      <c r="AB51" s="61">
        <f t="shared" si="34"/>
        <v>0</v>
      </c>
      <c r="AC51" s="61">
        <f t="shared" si="35"/>
        <v>0</v>
      </c>
      <c r="AD51" s="61">
        <f t="shared" si="36"/>
        <v>0</v>
      </c>
      <c r="AE51" s="61">
        <f t="shared" si="37"/>
        <v>0</v>
      </c>
      <c r="AF51" s="61">
        <f t="shared" si="38"/>
        <v>0</v>
      </c>
      <c r="AG51" s="122">
        <f t="shared" si="39"/>
        <v>2926.7987706823801</v>
      </c>
      <c r="AH51" s="100">
        <f t="shared" si="40"/>
        <v>0.1162812384061335</v>
      </c>
      <c r="AJ51" s="104">
        <f t="shared" si="41"/>
        <v>0.47180364295299893</v>
      </c>
    </row>
    <row r="52" spans="1:36" s="75" customFormat="1" ht="13">
      <c r="A52" s="113">
        <v>28</v>
      </c>
      <c r="B52" s="102" t="s">
        <v>95</v>
      </c>
      <c r="C52" s="100">
        <v>0.64720531400966186</v>
      </c>
      <c r="D52" s="74"/>
      <c r="E52" s="61">
        <f t="shared" si="14"/>
        <v>0</v>
      </c>
      <c r="F52" s="61">
        <f t="shared" si="15"/>
        <v>14229.00299009662</v>
      </c>
      <c r="G52" s="61">
        <f t="shared" si="16"/>
        <v>0</v>
      </c>
      <c r="H52" s="61">
        <f t="shared" si="17"/>
        <v>0</v>
      </c>
      <c r="I52" s="61">
        <f t="shared" si="18"/>
        <v>913.58311915031413</v>
      </c>
      <c r="J52" s="61">
        <f t="shared" si="19"/>
        <v>1991.6111997476851</v>
      </c>
      <c r="K52" s="61">
        <f t="shared" si="20"/>
        <v>2170.8562077249771</v>
      </c>
      <c r="L52" s="61">
        <f t="shared" si="21"/>
        <v>0</v>
      </c>
      <c r="M52" s="61">
        <f t="shared" si="13"/>
        <v>0</v>
      </c>
      <c r="N52" s="61">
        <f t="shared" si="22"/>
        <v>0</v>
      </c>
      <c r="O52" s="61">
        <f t="shared" si="23"/>
        <v>0</v>
      </c>
      <c r="P52" s="61">
        <f t="shared" si="24"/>
        <v>0</v>
      </c>
      <c r="Q52" s="61">
        <f t="shared" si="25"/>
        <v>19305.053516719596</v>
      </c>
      <c r="R52" s="100">
        <f t="shared" si="26"/>
        <v>0.76698663157408009</v>
      </c>
      <c r="S52" s="115"/>
      <c r="T52" s="73">
        <v>0.25117149758454105</v>
      </c>
      <c r="U52" s="61">
        <f t="shared" si="27"/>
        <v>0</v>
      </c>
      <c r="V52" s="61">
        <f t="shared" si="28"/>
        <v>5218.1129794685985</v>
      </c>
      <c r="W52" s="61">
        <f t="shared" si="29"/>
        <v>0</v>
      </c>
      <c r="X52" s="61">
        <f t="shared" si="30"/>
        <v>0</v>
      </c>
      <c r="Y52" s="61">
        <f t="shared" si="31"/>
        <v>282.69573335229472</v>
      </c>
      <c r="Z52" s="61">
        <f t="shared" si="32"/>
        <v>582.35321070572707</v>
      </c>
      <c r="AA52" s="61">
        <f t="shared" si="33"/>
        <v>599.82380702689886</v>
      </c>
      <c r="AB52" s="61">
        <f t="shared" si="34"/>
        <v>0</v>
      </c>
      <c r="AC52" s="61">
        <f t="shared" si="35"/>
        <v>0</v>
      </c>
      <c r="AD52" s="61">
        <f t="shared" si="36"/>
        <v>0</v>
      </c>
      <c r="AE52" s="61">
        <f t="shared" si="37"/>
        <v>0</v>
      </c>
      <c r="AF52" s="61">
        <f t="shared" si="38"/>
        <v>0</v>
      </c>
      <c r="AG52" s="122">
        <f t="shared" si="39"/>
        <v>6682.9857305535197</v>
      </c>
      <c r="AH52" s="100">
        <f t="shared" si="40"/>
        <v>0.26551393446776</v>
      </c>
      <c r="AJ52" s="104">
        <f t="shared" si="41"/>
        <v>1.03250056604184</v>
      </c>
    </row>
    <row r="53" spans="1:36" s="75" customFormat="1" ht="13">
      <c r="A53" s="113">
        <v>29</v>
      </c>
      <c r="B53" s="103" t="s">
        <v>179</v>
      </c>
      <c r="C53" s="100">
        <v>0</v>
      </c>
      <c r="D53" s="74"/>
      <c r="E53" s="61">
        <f t="shared" si="14"/>
        <v>0</v>
      </c>
      <c r="F53" s="61">
        <f t="shared" si="15"/>
        <v>0</v>
      </c>
      <c r="G53" s="61">
        <f t="shared" si="16"/>
        <v>0</v>
      </c>
      <c r="H53" s="61">
        <f t="shared" si="17"/>
        <v>0</v>
      </c>
      <c r="I53" s="61">
        <f t="shared" si="18"/>
        <v>0</v>
      </c>
      <c r="J53" s="61">
        <f t="shared" si="19"/>
        <v>0</v>
      </c>
      <c r="K53" s="61">
        <f t="shared" si="20"/>
        <v>0</v>
      </c>
      <c r="L53" s="61">
        <f t="shared" si="21"/>
        <v>0</v>
      </c>
      <c r="M53" s="61">
        <f t="shared" si="13"/>
        <v>0</v>
      </c>
      <c r="N53" s="61">
        <f t="shared" si="22"/>
        <v>0</v>
      </c>
      <c r="O53" s="61">
        <f t="shared" si="23"/>
        <v>0</v>
      </c>
      <c r="P53" s="61">
        <f t="shared" si="24"/>
        <v>0</v>
      </c>
      <c r="Q53" s="61">
        <f t="shared" si="25"/>
        <v>0</v>
      </c>
      <c r="R53" s="100">
        <f t="shared" si="26"/>
        <v>0</v>
      </c>
      <c r="S53" s="115"/>
      <c r="T53" s="73">
        <v>0</v>
      </c>
      <c r="U53" s="61">
        <f t="shared" si="27"/>
        <v>0</v>
      </c>
      <c r="V53" s="61">
        <f t="shared" si="28"/>
        <v>0</v>
      </c>
      <c r="W53" s="61">
        <f t="shared" si="29"/>
        <v>0</v>
      </c>
      <c r="X53" s="61">
        <f t="shared" si="30"/>
        <v>0</v>
      </c>
      <c r="Y53" s="61">
        <f t="shared" si="31"/>
        <v>0</v>
      </c>
      <c r="Z53" s="61">
        <f t="shared" si="32"/>
        <v>0</v>
      </c>
      <c r="AA53" s="61">
        <f t="shared" si="33"/>
        <v>0</v>
      </c>
      <c r="AB53" s="61">
        <f t="shared" si="34"/>
        <v>0</v>
      </c>
      <c r="AC53" s="61">
        <f t="shared" si="35"/>
        <v>0</v>
      </c>
      <c r="AD53" s="61">
        <f t="shared" si="36"/>
        <v>0</v>
      </c>
      <c r="AE53" s="61">
        <f t="shared" si="37"/>
        <v>0</v>
      </c>
      <c r="AF53" s="61">
        <f t="shared" si="38"/>
        <v>0</v>
      </c>
      <c r="AG53" s="122">
        <f t="shared" si="39"/>
        <v>0</v>
      </c>
      <c r="AH53" s="100">
        <f t="shared" si="40"/>
        <v>0</v>
      </c>
      <c r="AJ53" s="104">
        <f t="shared" si="41"/>
        <v>0</v>
      </c>
    </row>
    <row r="54" spans="1:36" s="75" customFormat="1" ht="13">
      <c r="A54" s="113">
        <v>30</v>
      </c>
      <c r="B54" s="103" t="s">
        <v>67</v>
      </c>
      <c r="C54" s="100">
        <v>0</v>
      </c>
      <c r="D54" s="74"/>
      <c r="E54" s="61">
        <f t="shared" si="14"/>
        <v>0</v>
      </c>
      <c r="F54" s="61">
        <f t="shared" si="15"/>
        <v>0</v>
      </c>
      <c r="G54" s="61">
        <f t="shared" si="16"/>
        <v>0</v>
      </c>
      <c r="H54" s="61">
        <f t="shared" si="17"/>
        <v>0</v>
      </c>
      <c r="I54" s="61">
        <f t="shared" si="18"/>
        <v>0</v>
      </c>
      <c r="J54" s="61">
        <f t="shared" si="19"/>
        <v>0</v>
      </c>
      <c r="K54" s="61">
        <f t="shared" si="20"/>
        <v>0</v>
      </c>
      <c r="L54" s="61">
        <f t="shared" si="21"/>
        <v>0</v>
      </c>
      <c r="M54" s="61">
        <f t="shared" si="13"/>
        <v>0</v>
      </c>
      <c r="N54" s="61">
        <f t="shared" si="22"/>
        <v>0</v>
      </c>
      <c r="O54" s="61">
        <f t="shared" si="23"/>
        <v>0</v>
      </c>
      <c r="P54" s="61">
        <f t="shared" si="24"/>
        <v>0</v>
      </c>
      <c r="Q54" s="61">
        <f t="shared" si="25"/>
        <v>0</v>
      </c>
      <c r="R54" s="100">
        <f t="shared" si="26"/>
        <v>0</v>
      </c>
      <c r="S54" s="115"/>
      <c r="T54" s="73">
        <v>0</v>
      </c>
      <c r="U54" s="61">
        <f t="shared" si="27"/>
        <v>0</v>
      </c>
      <c r="V54" s="61">
        <f t="shared" si="28"/>
        <v>0</v>
      </c>
      <c r="W54" s="61">
        <f t="shared" si="29"/>
        <v>0</v>
      </c>
      <c r="X54" s="61">
        <f t="shared" si="30"/>
        <v>0</v>
      </c>
      <c r="Y54" s="61">
        <f t="shared" si="31"/>
        <v>0</v>
      </c>
      <c r="Z54" s="61">
        <f t="shared" si="32"/>
        <v>0</v>
      </c>
      <c r="AA54" s="61">
        <f t="shared" si="33"/>
        <v>0</v>
      </c>
      <c r="AB54" s="61">
        <f t="shared" si="34"/>
        <v>0</v>
      </c>
      <c r="AC54" s="61">
        <f t="shared" si="35"/>
        <v>0</v>
      </c>
      <c r="AD54" s="61">
        <f t="shared" si="36"/>
        <v>0</v>
      </c>
      <c r="AE54" s="61">
        <f t="shared" si="37"/>
        <v>0</v>
      </c>
      <c r="AF54" s="61">
        <f t="shared" si="38"/>
        <v>0</v>
      </c>
      <c r="AG54" s="122">
        <f t="shared" si="39"/>
        <v>0</v>
      </c>
      <c r="AH54" s="100">
        <f t="shared" si="40"/>
        <v>0</v>
      </c>
      <c r="AJ54" s="104">
        <f t="shared" si="41"/>
        <v>0</v>
      </c>
    </row>
    <row r="55" spans="1:36" s="75" customFormat="1" ht="13">
      <c r="A55" s="116"/>
      <c r="B55" s="79"/>
      <c r="C55" s="80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111"/>
    </row>
    <row r="56" spans="1:36" s="75" customFormat="1" ht="13">
      <c r="A56" s="116"/>
      <c r="B56" s="79"/>
      <c r="C56" s="80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111"/>
    </row>
    <row r="57" spans="1:36" s="75" customFormat="1" ht="13" thickBot="1">
      <c r="B57" s="81"/>
      <c r="E57" s="125">
        <f>E23</f>
        <v>2018</v>
      </c>
      <c r="F57" s="125">
        <f t="shared" ref="F57:P57" si="42">F23</f>
        <v>2019</v>
      </c>
      <c r="G57" s="125">
        <f t="shared" si="42"/>
        <v>2020</v>
      </c>
      <c r="H57" s="125">
        <f t="shared" si="42"/>
        <v>2021</v>
      </c>
      <c r="I57" s="125">
        <f t="shared" si="42"/>
        <v>2022</v>
      </c>
      <c r="J57" s="125">
        <f t="shared" si="42"/>
        <v>2023</v>
      </c>
      <c r="K57" s="125">
        <f t="shared" si="42"/>
        <v>2024</v>
      </c>
      <c r="L57" s="125">
        <f t="shared" si="42"/>
        <v>2025</v>
      </c>
      <c r="M57" s="125">
        <f t="shared" si="42"/>
        <v>2026</v>
      </c>
      <c r="N57" s="125">
        <f t="shared" si="42"/>
        <v>2027</v>
      </c>
      <c r="O57" s="125">
        <f t="shared" si="42"/>
        <v>2028</v>
      </c>
      <c r="P57" s="125">
        <f t="shared" si="42"/>
        <v>2029</v>
      </c>
    </row>
    <row r="58" spans="1:36" s="75" customFormat="1" ht="75">
      <c r="B58" s="68" t="s">
        <v>82</v>
      </c>
      <c r="C58" s="69" t="s">
        <v>84</v>
      </c>
      <c r="D58" s="69"/>
      <c r="E58" s="123" t="s">
        <v>161</v>
      </c>
      <c r="F58" s="123" t="s">
        <v>161</v>
      </c>
      <c r="G58" s="123" t="s">
        <v>161</v>
      </c>
      <c r="H58" s="123" t="s">
        <v>161</v>
      </c>
      <c r="I58" s="123" t="s">
        <v>161</v>
      </c>
      <c r="J58" s="123" t="s">
        <v>161</v>
      </c>
      <c r="K58" s="123" t="s">
        <v>161</v>
      </c>
      <c r="L58" s="123" t="s">
        <v>161</v>
      </c>
      <c r="M58" s="123" t="s">
        <v>161</v>
      </c>
      <c r="N58" s="123" t="s">
        <v>161</v>
      </c>
      <c r="O58" s="123" t="s">
        <v>161</v>
      </c>
      <c r="P58" s="123" t="s">
        <v>161</v>
      </c>
      <c r="Q58" s="70" t="s">
        <v>85</v>
      </c>
      <c r="R58" s="71" t="s">
        <v>86</v>
      </c>
      <c r="S58" s="72"/>
      <c r="T58" s="72"/>
      <c r="U58" s="82"/>
      <c r="Y58" s="75" t="s">
        <v>182</v>
      </c>
    </row>
    <row r="59" spans="1:36" s="75" customFormat="1" ht="13">
      <c r="A59" s="58">
        <v>1</v>
      </c>
      <c r="B59" s="56" t="s">
        <v>185</v>
      </c>
      <c r="C59" s="118">
        <f>660/12/60</f>
        <v>0.91666666666666663</v>
      </c>
      <c r="D59" s="100"/>
      <c r="E59" s="61">
        <f>$C59*$C$4*$D$4</f>
        <v>0</v>
      </c>
      <c r="F59" s="61">
        <f>$C59*$C$5*$D$5</f>
        <v>20153.191666666666</v>
      </c>
      <c r="G59" s="61">
        <f>$C59*$C$6*$D$6</f>
        <v>0</v>
      </c>
      <c r="H59" s="61">
        <f>$C59*$C$7*$D$7</f>
        <v>0</v>
      </c>
      <c r="I59" s="61">
        <f>$C59*$C$8*$D$8</f>
        <v>1293.9498091666669</v>
      </c>
      <c r="J59" s="61">
        <f t="shared" ref="J59:J75" si="43">$C59*$C$9*$D$9</f>
        <v>2820.8105839833343</v>
      </c>
      <c r="K59" s="61">
        <f>$C59*$C$10*$D$10</f>
        <v>3074.6835365418342</v>
      </c>
      <c r="L59" s="61">
        <f>$C59*$C$11*$D$11</f>
        <v>0</v>
      </c>
      <c r="M59" s="61">
        <f>$C59*$C$12*$D$12</f>
        <v>0</v>
      </c>
      <c r="N59" s="61">
        <f t="shared" ref="N59:N83" si="44">$C59*$C$13*$D$13</f>
        <v>0</v>
      </c>
      <c r="O59" s="61">
        <f t="shared" ref="O59:O83" si="45">$C59*$C$14*$D$14</f>
        <v>0</v>
      </c>
      <c r="P59" s="61">
        <f t="shared" ref="P59:P83" si="46">$C59*$C$15*$D$15</f>
        <v>0</v>
      </c>
      <c r="Q59" s="61">
        <f t="shared" ref="Q59" si="47">SUM(E59:P59)</f>
        <v>27342.635596358501</v>
      </c>
      <c r="R59" s="100">
        <f>IF(Q59=0,0,(Q59/($C$2)))</f>
        <v>1.086318458337644</v>
      </c>
      <c r="S59" s="74"/>
      <c r="T59" s="74"/>
      <c r="U59" s="84"/>
      <c r="Y59" s="83">
        <v>1.2666666666666666</v>
      </c>
    </row>
    <row r="60" spans="1:36" s="75" customFormat="1" ht="13">
      <c r="A60" s="58">
        <v>2</v>
      </c>
      <c r="B60" s="56" t="s">
        <v>50</v>
      </c>
      <c r="C60" s="118">
        <f t="shared" ref="C60:C83" si="48">660/12/60</f>
        <v>0.91666666666666663</v>
      </c>
      <c r="D60" s="100"/>
      <c r="E60" s="61">
        <f>$C60*$C$4*$D$4</f>
        <v>0</v>
      </c>
      <c r="F60" s="61">
        <f t="shared" ref="F60:F83" si="49">$C60*$C$5*$D$5</f>
        <v>20153.191666666666</v>
      </c>
      <c r="G60" s="61">
        <f>$C60*$C$6*$D$6</f>
        <v>0</v>
      </c>
      <c r="H60" s="61">
        <f t="shared" ref="H60:H83" si="50">$C60*$C$7*$D$7</f>
        <v>0</v>
      </c>
      <c r="I60" s="61">
        <f t="shared" ref="I60:I83" si="51">$C60*$C$8*$D$8</f>
        <v>1293.9498091666669</v>
      </c>
      <c r="J60" s="61">
        <f t="shared" si="43"/>
        <v>2820.8105839833343</v>
      </c>
      <c r="K60" s="61">
        <f t="shared" ref="K60:K83" si="52">$C60*$C$10*$D$10</f>
        <v>3074.6835365418342</v>
      </c>
      <c r="L60" s="61">
        <f t="shared" ref="L60:L83" si="53">$C60*$C$11*$D$11</f>
        <v>0</v>
      </c>
      <c r="M60" s="61">
        <f>$C60*$C$12*$D$12</f>
        <v>0</v>
      </c>
      <c r="N60" s="61">
        <f t="shared" si="44"/>
        <v>0</v>
      </c>
      <c r="O60" s="61">
        <f t="shared" si="45"/>
        <v>0</v>
      </c>
      <c r="P60" s="61">
        <f t="shared" si="46"/>
        <v>0</v>
      </c>
      <c r="Q60" s="61">
        <f t="shared" ref="Q60" si="54">SUM(E60:P60)</f>
        <v>27342.635596358501</v>
      </c>
      <c r="R60" s="100">
        <f t="shared" ref="R60:R83" si="55">IF(Q60=0,0,(Q60/($C$2)))</f>
        <v>1.086318458337644</v>
      </c>
      <c r="S60" s="74"/>
      <c r="T60" s="74"/>
      <c r="U60" s="84"/>
      <c r="Y60" s="83">
        <v>0.6333333333333333</v>
      </c>
    </row>
    <row r="61" spans="1:36" s="75" customFormat="1" ht="13">
      <c r="A61" s="58">
        <v>3</v>
      </c>
      <c r="B61" s="56" t="s">
        <v>141</v>
      </c>
      <c r="C61" s="118">
        <f t="shared" si="48"/>
        <v>0.91666666666666663</v>
      </c>
      <c r="D61" s="100"/>
      <c r="E61" s="61">
        <f>$C61*$C$4*$D$4</f>
        <v>0</v>
      </c>
      <c r="F61" s="61">
        <f t="shared" si="49"/>
        <v>20153.191666666666</v>
      </c>
      <c r="G61" s="61">
        <f t="shared" ref="G61:G83" si="56">$C61*$C$6*$D$6</f>
        <v>0</v>
      </c>
      <c r="H61" s="61">
        <f t="shared" si="50"/>
        <v>0</v>
      </c>
      <c r="I61" s="61">
        <f t="shared" si="51"/>
        <v>1293.9498091666669</v>
      </c>
      <c r="J61" s="61">
        <f t="shared" si="43"/>
        <v>2820.8105839833343</v>
      </c>
      <c r="K61" s="61">
        <f t="shared" si="52"/>
        <v>3074.6835365418342</v>
      </c>
      <c r="L61" s="61">
        <f t="shared" si="53"/>
        <v>0</v>
      </c>
      <c r="M61" s="61">
        <f>$C61*$C$12*$D$12</f>
        <v>0</v>
      </c>
      <c r="N61" s="61">
        <f t="shared" si="44"/>
        <v>0</v>
      </c>
      <c r="O61" s="61">
        <f t="shared" si="45"/>
        <v>0</v>
      </c>
      <c r="P61" s="61">
        <f t="shared" si="46"/>
        <v>0</v>
      </c>
      <c r="Q61" s="61">
        <f t="shared" ref="Q61:Q83" si="57">SUM(E61:P61)</f>
        <v>27342.635596358501</v>
      </c>
      <c r="R61" s="100">
        <f t="shared" si="55"/>
        <v>1.086318458337644</v>
      </c>
      <c r="S61" s="74"/>
      <c r="T61" s="74"/>
      <c r="U61" s="84"/>
      <c r="Y61" s="83">
        <v>1.9</v>
      </c>
    </row>
    <row r="62" spans="1:36" s="75" customFormat="1" ht="13">
      <c r="A62" s="58">
        <v>4</v>
      </c>
      <c r="B62" s="56" t="s">
        <v>21</v>
      </c>
      <c r="C62" s="118">
        <f t="shared" si="48"/>
        <v>0.91666666666666663</v>
      </c>
      <c r="D62" s="100"/>
      <c r="E62" s="61">
        <f>$C62*$C$4*$D$4</f>
        <v>0</v>
      </c>
      <c r="F62" s="61">
        <f t="shared" si="49"/>
        <v>20153.191666666666</v>
      </c>
      <c r="G62" s="61">
        <f t="shared" si="56"/>
        <v>0</v>
      </c>
      <c r="H62" s="61">
        <f t="shared" si="50"/>
        <v>0</v>
      </c>
      <c r="I62" s="61">
        <f t="shared" si="51"/>
        <v>1293.9498091666669</v>
      </c>
      <c r="J62" s="61">
        <f t="shared" si="43"/>
        <v>2820.8105839833343</v>
      </c>
      <c r="K62" s="61">
        <f t="shared" si="52"/>
        <v>3074.6835365418342</v>
      </c>
      <c r="L62" s="61">
        <f t="shared" si="53"/>
        <v>0</v>
      </c>
      <c r="M62" s="61">
        <f>$C62*$C$12*$D$12</f>
        <v>0</v>
      </c>
      <c r="N62" s="61">
        <f t="shared" si="44"/>
        <v>0</v>
      </c>
      <c r="O62" s="61">
        <f t="shared" si="45"/>
        <v>0</v>
      </c>
      <c r="P62" s="61">
        <f t="shared" si="46"/>
        <v>0</v>
      </c>
      <c r="Q62" s="61">
        <f t="shared" si="57"/>
        <v>27342.635596358501</v>
      </c>
      <c r="R62" s="100">
        <f>IF(Q62=0,0,(Q62/($C$2)))</f>
        <v>1.086318458337644</v>
      </c>
      <c r="S62" s="74"/>
      <c r="T62" s="74"/>
      <c r="U62" s="84"/>
      <c r="Y62" s="83">
        <v>1.2666666666666666</v>
      </c>
    </row>
    <row r="63" spans="1:36" s="75" customFormat="1" ht="13">
      <c r="A63" s="58">
        <v>5</v>
      </c>
      <c r="B63" s="56" t="s">
        <v>142</v>
      </c>
      <c r="C63" s="118">
        <f t="shared" si="48"/>
        <v>0.91666666666666663</v>
      </c>
      <c r="D63" s="100"/>
      <c r="E63" s="61">
        <f>$C62*$C$4*$D$4</f>
        <v>0</v>
      </c>
      <c r="F63" s="61">
        <f>$C62*$C$5*$D$5</f>
        <v>20153.191666666666</v>
      </c>
      <c r="G63" s="61">
        <f>$C62*$C$6*$D$6</f>
        <v>0</v>
      </c>
      <c r="H63" s="61">
        <f>$C62*$C$7*$D$7</f>
        <v>0</v>
      </c>
      <c r="I63" s="61">
        <f t="shared" si="51"/>
        <v>1293.9498091666669</v>
      </c>
      <c r="J63" s="61">
        <f>$C62*$C$9*$D$9</f>
        <v>2820.8105839833343</v>
      </c>
      <c r="K63" s="61">
        <f>$C62*$C$10*$D$10</f>
        <v>3074.6835365418342</v>
      </c>
      <c r="L63" s="61">
        <f>$C62*$C$11*$D$11</f>
        <v>0</v>
      </c>
      <c r="M63" s="61">
        <f>$C62*$C$12*$D$12</f>
        <v>0</v>
      </c>
      <c r="N63" s="61">
        <f t="shared" si="44"/>
        <v>0</v>
      </c>
      <c r="O63" s="61">
        <f t="shared" si="45"/>
        <v>0</v>
      </c>
      <c r="P63" s="61">
        <f t="shared" si="46"/>
        <v>0</v>
      </c>
      <c r="Q63" s="61">
        <f t="shared" si="57"/>
        <v>27342.635596358501</v>
      </c>
      <c r="R63" s="100">
        <f t="shared" si="55"/>
        <v>1.086318458337644</v>
      </c>
      <c r="S63" s="74"/>
      <c r="T63" s="74"/>
      <c r="U63" s="84"/>
      <c r="Y63" s="83">
        <v>1.2666666666666666</v>
      </c>
    </row>
    <row r="64" spans="1:36" s="75" customFormat="1" ht="13">
      <c r="A64" s="58">
        <v>6</v>
      </c>
      <c r="B64" s="56" t="s">
        <v>143</v>
      </c>
      <c r="C64" s="118">
        <f t="shared" si="48"/>
        <v>0.91666666666666663</v>
      </c>
      <c r="D64" s="100"/>
      <c r="E64" s="61">
        <f t="shared" ref="E64:E83" si="58">$C64*$C$4*$D$4</f>
        <v>0</v>
      </c>
      <c r="F64" s="61">
        <f t="shared" si="49"/>
        <v>20153.191666666666</v>
      </c>
      <c r="G64" s="61">
        <f t="shared" si="56"/>
        <v>0</v>
      </c>
      <c r="H64" s="61">
        <f t="shared" si="50"/>
        <v>0</v>
      </c>
      <c r="I64" s="61">
        <f t="shared" si="51"/>
        <v>1293.9498091666669</v>
      </c>
      <c r="J64" s="61">
        <f t="shared" si="43"/>
        <v>2820.8105839833343</v>
      </c>
      <c r="K64" s="61">
        <f t="shared" si="52"/>
        <v>3074.6835365418342</v>
      </c>
      <c r="L64" s="61">
        <f t="shared" si="53"/>
        <v>0</v>
      </c>
      <c r="M64" s="61">
        <f t="shared" ref="M64:M83" si="59">$C64*$C$12*$D$12</f>
        <v>0</v>
      </c>
      <c r="N64" s="61">
        <f t="shared" si="44"/>
        <v>0</v>
      </c>
      <c r="O64" s="61">
        <f t="shared" si="45"/>
        <v>0</v>
      </c>
      <c r="P64" s="61">
        <f t="shared" si="46"/>
        <v>0</v>
      </c>
      <c r="Q64" s="61">
        <f t="shared" si="57"/>
        <v>27342.635596358501</v>
      </c>
      <c r="R64" s="100">
        <f t="shared" si="55"/>
        <v>1.086318458337644</v>
      </c>
      <c r="S64" s="74"/>
      <c r="T64" s="74"/>
      <c r="U64" s="84"/>
      <c r="Y64" s="83">
        <v>1.2666666666666666</v>
      </c>
    </row>
    <row r="65" spans="1:25" s="75" customFormat="1" ht="13">
      <c r="A65" s="58">
        <v>7</v>
      </c>
      <c r="B65" s="56" t="s">
        <v>144</v>
      </c>
      <c r="C65" s="118">
        <f t="shared" si="48"/>
        <v>0.91666666666666663</v>
      </c>
      <c r="D65" s="100"/>
      <c r="E65" s="61">
        <f t="shared" si="58"/>
        <v>0</v>
      </c>
      <c r="F65" s="61">
        <f t="shared" si="49"/>
        <v>20153.191666666666</v>
      </c>
      <c r="G65" s="61">
        <f t="shared" si="56"/>
        <v>0</v>
      </c>
      <c r="H65" s="61">
        <f t="shared" si="50"/>
        <v>0</v>
      </c>
      <c r="I65" s="61">
        <f t="shared" si="51"/>
        <v>1293.9498091666669</v>
      </c>
      <c r="J65" s="61">
        <f t="shared" si="43"/>
        <v>2820.8105839833343</v>
      </c>
      <c r="K65" s="61">
        <f t="shared" si="52"/>
        <v>3074.6835365418342</v>
      </c>
      <c r="L65" s="61">
        <f t="shared" si="53"/>
        <v>0</v>
      </c>
      <c r="M65" s="61">
        <f t="shared" si="59"/>
        <v>0</v>
      </c>
      <c r="N65" s="61">
        <f t="shared" si="44"/>
        <v>0</v>
      </c>
      <c r="O65" s="61">
        <f t="shared" si="45"/>
        <v>0</v>
      </c>
      <c r="P65" s="61">
        <f t="shared" si="46"/>
        <v>0</v>
      </c>
      <c r="Q65" s="61">
        <f t="shared" si="57"/>
        <v>27342.635596358501</v>
      </c>
      <c r="R65" s="100">
        <f t="shared" si="55"/>
        <v>1.086318458337644</v>
      </c>
      <c r="S65" s="74"/>
      <c r="T65" s="74"/>
      <c r="U65" s="84"/>
      <c r="Y65" s="83">
        <v>1.2666666666666666</v>
      </c>
    </row>
    <row r="66" spans="1:25" s="75" customFormat="1" ht="13">
      <c r="A66" s="58">
        <v>8</v>
      </c>
      <c r="B66" s="56" t="s">
        <v>145</v>
      </c>
      <c r="C66" s="118">
        <f t="shared" si="48"/>
        <v>0.91666666666666663</v>
      </c>
      <c r="D66" s="100"/>
      <c r="E66" s="61">
        <f t="shared" si="58"/>
        <v>0</v>
      </c>
      <c r="F66" s="61">
        <f t="shared" si="49"/>
        <v>20153.191666666666</v>
      </c>
      <c r="G66" s="61">
        <f t="shared" si="56"/>
        <v>0</v>
      </c>
      <c r="H66" s="61">
        <f t="shared" si="50"/>
        <v>0</v>
      </c>
      <c r="I66" s="61">
        <f t="shared" si="51"/>
        <v>1293.9498091666669</v>
      </c>
      <c r="J66" s="61">
        <f t="shared" si="43"/>
        <v>2820.8105839833343</v>
      </c>
      <c r="K66" s="61">
        <f t="shared" si="52"/>
        <v>3074.6835365418342</v>
      </c>
      <c r="L66" s="61">
        <f t="shared" si="53"/>
        <v>0</v>
      </c>
      <c r="M66" s="61">
        <f t="shared" si="59"/>
        <v>0</v>
      </c>
      <c r="N66" s="61">
        <f t="shared" si="44"/>
        <v>0</v>
      </c>
      <c r="O66" s="61">
        <f t="shared" si="45"/>
        <v>0</v>
      </c>
      <c r="P66" s="61">
        <f t="shared" si="46"/>
        <v>0</v>
      </c>
      <c r="Q66" s="61">
        <f t="shared" si="57"/>
        <v>27342.635596358501</v>
      </c>
      <c r="R66" s="100">
        <f t="shared" si="55"/>
        <v>1.086318458337644</v>
      </c>
      <c r="S66" s="74"/>
      <c r="T66" s="74"/>
      <c r="U66" s="84"/>
      <c r="Y66" s="83">
        <v>1.2666666666666666</v>
      </c>
    </row>
    <row r="67" spans="1:25" s="75" customFormat="1" ht="13">
      <c r="A67" s="58">
        <v>9</v>
      </c>
      <c r="B67" s="56" t="s">
        <v>146</v>
      </c>
      <c r="C67" s="118">
        <f t="shared" si="48"/>
        <v>0.91666666666666663</v>
      </c>
      <c r="D67" s="100"/>
      <c r="E67" s="61">
        <f t="shared" si="58"/>
        <v>0</v>
      </c>
      <c r="F67" s="61">
        <f t="shared" si="49"/>
        <v>20153.191666666666</v>
      </c>
      <c r="G67" s="61">
        <f t="shared" si="56"/>
        <v>0</v>
      </c>
      <c r="H67" s="61">
        <f t="shared" si="50"/>
        <v>0</v>
      </c>
      <c r="I67" s="61">
        <f t="shared" si="51"/>
        <v>1293.9498091666669</v>
      </c>
      <c r="J67" s="61">
        <f t="shared" si="43"/>
        <v>2820.8105839833343</v>
      </c>
      <c r="K67" s="61">
        <f t="shared" si="52"/>
        <v>3074.6835365418342</v>
      </c>
      <c r="L67" s="61">
        <f t="shared" si="53"/>
        <v>0</v>
      </c>
      <c r="M67" s="61">
        <f t="shared" si="59"/>
        <v>0</v>
      </c>
      <c r="N67" s="61">
        <f t="shared" si="44"/>
        <v>0</v>
      </c>
      <c r="O67" s="61">
        <f t="shared" si="45"/>
        <v>0</v>
      </c>
      <c r="P67" s="61">
        <f t="shared" si="46"/>
        <v>0</v>
      </c>
      <c r="Q67" s="61">
        <f t="shared" si="57"/>
        <v>27342.635596358501</v>
      </c>
      <c r="R67" s="100">
        <f t="shared" si="55"/>
        <v>1.086318458337644</v>
      </c>
      <c r="S67" s="74"/>
      <c r="T67" s="74"/>
      <c r="U67" s="84"/>
      <c r="Y67" s="83">
        <v>0.6333333333333333</v>
      </c>
    </row>
    <row r="68" spans="1:25" s="75" customFormat="1" ht="13">
      <c r="A68" s="58">
        <v>10</v>
      </c>
      <c r="B68" s="56" t="s">
        <v>147</v>
      </c>
      <c r="C68" s="118">
        <f t="shared" si="48"/>
        <v>0.91666666666666663</v>
      </c>
      <c r="D68" s="100"/>
      <c r="E68" s="61">
        <f t="shared" si="58"/>
        <v>0</v>
      </c>
      <c r="F68" s="61">
        <f t="shared" si="49"/>
        <v>20153.191666666666</v>
      </c>
      <c r="G68" s="61">
        <f t="shared" si="56"/>
        <v>0</v>
      </c>
      <c r="H68" s="61">
        <f t="shared" si="50"/>
        <v>0</v>
      </c>
      <c r="I68" s="61">
        <f t="shared" si="51"/>
        <v>1293.9498091666669</v>
      </c>
      <c r="J68" s="61">
        <f t="shared" si="43"/>
        <v>2820.8105839833343</v>
      </c>
      <c r="K68" s="61">
        <f t="shared" si="52"/>
        <v>3074.6835365418342</v>
      </c>
      <c r="L68" s="61">
        <f t="shared" si="53"/>
        <v>0</v>
      </c>
      <c r="M68" s="61">
        <f t="shared" si="59"/>
        <v>0</v>
      </c>
      <c r="N68" s="61">
        <f t="shared" si="44"/>
        <v>0</v>
      </c>
      <c r="O68" s="61">
        <f t="shared" si="45"/>
        <v>0</v>
      </c>
      <c r="P68" s="61">
        <f t="shared" si="46"/>
        <v>0</v>
      </c>
      <c r="Q68" s="61">
        <f t="shared" si="57"/>
        <v>27342.635596358501</v>
      </c>
      <c r="R68" s="100">
        <f t="shared" si="55"/>
        <v>1.086318458337644</v>
      </c>
      <c r="S68" s="74"/>
      <c r="T68" s="74"/>
      <c r="U68" s="84"/>
      <c r="Y68" s="83">
        <v>0.6333333333333333</v>
      </c>
    </row>
    <row r="69" spans="1:25" s="75" customFormat="1" ht="13">
      <c r="A69" s="58">
        <v>11</v>
      </c>
      <c r="B69" s="56" t="s">
        <v>32</v>
      </c>
      <c r="C69" s="118">
        <f t="shared" si="48"/>
        <v>0.91666666666666663</v>
      </c>
      <c r="D69" s="100"/>
      <c r="E69" s="61">
        <f t="shared" si="58"/>
        <v>0</v>
      </c>
      <c r="F69" s="61">
        <f t="shared" si="49"/>
        <v>20153.191666666666</v>
      </c>
      <c r="G69" s="61">
        <f t="shared" si="56"/>
        <v>0</v>
      </c>
      <c r="H69" s="61">
        <f t="shared" si="50"/>
        <v>0</v>
      </c>
      <c r="I69" s="61">
        <f t="shared" si="51"/>
        <v>1293.9498091666669</v>
      </c>
      <c r="J69" s="61">
        <f t="shared" si="43"/>
        <v>2820.8105839833343</v>
      </c>
      <c r="K69" s="61">
        <f t="shared" si="52"/>
        <v>3074.6835365418342</v>
      </c>
      <c r="L69" s="61">
        <f t="shared" si="53"/>
        <v>0</v>
      </c>
      <c r="M69" s="61">
        <f t="shared" si="59"/>
        <v>0</v>
      </c>
      <c r="N69" s="61">
        <f t="shared" si="44"/>
        <v>0</v>
      </c>
      <c r="O69" s="61">
        <f t="shared" si="45"/>
        <v>0</v>
      </c>
      <c r="P69" s="61">
        <f t="shared" si="46"/>
        <v>0</v>
      </c>
      <c r="Q69" s="61">
        <f t="shared" si="57"/>
        <v>27342.635596358501</v>
      </c>
      <c r="R69" s="100">
        <f>IF(Q69=0,0,(Q69/($C$2)))</f>
        <v>1.086318458337644</v>
      </c>
      <c r="S69" s="74"/>
      <c r="T69" s="74"/>
      <c r="U69" s="84"/>
      <c r="Y69" s="83">
        <v>0.6333333333333333</v>
      </c>
    </row>
    <row r="70" spans="1:25" s="75" customFormat="1" ht="13">
      <c r="A70" s="58">
        <v>12</v>
      </c>
      <c r="B70" s="56" t="s">
        <v>22</v>
      </c>
      <c r="C70" s="118">
        <f t="shared" si="48"/>
        <v>0.91666666666666663</v>
      </c>
      <c r="D70" s="100"/>
      <c r="E70" s="61">
        <f t="shared" si="58"/>
        <v>0</v>
      </c>
      <c r="F70" s="61">
        <f t="shared" si="49"/>
        <v>20153.191666666666</v>
      </c>
      <c r="G70" s="61">
        <f t="shared" si="56"/>
        <v>0</v>
      </c>
      <c r="H70" s="61">
        <f t="shared" si="50"/>
        <v>0</v>
      </c>
      <c r="I70" s="61">
        <f t="shared" si="51"/>
        <v>1293.9498091666669</v>
      </c>
      <c r="J70" s="61">
        <f t="shared" si="43"/>
        <v>2820.8105839833343</v>
      </c>
      <c r="K70" s="61">
        <f t="shared" si="52"/>
        <v>3074.6835365418342</v>
      </c>
      <c r="L70" s="61">
        <f t="shared" si="53"/>
        <v>0</v>
      </c>
      <c r="M70" s="61">
        <f t="shared" si="59"/>
        <v>0</v>
      </c>
      <c r="N70" s="61">
        <f t="shared" si="44"/>
        <v>0</v>
      </c>
      <c r="O70" s="61">
        <f t="shared" si="45"/>
        <v>0</v>
      </c>
      <c r="P70" s="61">
        <f t="shared" si="46"/>
        <v>0</v>
      </c>
      <c r="Q70" s="61">
        <f t="shared" si="57"/>
        <v>27342.635596358501</v>
      </c>
      <c r="R70" s="100">
        <f t="shared" si="55"/>
        <v>1.086318458337644</v>
      </c>
      <c r="S70" s="74"/>
      <c r="T70" s="74"/>
      <c r="U70" s="84"/>
      <c r="Y70" s="83">
        <v>1.2666666666666666</v>
      </c>
    </row>
    <row r="71" spans="1:25" s="75" customFormat="1" ht="13">
      <c r="A71" s="58">
        <v>13</v>
      </c>
      <c r="B71" s="56" t="s">
        <v>148</v>
      </c>
      <c r="C71" s="118">
        <f t="shared" si="48"/>
        <v>0.91666666666666663</v>
      </c>
      <c r="D71" s="67"/>
      <c r="E71" s="61">
        <f t="shared" si="58"/>
        <v>0</v>
      </c>
      <c r="F71" s="61">
        <f t="shared" si="49"/>
        <v>20153.191666666666</v>
      </c>
      <c r="G71" s="61">
        <f t="shared" si="56"/>
        <v>0</v>
      </c>
      <c r="H71" s="61">
        <f t="shared" si="50"/>
        <v>0</v>
      </c>
      <c r="I71" s="61">
        <f t="shared" si="51"/>
        <v>1293.9498091666669</v>
      </c>
      <c r="J71" s="61">
        <f t="shared" si="43"/>
        <v>2820.8105839833343</v>
      </c>
      <c r="K71" s="61">
        <f t="shared" si="52"/>
        <v>3074.6835365418342</v>
      </c>
      <c r="L71" s="61">
        <f t="shared" si="53"/>
        <v>0</v>
      </c>
      <c r="M71" s="61">
        <f t="shared" si="59"/>
        <v>0</v>
      </c>
      <c r="N71" s="61">
        <f t="shared" si="44"/>
        <v>0</v>
      </c>
      <c r="O71" s="61">
        <f t="shared" si="45"/>
        <v>0</v>
      </c>
      <c r="P71" s="61">
        <f t="shared" si="46"/>
        <v>0</v>
      </c>
      <c r="Q71" s="61">
        <f t="shared" si="57"/>
        <v>27342.635596358501</v>
      </c>
      <c r="R71" s="100">
        <f t="shared" si="55"/>
        <v>1.086318458337644</v>
      </c>
      <c r="S71" s="74"/>
      <c r="T71" s="74"/>
      <c r="U71" s="84"/>
      <c r="Y71" s="83">
        <v>1.2666666666666666</v>
      </c>
    </row>
    <row r="72" spans="1:25" s="75" customFormat="1" ht="13">
      <c r="A72" s="58">
        <v>14</v>
      </c>
      <c r="B72" s="56" t="s">
        <v>149</v>
      </c>
      <c r="C72" s="118">
        <f t="shared" si="48"/>
        <v>0.91666666666666663</v>
      </c>
      <c r="D72" s="67"/>
      <c r="E72" s="61">
        <f t="shared" si="58"/>
        <v>0</v>
      </c>
      <c r="F72" s="61">
        <f t="shared" si="49"/>
        <v>20153.191666666666</v>
      </c>
      <c r="G72" s="61">
        <f t="shared" si="56"/>
        <v>0</v>
      </c>
      <c r="H72" s="61">
        <f t="shared" si="50"/>
        <v>0</v>
      </c>
      <c r="I72" s="61">
        <f t="shared" si="51"/>
        <v>1293.9498091666669</v>
      </c>
      <c r="J72" s="61">
        <f t="shared" si="43"/>
        <v>2820.8105839833343</v>
      </c>
      <c r="K72" s="61">
        <f t="shared" si="52"/>
        <v>3074.6835365418342</v>
      </c>
      <c r="L72" s="61">
        <f t="shared" si="53"/>
        <v>0</v>
      </c>
      <c r="M72" s="61">
        <f t="shared" si="59"/>
        <v>0</v>
      </c>
      <c r="N72" s="61">
        <f t="shared" si="44"/>
        <v>0</v>
      </c>
      <c r="O72" s="61">
        <f t="shared" si="45"/>
        <v>0</v>
      </c>
      <c r="P72" s="61">
        <f t="shared" si="46"/>
        <v>0</v>
      </c>
      <c r="Q72" s="61">
        <f t="shared" si="57"/>
        <v>27342.635596358501</v>
      </c>
      <c r="R72" s="100">
        <f t="shared" si="55"/>
        <v>1.086318458337644</v>
      </c>
      <c r="S72" s="74"/>
      <c r="T72" s="74"/>
      <c r="U72" s="84"/>
      <c r="Y72" s="83">
        <v>0.6333333333333333</v>
      </c>
    </row>
    <row r="73" spans="1:25" s="75" customFormat="1" ht="13">
      <c r="A73" s="58">
        <v>15</v>
      </c>
      <c r="B73" s="56" t="s">
        <v>23</v>
      </c>
      <c r="C73" s="118">
        <f t="shared" si="48"/>
        <v>0.91666666666666663</v>
      </c>
      <c r="D73" s="67"/>
      <c r="E73" s="61">
        <f t="shared" si="58"/>
        <v>0</v>
      </c>
      <c r="F73" s="61">
        <f t="shared" si="49"/>
        <v>20153.191666666666</v>
      </c>
      <c r="G73" s="61">
        <f t="shared" si="56"/>
        <v>0</v>
      </c>
      <c r="H73" s="61">
        <f t="shared" si="50"/>
        <v>0</v>
      </c>
      <c r="I73" s="61">
        <f t="shared" si="51"/>
        <v>1293.9498091666669</v>
      </c>
      <c r="J73" s="61">
        <f t="shared" si="43"/>
        <v>2820.8105839833343</v>
      </c>
      <c r="K73" s="61">
        <f t="shared" si="52"/>
        <v>3074.6835365418342</v>
      </c>
      <c r="L73" s="61">
        <f t="shared" si="53"/>
        <v>0</v>
      </c>
      <c r="M73" s="61">
        <f t="shared" si="59"/>
        <v>0</v>
      </c>
      <c r="N73" s="61">
        <f t="shared" si="44"/>
        <v>0</v>
      </c>
      <c r="O73" s="61">
        <f t="shared" si="45"/>
        <v>0</v>
      </c>
      <c r="P73" s="61">
        <f t="shared" si="46"/>
        <v>0</v>
      </c>
      <c r="Q73" s="61">
        <f t="shared" si="57"/>
        <v>27342.635596358501</v>
      </c>
      <c r="R73" s="100">
        <f t="shared" si="55"/>
        <v>1.086318458337644</v>
      </c>
      <c r="S73" s="74"/>
      <c r="T73" s="74"/>
      <c r="U73" s="84"/>
      <c r="Y73" s="83">
        <v>0.6333333333333333</v>
      </c>
    </row>
    <row r="74" spans="1:25" s="75" customFormat="1" ht="13">
      <c r="A74" s="58">
        <v>16</v>
      </c>
      <c r="B74" s="56" t="s">
        <v>150</v>
      </c>
      <c r="C74" s="118">
        <f t="shared" si="48"/>
        <v>0.91666666666666663</v>
      </c>
      <c r="D74" s="74"/>
      <c r="E74" s="61">
        <f t="shared" si="58"/>
        <v>0</v>
      </c>
      <c r="F74" s="61">
        <f t="shared" si="49"/>
        <v>20153.191666666666</v>
      </c>
      <c r="G74" s="61">
        <f t="shared" si="56"/>
        <v>0</v>
      </c>
      <c r="H74" s="61">
        <f t="shared" si="50"/>
        <v>0</v>
      </c>
      <c r="I74" s="61">
        <f t="shared" si="51"/>
        <v>1293.9498091666669</v>
      </c>
      <c r="J74" s="61">
        <f t="shared" si="43"/>
        <v>2820.8105839833343</v>
      </c>
      <c r="K74" s="61">
        <f t="shared" si="52"/>
        <v>3074.6835365418342</v>
      </c>
      <c r="L74" s="61">
        <f t="shared" si="53"/>
        <v>0</v>
      </c>
      <c r="M74" s="61">
        <f t="shared" si="59"/>
        <v>0</v>
      </c>
      <c r="N74" s="61">
        <f t="shared" si="44"/>
        <v>0</v>
      </c>
      <c r="O74" s="61">
        <f t="shared" si="45"/>
        <v>0</v>
      </c>
      <c r="P74" s="61">
        <f t="shared" si="46"/>
        <v>0</v>
      </c>
      <c r="Q74" s="61">
        <f t="shared" si="57"/>
        <v>27342.635596358501</v>
      </c>
      <c r="R74" s="100">
        <f t="shared" si="55"/>
        <v>1.086318458337644</v>
      </c>
      <c r="S74" s="74"/>
      <c r="T74" s="74"/>
      <c r="U74" s="84"/>
      <c r="Y74" s="83">
        <v>0.6333333333333333</v>
      </c>
    </row>
    <row r="75" spans="1:25" s="75" customFormat="1" ht="13">
      <c r="A75" s="58">
        <v>17</v>
      </c>
      <c r="B75" s="56" t="s">
        <v>83</v>
      </c>
      <c r="C75" s="118">
        <f t="shared" si="48"/>
        <v>0.91666666666666663</v>
      </c>
      <c r="D75" s="74"/>
      <c r="E75" s="61">
        <f t="shared" si="58"/>
        <v>0</v>
      </c>
      <c r="F75" s="61">
        <f t="shared" si="49"/>
        <v>20153.191666666666</v>
      </c>
      <c r="G75" s="61">
        <f t="shared" si="56"/>
        <v>0</v>
      </c>
      <c r="H75" s="61">
        <f t="shared" si="50"/>
        <v>0</v>
      </c>
      <c r="I75" s="61">
        <f t="shared" si="51"/>
        <v>1293.9498091666669</v>
      </c>
      <c r="J75" s="61">
        <f t="shared" si="43"/>
        <v>2820.8105839833343</v>
      </c>
      <c r="K75" s="61">
        <f t="shared" si="52"/>
        <v>3074.6835365418342</v>
      </c>
      <c r="L75" s="61">
        <f t="shared" si="53"/>
        <v>0</v>
      </c>
      <c r="M75" s="61">
        <f t="shared" si="59"/>
        <v>0</v>
      </c>
      <c r="N75" s="61">
        <f t="shared" si="44"/>
        <v>0</v>
      </c>
      <c r="O75" s="61">
        <f t="shared" si="45"/>
        <v>0</v>
      </c>
      <c r="P75" s="61">
        <f t="shared" si="46"/>
        <v>0</v>
      </c>
      <c r="Q75" s="61">
        <f t="shared" si="57"/>
        <v>27342.635596358501</v>
      </c>
      <c r="R75" s="100">
        <f t="shared" si="55"/>
        <v>1.086318458337644</v>
      </c>
      <c r="S75" s="74"/>
      <c r="T75" s="74"/>
      <c r="U75" s="84"/>
      <c r="Y75" s="83">
        <v>0.6333333333333333</v>
      </c>
    </row>
    <row r="76" spans="1:25" s="75" customFormat="1" ht="13">
      <c r="A76" s="58">
        <v>18</v>
      </c>
      <c r="B76" s="56" t="s">
        <v>66</v>
      </c>
      <c r="C76" s="118">
        <f t="shared" si="48"/>
        <v>0.91666666666666663</v>
      </c>
      <c r="D76" s="74"/>
      <c r="E76" s="61">
        <f t="shared" si="58"/>
        <v>0</v>
      </c>
      <c r="F76" s="61">
        <f t="shared" si="49"/>
        <v>20153.191666666666</v>
      </c>
      <c r="G76" s="61">
        <f t="shared" si="56"/>
        <v>0</v>
      </c>
      <c r="H76" s="61">
        <f t="shared" si="50"/>
        <v>0</v>
      </c>
      <c r="I76" s="61">
        <f t="shared" si="51"/>
        <v>1293.9498091666669</v>
      </c>
      <c r="J76" s="61">
        <f>$C76*$C$9*$D$9</f>
        <v>2820.8105839833343</v>
      </c>
      <c r="K76" s="61">
        <f t="shared" si="52"/>
        <v>3074.6835365418342</v>
      </c>
      <c r="L76" s="61">
        <f t="shared" si="53"/>
        <v>0</v>
      </c>
      <c r="M76" s="61">
        <f t="shared" si="59"/>
        <v>0</v>
      </c>
      <c r="N76" s="61">
        <f t="shared" si="44"/>
        <v>0</v>
      </c>
      <c r="O76" s="61">
        <f t="shared" si="45"/>
        <v>0</v>
      </c>
      <c r="P76" s="61">
        <f t="shared" si="46"/>
        <v>0</v>
      </c>
      <c r="Q76" s="61">
        <f t="shared" si="57"/>
        <v>27342.635596358501</v>
      </c>
      <c r="R76" s="100">
        <f t="shared" si="55"/>
        <v>1.086318458337644</v>
      </c>
      <c r="S76" s="74"/>
      <c r="T76" s="74"/>
      <c r="U76" s="84"/>
      <c r="Y76" s="83">
        <v>0.6333333333333333</v>
      </c>
    </row>
    <row r="77" spans="1:25" s="75" customFormat="1">
      <c r="A77" s="58">
        <v>19</v>
      </c>
      <c r="B77" s="76" t="s">
        <v>151</v>
      </c>
      <c r="C77" s="118">
        <f t="shared" si="48"/>
        <v>0.91666666666666663</v>
      </c>
      <c r="D77" s="74"/>
      <c r="E77" s="61">
        <f t="shared" si="58"/>
        <v>0</v>
      </c>
      <c r="F77" s="61">
        <f t="shared" si="49"/>
        <v>20153.191666666666</v>
      </c>
      <c r="G77" s="61">
        <f t="shared" si="56"/>
        <v>0</v>
      </c>
      <c r="H77" s="61">
        <f t="shared" si="50"/>
        <v>0</v>
      </c>
      <c r="I77" s="61">
        <f t="shared" si="51"/>
        <v>1293.9498091666669</v>
      </c>
      <c r="J77" s="61">
        <f>$C77*$C$9*$D$9</f>
        <v>2820.8105839833343</v>
      </c>
      <c r="K77" s="61">
        <f t="shared" si="52"/>
        <v>3074.6835365418342</v>
      </c>
      <c r="L77" s="61">
        <f t="shared" si="53"/>
        <v>0</v>
      </c>
      <c r="M77" s="61">
        <f t="shared" si="59"/>
        <v>0</v>
      </c>
      <c r="N77" s="61">
        <f t="shared" si="44"/>
        <v>0</v>
      </c>
      <c r="O77" s="61">
        <f t="shared" si="45"/>
        <v>0</v>
      </c>
      <c r="P77" s="61">
        <f t="shared" si="46"/>
        <v>0</v>
      </c>
      <c r="Q77" s="61">
        <f t="shared" si="57"/>
        <v>27342.635596358501</v>
      </c>
      <c r="R77" s="100">
        <f t="shared" si="55"/>
        <v>1.086318458337644</v>
      </c>
      <c r="S77" s="74"/>
      <c r="T77" s="74"/>
      <c r="U77" s="84"/>
      <c r="Y77" s="83">
        <v>0.6333333333333333</v>
      </c>
    </row>
    <row r="78" spans="1:25" s="75" customFormat="1">
      <c r="A78" s="58">
        <v>20</v>
      </c>
      <c r="B78" s="76" t="s">
        <v>152</v>
      </c>
      <c r="C78" s="118">
        <f t="shared" si="48"/>
        <v>0.91666666666666663</v>
      </c>
      <c r="D78" s="74"/>
      <c r="E78" s="61">
        <f t="shared" si="58"/>
        <v>0</v>
      </c>
      <c r="F78" s="61">
        <f t="shared" si="49"/>
        <v>20153.191666666666</v>
      </c>
      <c r="G78" s="61">
        <f t="shared" si="56"/>
        <v>0</v>
      </c>
      <c r="H78" s="61">
        <f t="shared" si="50"/>
        <v>0</v>
      </c>
      <c r="I78" s="61">
        <f t="shared" si="51"/>
        <v>1293.9498091666669</v>
      </c>
      <c r="J78" s="61">
        <f t="shared" ref="J78:J83" si="60">$C78*$C$9*$D$9</f>
        <v>2820.8105839833343</v>
      </c>
      <c r="K78" s="61">
        <f t="shared" si="52"/>
        <v>3074.6835365418342</v>
      </c>
      <c r="L78" s="61">
        <f t="shared" si="53"/>
        <v>0</v>
      </c>
      <c r="M78" s="61">
        <f t="shared" si="59"/>
        <v>0</v>
      </c>
      <c r="N78" s="61">
        <f t="shared" si="44"/>
        <v>0</v>
      </c>
      <c r="O78" s="61">
        <f t="shared" si="45"/>
        <v>0</v>
      </c>
      <c r="P78" s="61">
        <f t="shared" si="46"/>
        <v>0</v>
      </c>
      <c r="Q78" s="61">
        <f t="shared" si="57"/>
        <v>27342.635596358501</v>
      </c>
      <c r="R78" s="100">
        <f t="shared" si="55"/>
        <v>1.086318458337644</v>
      </c>
      <c r="S78" s="74"/>
      <c r="T78" s="74"/>
      <c r="U78" s="84"/>
      <c r="Y78" s="83">
        <v>0.6333333333333333</v>
      </c>
    </row>
    <row r="79" spans="1:25" s="75" customFormat="1">
      <c r="A79" s="58">
        <v>21</v>
      </c>
      <c r="B79" s="76" t="s">
        <v>175</v>
      </c>
      <c r="C79" s="118">
        <f t="shared" si="48"/>
        <v>0.91666666666666663</v>
      </c>
      <c r="D79" s="74"/>
      <c r="E79" s="61">
        <f t="shared" si="58"/>
        <v>0</v>
      </c>
      <c r="F79" s="61">
        <f t="shared" si="49"/>
        <v>20153.191666666666</v>
      </c>
      <c r="G79" s="61">
        <f t="shared" si="56"/>
        <v>0</v>
      </c>
      <c r="H79" s="61">
        <f t="shared" si="50"/>
        <v>0</v>
      </c>
      <c r="I79" s="61">
        <f t="shared" si="51"/>
        <v>1293.9498091666669</v>
      </c>
      <c r="J79" s="61">
        <f t="shared" si="60"/>
        <v>2820.8105839833343</v>
      </c>
      <c r="K79" s="61">
        <f t="shared" si="52"/>
        <v>3074.6835365418342</v>
      </c>
      <c r="L79" s="61">
        <f t="shared" si="53"/>
        <v>0</v>
      </c>
      <c r="M79" s="61">
        <f t="shared" si="59"/>
        <v>0</v>
      </c>
      <c r="N79" s="61">
        <f t="shared" si="44"/>
        <v>0</v>
      </c>
      <c r="O79" s="61">
        <f t="shared" si="45"/>
        <v>0</v>
      </c>
      <c r="P79" s="61">
        <f t="shared" si="46"/>
        <v>0</v>
      </c>
      <c r="Q79" s="61">
        <f t="shared" si="57"/>
        <v>27342.635596358501</v>
      </c>
      <c r="R79" s="100">
        <f t="shared" si="55"/>
        <v>1.086318458337644</v>
      </c>
      <c r="S79" s="74"/>
      <c r="T79" s="74"/>
      <c r="U79" s="84"/>
      <c r="Y79" s="83">
        <v>0.6333333333333333</v>
      </c>
    </row>
    <row r="80" spans="1:25" s="75" customFormat="1" ht="26">
      <c r="A80" s="58">
        <v>22</v>
      </c>
      <c r="B80" s="56" t="s">
        <v>153</v>
      </c>
      <c r="C80" s="118">
        <f t="shared" si="48"/>
        <v>0.91666666666666663</v>
      </c>
      <c r="D80" s="74"/>
      <c r="E80" s="61">
        <f t="shared" si="58"/>
        <v>0</v>
      </c>
      <c r="F80" s="61">
        <f t="shared" si="49"/>
        <v>20153.191666666666</v>
      </c>
      <c r="G80" s="61">
        <f t="shared" si="56"/>
        <v>0</v>
      </c>
      <c r="H80" s="61">
        <f t="shared" si="50"/>
        <v>0</v>
      </c>
      <c r="I80" s="61">
        <f t="shared" si="51"/>
        <v>1293.9498091666669</v>
      </c>
      <c r="J80" s="61">
        <f t="shared" si="60"/>
        <v>2820.8105839833343</v>
      </c>
      <c r="K80" s="61">
        <f t="shared" si="52"/>
        <v>3074.6835365418342</v>
      </c>
      <c r="L80" s="61">
        <f t="shared" si="53"/>
        <v>0</v>
      </c>
      <c r="M80" s="61">
        <f t="shared" si="59"/>
        <v>0</v>
      </c>
      <c r="N80" s="61">
        <f t="shared" si="44"/>
        <v>0</v>
      </c>
      <c r="O80" s="61">
        <f t="shared" si="45"/>
        <v>0</v>
      </c>
      <c r="P80" s="61">
        <f t="shared" si="46"/>
        <v>0</v>
      </c>
      <c r="Q80" s="61">
        <f t="shared" si="57"/>
        <v>27342.635596358501</v>
      </c>
      <c r="R80" s="100">
        <f t="shared" si="55"/>
        <v>1.086318458337644</v>
      </c>
      <c r="S80" s="74"/>
      <c r="T80" s="74"/>
      <c r="U80" s="84"/>
      <c r="Y80" s="83">
        <v>0.6333333333333333</v>
      </c>
    </row>
    <row r="81" spans="1:25" ht="26">
      <c r="A81" s="58">
        <v>23</v>
      </c>
      <c r="B81" s="56" t="s">
        <v>154</v>
      </c>
      <c r="C81" s="118">
        <f t="shared" si="48"/>
        <v>0.91666666666666663</v>
      </c>
      <c r="D81" s="67"/>
      <c r="E81" s="61">
        <f t="shared" si="58"/>
        <v>0</v>
      </c>
      <c r="F81" s="61">
        <f t="shared" si="49"/>
        <v>20153.191666666666</v>
      </c>
      <c r="G81" s="61">
        <f t="shared" si="56"/>
        <v>0</v>
      </c>
      <c r="H81" s="61">
        <f t="shared" si="50"/>
        <v>0</v>
      </c>
      <c r="I81" s="61">
        <f t="shared" si="51"/>
        <v>1293.9498091666669</v>
      </c>
      <c r="J81" s="61">
        <f t="shared" si="60"/>
        <v>2820.8105839833343</v>
      </c>
      <c r="K81" s="61">
        <f t="shared" si="52"/>
        <v>3074.6835365418342</v>
      </c>
      <c r="L81" s="61">
        <f t="shared" si="53"/>
        <v>0</v>
      </c>
      <c r="M81" s="61">
        <f t="shared" si="59"/>
        <v>0</v>
      </c>
      <c r="N81" s="61">
        <f t="shared" si="44"/>
        <v>0</v>
      </c>
      <c r="O81" s="61">
        <f t="shared" si="45"/>
        <v>0</v>
      </c>
      <c r="P81" s="61">
        <f t="shared" si="46"/>
        <v>0</v>
      </c>
      <c r="Q81" s="61">
        <f t="shared" si="57"/>
        <v>27342.635596358501</v>
      </c>
      <c r="R81" s="100">
        <f t="shared" si="55"/>
        <v>1.086318458337644</v>
      </c>
      <c r="S81" s="67"/>
      <c r="T81" s="67"/>
      <c r="U81" s="85"/>
      <c r="Y81" s="83">
        <v>0.6333333333333333</v>
      </c>
    </row>
    <row r="82" spans="1:25" ht="26">
      <c r="A82" s="58">
        <v>24</v>
      </c>
      <c r="B82" s="56" t="s">
        <v>155</v>
      </c>
      <c r="C82" s="118">
        <f t="shared" si="48"/>
        <v>0.91666666666666663</v>
      </c>
      <c r="D82" s="67"/>
      <c r="E82" s="61">
        <f t="shared" si="58"/>
        <v>0</v>
      </c>
      <c r="F82" s="61">
        <f t="shared" si="49"/>
        <v>20153.191666666666</v>
      </c>
      <c r="G82" s="61">
        <f t="shared" si="56"/>
        <v>0</v>
      </c>
      <c r="H82" s="61">
        <f t="shared" si="50"/>
        <v>0</v>
      </c>
      <c r="I82" s="61">
        <f t="shared" si="51"/>
        <v>1293.9498091666669</v>
      </c>
      <c r="J82" s="61">
        <f t="shared" si="60"/>
        <v>2820.8105839833343</v>
      </c>
      <c r="K82" s="61">
        <f t="shared" si="52"/>
        <v>3074.6835365418342</v>
      </c>
      <c r="L82" s="61">
        <f t="shared" si="53"/>
        <v>0</v>
      </c>
      <c r="M82" s="61">
        <f t="shared" si="59"/>
        <v>0</v>
      </c>
      <c r="N82" s="61">
        <f t="shared" si="44"/>
        <v>0</v>
      </c>
      <c r="O82" s="61">
        <f t="shared" si="45"/>
        <v>0</v>
      </c>
      <c r="P82" s="61">
        <f t="shared" si="46"/>
        <v>0</v>
      </c>
      <c r="Q82" s="61">
        <f t="shared" si="57"/>
        <v>27342.635596358501</v>
      </c>
      <c r="R82" s="100">
        <f t="shared" si="55"/>
        <v>1.086318458337644</v>
      </c>
      <c r="S82" s="67"/>
      <c r="T82" s="67"/>
      <c r="U82" s="85"/>
      <c r="Y82" s="83">
        <v>0.6333333333333333</v>
      </c>
    </row>
    <row r="83" spans="1:25" ht="13.5" thickBot="1">
      <c r="A83" s="58">
        <v>25</v>
      </c>
      <c r="B83" s="77" t="s">
        <v>95</v>
      </c>
      <c r="C83" s="118">
        <f t="shared" si="48"/>
        <v>0.91666666666666663</v>
      </c>
      <c r="D83" s="86"/>
      <c r="E83" s="78">
        <f t="shared" si="58"/>
        <v>0</v>
      </c>
      <c r="F83" s="78">
        <f t="shared" si="49"/>
        <v>20153.191666666666</v>
      </c>
      <c r="G83" s="78">
        <f t="shared" si="56"/>
        <v>0</v>
      </c>
      <c r="H83" s="78">
        <f t="shared" si="50"/>
        <v>0</v>
      </c>
      <c r="I83" s="61">
        <f t="shared" si="51"/>
        <v>1293.9498091666669</v>
      </c>
      <c r="J83" s="78">
        <f t="shared" si="60"/>
        <v>2820.8105839833343</v>
      </c>
      <c r="K83" s="78">
        <f t="shared" si="52"/>
        <v>3074.6835365418342</v>
      </c>
      <c r="L83" s="78">
        <f t="shared" si="53"/>
        <v>0</v>
      </c>
      <c r="M83" s="78">
        <f t="shared" si="59"/>
        <v>0</v>
      </c>
      <c r="N83" s="61">
        <f t="shared" si="44"/>
        <v>0</v>
      </c>
      <c r="O83" s="61">
        <f t="shared" si="45"/>
        <v>0</v>
      </c>
      <c r="P83" s="61">
        <f t="shared" si="46"/>
        <v>0</v>
      </c>
      <c r="Q83" s="61">
        <f t="shared" si="57"/>
        <v>27342.635596358501</v>
      </c>
      <c r="R83" s="117">
        <f t="shared" si="55"/>
        <v>1.086318458337644</v>
      </c>
      <c r="S83" s="86"/>
      <c r="T83" s="86"/>
      <c r="U83" s="87"/>
      <c r="Y83" s="83">
        <v>0.6333333333333333</v>
      </c>
    </row>
    <row r="87" spans="1:25" ht="22">
      <c r="A87" s="88"/>
      <c r="B87" s="88" t="s">
        <v>10</v>
      </c>
    </row>
    <row r="88" spans="1:25" ht="22">
      <c r="A88" s="88">
        <v>1</v>
      </c>
      <c r="B88" s="89" t="s">
        <v>162</v>
      </c>
      <c r="C88" s="90"/>
      <c r="D88" s="90"/>
      <c r="E88" s="90"/>
    </row>
    <row r="89" spans="1:25" ht="22">
      <c r="A89" s="88">
        <v>2</v>
      </c>
      <c r="B89" s="89" t="s">
        <v>163</v>
      </c>
    </row>
    <row r="97" spans="3:9">
      <c r="C97" s="58" t="s">
        <v>25</v>
      </c>
    </row>
    <row r="98" spans="3:9" ht="25">
      <c r="C98" s="58" t="s">
        <v>507</v>
      </c>
      <c r="D98" s="58">
        <v>4000</v>
      </c>
      <c r="F98">
        <v>3500</v>
      </c>
    </row>
    <row r="99" spans="3:9" ht="25">
      <c r="C99" s="58" t="s">
        <v>508</v>
      </c>
      <c r="D99" s="58">
        <v>1000</v>
      </c>
      <c r="F99">
        <v>850</v>
      </c>
    </row>
    <row r="100" spans="3:9" ht="25">
      <c r="C100" s="58" t="s">
        <v>509</v>
      </c>
      <c r="D100" s="58">
        <f>25*70</f>
        <v>1750</v>
      </c>
      <c r="E100" s="58" t="s">
        <v>510</v>
      </c>
      <c r="F100" t="s">
        <v>512</v>
      </c>
    </row>
    <row r="101" spans="3:9">
      <c r="C101" s="58" t="s">
        <v>511</v>
      </c>
      <c r="D101" s="58">
        <v>2500</v>
      </c>
      <c r="H101" s="58" t="s">
        <v>513</v>
      </c>
      <c r="I101" s="58">
        <v>12000</v>
      </c>
    </row>
    <row r="102" spans="3:9">
      <c r="D102" s="58">
        <f>SUM(D98:D101)</f>
        <v>9250</v>
      </c>
      <c r="H102" s="58" t="s">
        <v>514</v>
      </c>
      <c r="I102" s="58">
        <v>2024</v>
      </c>
    </row>
    <row r="103" spans="3:9">
      <c r="H103" s="58" t="s">
        <v>515</v>
      </c>
      <c r="I103" s="58">
        <v>2300</v>
      </c>
    </row>
  </sheetData>
  <mergeCells count="2">
    <mergeCell ref="D1:D2"/>
    <mergeCell ref="H1:H2"/>
  </mergeCells>
  <hyperlinks>
    <hyperlink ref="J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Process Flow Doc</vt:lpstr>
      <vt:lpstr>RFCE</vt:lpstr>
      <vt:lpstr>FEASIBILITY</vt:lpstr>
      <vt:lpstr>BOP New</vt:lpstr>
      <vt:lpstr>Cost Estimation</vt:lpstr>
      <vt:lpstr>PRICE ESTIMATION</vt:lpstr>
      <vt:lpstr>Norms</vt:lpstr>
      <vt:lpstr>Molding and Testing</vt:lpstr>
      <vt:lpstr>Future Value Table (Jan 18)</vt:lpstr>
      <vt:lpstr>Change log</vt:lpstr>
      <vt:lpstr>LIST1</vt:lpstr>
      <vt:lpstr>machine</vt:lpstr>
      <vt:lpstr>'Cost Estimation'!Print_Area</vt:lpstr>
      <vt:lpstr>'PRICE ESTIMATION'!Print_Area</vt:lpstr>
      <vt:lpstr>'Future Value Table (Jan 18)'!Processlist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hatat</dc:creator>
  <cp:lastModifiedBy>Alok Ranjan</cp:lastModifiedBy>
  <cp:lastPrinted>2018-12-15T05:22:46Z</cp:lastPrinted>
  <dcterms:created xsi:type="dcterms:W3CDTF">2008-01-17T13:59:43Z</dcterms:created>
  <dcterms:modified xsi:type="dcterms:W3CDTF">2022-08-22T07:20:24Z</dcterms:modified>
</cp:coreProperties>
</file>