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09499\Desktop\"/>
    </mc:Choice>
  </mc:AlternateContent>
  <xr:revisionPtr revIDLastSave="0" documentId="8_{A0B44AA2-0BFD-4480-96A0-40E8DB6641FA}" xr6:coauthVersionLast="47" xr6:coauthVersionMax="47" xr10:uidLastSave="{00000000-0000-0000-0000-000000000000}"/>
  <bookViews>
    <workbookView xWindow="-120" yWindow="-120" windowWidth="29040" windowHeight="15840" xr2:uid="{87241BBD-7CBE-4D6F-9843-69AD1D55878E}"/>
  </bookViews>
  <sheets>
    <sheet name="Residential vs. Rider 18" sheetId="1" r:id="rId1"/>
    <sheet name="Residential vs. Rider 18 -blank" sheetId="5" r:id="rId2"/>
    <sheet name="Net Metering vs Distributed Gen" sheetId="2" r:id="rId3"/>
    <sheet name="Rates and Credi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5" i="5" l="1"/>
  <c r="I64" i="5"/>
  <c r="H64" i="5"/>
  <c r="J64" i="5" s="1"/>
  <c r="C64" i="5"/>
  <c r="I63" i="5"/>
  <c r="D63" i="5"/>
  <c r="E63" i="5" s="1"/>
  <c r="C63" i="5"/>
  <c r="I62" i="5"/>
  <c r="C62" i="5"/>
  <c r="H62" i="5" s="1"/>
  <c r="J62" i="5" s="1"/>
  <c r="I57" i="5"/>
  <c r="C57" i="5"/>
  <c r="H57" i="5" s="1"/>
  <c r="J57" i="5" s="1"/>
  <c r="I56" i="5"/>
  <c r="C56" i="5"/>
  <c r="H56" i="5" s="1"/>
  <c r="J56" i="5" s="1"/>
  <c r="J58" i="5" s="1"/>
  <c r="J27" i="5" s="1"/>
  <c r="I37" i="5"/>
  <c r="H37" i="5"/>
  <c r="J37" i="5" s="1"/>
  <c r="D37" i="5"/>
  <c r="I36" i="5"/>
  <c r="H36" i="5"/>
  <c r="J36" i="5" s="1"/>
  <c r="H35" i="5"/>
  <c r="C35" i="5" s="1"/>
  <c r="E35" i="5" s="1"/>
  <c r="I30" i="5"/>
  <c r="H30" i="5"/>
  <c r="J30" i="5" s="1"/>
  <c r="I29" i="5"/>
  <c r="I26" i="5"/>
  <c r="H26" i="5"/>
  <c r="C26" i="5" s="1"/>
  <c r="I25" i="5"/>
  <c r="H25" i="5"/>
  <c r="J25" i="5" s="1"/>
  <c r="I24" i="5"/>
  <c r="H24" i="5"/>
  <c r="J24" i="5" s="1"/>
  <c r="I23" i="5"/>
  <c r="H23" i="5"/>
  <c r="C23" i="5" s="1"/>
  <c r="B18" i="5"/>
  <c r="C17" i="5"/>
  <c r="D26" i="5" s="1"/>
  <c r="I57" i="1"/>
  <c r="I65" i="2"/>
  <c r="I64" i="2"/>
  <c r="C65" i="2"/>
  <c r="H65" i="2" s="1"/>
  <c r="C64" i="2"/>
  <c r="H64" i="2" s="1"/>
  <c r="I59" i="2"/>
  <c r="I58" i="2"/>
  <c r="C59" i="2"/>
  <c r="H59" i="2" s="1"/>
  <c r="C58" i="2"/>
  <c r="H58" i="2" s="1"/>
  <c r="I62" i="1"/>
  <c r="I56" i="1"/>
  <c r="C63" i="1"/>
  <c r="C62" i="1"/>
  <c r="H62" i="1" s="1"/>
  <c r="C57" i="1"/>
  <c r="H57" i="1" s="1"/>
  <c r="C56" i="1"/>
  <c r="H56" i="1" s="1"/>
  <c r="H39" i="2"/>
  <c r="H38" i="2"/>
  <c r="H37" i="2"/>
  <c r="H27" i="2"/>
  <c r="H26" i="2"/>
  <c r="H25" i="2"/>
  <c r="I67" i="2"/>
  <c r="I66" i="2"/>
  <c r="C67" i="2"/>
  <c r="H67" i="2" s="1"/>
  <c r="C66" i="2"/>
  <c r="H66" i="2" s="1"/>
  <c r="I64" i="1"/>
  <c r="I63" i="1"/>
  <c r="C65" i="1"/>
  <c r="H64" i="1" s="1"/>
  <c r="C64" i="1"/>
  <c r="H63" i="1" s="1"/>
  <c r="H37" i="1"/>
  <c r="H36" i="1"/>
  <c r="H35" i="1"/>
  <c r="H25" i="1"/>
  <c r="H24" i="1"/>
  <c r="H23" i="1"/>
  <c r="H13" i="4"/>
  <c r="H26" i="1" s="1"/>
  <c r="D66" i="4"/>
  <c r="D70" i="4"/>
  <c r="D74" i="4"/>
  <c r="D79" i="4"/>
  <c r="D83" i="4"/>
  <c r="D87" i="4"/>
  <c r="D92" i="4"/>
  <c r="D96" i="4"/>
  <c r="D100" i="4"/>
  <c r="D55" i="4"/>
  <c r="D9" i="4"/>
  <c r="H30" i="1" s="1"/>
  <c r="D11" i="4"/>
  <c r="D12" i="4"/>
  <c r="D14" i="4"/>
  <c r="D15" i="4"/>
  <c r="D16" i="4"/>
  <c r="D17" i="4"/>
  <c r="D19" i="4"/>
  <c r="D20" i="4"/>
  <c r="D21" i="4"/>
  <c r="D22" i="4"/>
  <c r="D24" i="4"/>
  <c r="D25" i="4"/>
  <c r="D27" i="4"/>
  <c r="D28" i="4"/>
  <c r="D29" i="4"/>
  <c r="D30" i="4"/>
  <c r="D32" i="4"/>
  <c r="D36" i="4"/>
  <c r="D37" i="4"/>
  <c r="D39" i="4"/>
  <c r="D40" i="4"/>
  <c r="D41" i="4"/>
  <c r="D42" i="4"/>
  <c r="D44" i="4"/>
  <c r="D45" i="4"/>
  <c r="D47" i="4"/>
  <c r="D49" i="4"/>
  <c r="D51" i="4"/>
  <c r="D53" i="4"/>
  <c r="D54" i="4"/>
  <c r="D57" i="4"/>
  <c r="D59" i="4"/>
  <c r="D64" i="4"/>
  <c r="D65" i="4"/>
  <c r="D68" i="4"/>
  <c r="D69" i="4"/>
  <c r="D72" i="4"/>
  <c r="D73" i="4"/>
  <c r="D77" i="4"/>
  <c r="D78" i="4"/>
  <c r="D81" i="4"/>
  <c r="D82" i="4"/>
  <c r="D85" i="4"/>
  <c r="D86" i="4"/>
  <c r="D90" i="4"/>
  <c r="D91" i="4"/>
  <c r="D94" i="4"/>
  <c r="D95" i="4"/>
  <c r="D98" i="4"/>
  <c r="D99" i="4"/>
  <c r="D102" i="4"/>
  <c r="D103" i="4"/>
  <c r="D8" i="4"/>
  <c r="H29" i="1" s="1"/>
  <c r="H29" i="5" l="1"/>
  <c r="J29" i="5" s="1"/>
  <c r="C37" i="5"/>
  <c r="E37" i="5" s="1"/>
  <c r="C36" i="5"/>
  <c r="C25" i="5"/>
  <c r="E25" i="5" s="1"/>
  <c r="C24" i="5"/>
  <c r="J57" i="1"/>
  <c r="E26" i="5"/>
  <c r="J23" i="5"/>
  <c r="J47" i="5" s="1"/>
  <c r="D25" i="5"/>
  <c r="J35" i="5"/>
  <c r="D57" i="5"/>
  <c r="E57" i="5" s="1"/>
  <c r="D62" i="5"/>
  <c r="E62" i="5" s="1"/>
  <c r="H63" i="5"/>
  <c r="J63" i="5" s="1"/>
  <c r="J65" i="5" s="1"/>
  <c r="J38" i="5" s="1"/>
  <c r="D24" i="5"/>
  <c r="E24" i="5" s="1"/>
  <c r="J26" i="5"/>
  <c r="D36" i="5"/>
  <c r="E36" i="5" s="1"/>
  <c r="D56" i="5"/>
  <c r="E56" i="5" s="1"/>
  <c r="D65" i="5"/>
  <c r="E65" i="5" s="1"/>
  <c r="D23" i="5"/>
  <c r="E23" i="5" s="1"/>
  <c r="D64" i="5"/>
  <c r="E64" i="5" s="1"/>
  <c r="J56" i="1"/>
  <c r="J58" i="1" s="1"/>
  <c r="J62" i="1"/>
  <c r="J58" i="2"/>
  <c r="J64" i="2"/>
  <c r="J65" i="2"/>
  <c r="J59" i="2"/>
  <c r="J60" i="2" s="1"/>
  <c r="J29" i="2" s="1"/>
  <c r="H28" i="2"/>
  <c r="H31" i="2"/>
  <c r="H32" i="2"/>
  <c r="J67" i="2"/>
  <c r="J66" i="2"/>
  <c r="J64" i="1"/>
  <c r="J63" i="1"/>
  <c r="E58" i="5" l="1"/>
  <c r="E27" i="5" s="1"/>
  <c r="E32" i="5" s="1"/>
  <c r="E66" i="5"/>
  <c r="E38" i="5" s="1"/>
  <c r="E40" i="5"/>
  <c r="J31" i="5"/>
  <c r="J48" i="5"/>
  <c r="I12" i="5" s="1"/>
  <c r="J32" i="5"/>
  <c r="J40" i="5"/>
  <c r="J27" i="1"/>
  <c r="J65" i="1"/>
  <c r="J38" i="1" s="1"/>
  <c r="J68" i="2"/>
  <c r="J40" i="2" s="1"/>
  <c r="J41" i="5" l="1"/>
  <c r="E41" i="5"/>
  <c r="E42" i="5"/>
  <c r="E43" i="5" s="1"/>
  <c r="I14" i="5" s="1"/>
  <c r="J42" i="5"/>
  <c r="J43" i="5" s="1"/>
  <c r="I11" i="5" s="1"/>
  <c r="I37" i="1"/>
  <c r="J37" i="1" s="1"/>
  <c r="D37" i="1"/>
  <c r="C37" i="1"/>
  <c r="I36" i="1"/>
  <c r="J36" i="1" s="1"/>
  <c r="C36" i="1"/>
  <c r="C35" i="1"/>
  <c r="E35" i="1" s="1"/>
  <c r="I30" i="1"/>
  <c r="J30" i="1" s="1"/>
  <c r="I29" i="1"/>
  <c r="J29" i="1" s="1"/>
  <c r="I26" i="1"/>
  <c r="C26" i="1"/>
  <c r="I25" i="1"/>
  <c r="J25" i="1" s="1"/>
  <c r="C25" i="1"/>
  <c r="I24" i="1"/>
  <c r="C24" i="1"/>
  <c r="I23" i="1"/>
  <c r="J23" i="1" s="1"/>
  <c r="C23" i="1"/>
  <c r="B18" i="1"/>
  <c r="C17" i="1"/>
  <c r="C54" i="2"/>
  <c r="C55" i="2" s="1"/>
  <c r="I39" i="2"/>
  <c r="C39" i="2"/>
  <c r="D39" i="2"/>
  <c r="I38" i="2"/>
  <c r="C38" i="2"/>
  <c r="C37" i="2"/>
  <c r="E37" i="2" s="1"/>
  <c r="I32" i="2"/>
  <c r="J32" i="2" s="1"/>
  <c r="I31" i="2"/>
  <c r="J31" i="2" s="1"/>
  <c r="J30" i="2"/>
  <c r="I28" i="2"/>
  <c r="C28" i="2"/>
  <c r="I27" i="2"/>
  <c r="J27" i="2"/>
  <c r="I26" i="2"/>
  <c r="C26" i="2"/>
  <c r="I25" i="2"/>
  <c r="C25" i="2"/>
  <c r="C16" i="2"/>
  <c r="I16" i="5" l="1"/>
  <c r="I17" i="5" s="1"/>
  <c r="E37" i="1"/>
  <c r="D62" i="1"/>
  <c r="E62" i="1" s="1"/>
  <c r="D57" i="1"/>
  <c r="E57" i="1" s="1"/>
  <c r="D56" i="1"/>
  <c r="E56" i="1" s="1"/>
  <c r="D63" i="1"/>
  <c r="E63" i="1" s="1"/>
  <c r="D64" i="2"/>
  <c r="E64" i="2" s="1"/>
  <c r="D58" i="2"/>
  <c r="E58" i="2" s="1"/>
  <c r="D65" i="2"/>
  <c r="E65" i="2" s="1"/>
  <c r="D59" i="2"/>
  <c r="E59" i="2" s="1"/>
  <c r="E39" i="2"/>
  <c r="D67" i="2"/>
  <c r="E67" i="2" s="1"/>
  <c r="D66" i="2"/>
  <c r="E66" i="2" s="1"/>
  <c r="D26" i="2"/>
  <c r="E26" i="2" s="1"/>
  <c r="J26" i="2"/>
  <c r="J28" i="2"/>
  <c r="J38" i="2"/>
  <c r="D65" i="1"/>
  <c r="E65" i="1" s="1"/>
  <c r="D64" i="1"/>
  <c r="E64" i="1" s="1"/>
  <c r="D23" i="1"/>
  <c r="E23" i="1" s="1"/>
  <c r="D24" i="1"/>
  <c r="E24" i="1" s="1"/>
  <c r="J24" i="1"/>
  <c r="D26" i="1"/>
  <c r="E26" i="1" s="1"/>
  <c r="J26" i="1"/>
  <c r="J35" i="1"/>
  <c r="J40" i="1" s="1"/>
  <c r="D25" i="1"/>
  <c r="E25" i="1" s="1"/>
  <c r="D36" i="1"/>
  <c r="E36" i="1" s="1"/>
  <c r="C31" i="2"/>
  <c r="C30" i="2"/>
  <c r="C33" i="2"/>
  <c r="C41" i="2"/>
  <c r="D27" i="2"/>
  <c r="D25" i="2"/>
  <c r="E25" i="2" s="1"/>
  <c r="C50" i="2"/>
  <c r="D38" i="2"/>
  <c r="E38" i="2" s="1"/>
  <c r="D28" i="2"/>
  <c r="E28" i="2" s="1"/>
  <c r="J25" i="2"/>
  <c r="J39" i="2"/>
  <c r="C27" i="2"/>
  <c r="D51" i="2" s="1"/>
  <c r="D49" i="2" s="1"/>
  <c r="J37" i="2"/>
  <c r="E58" i="1" l="1"/>
  <c r="E27" i="1" s="1"/>
  <c r="E32" i="1" s="1"/>
  <c r="J50" i="2"/>
  <c r="J47" i="1"/>
  <c r="E68" i="2"/>
  <c r="E40" i="2" s="1"/>
  <c r="E66" i="1"/>
  <c r="E38" i="1" s="1"/>
  <c r="E40" i="1" s="1"/>
  <c r="E60" i="2"/>
  <c r="E29" i="2" s="1"/>
  <c r="J42" i="2"/>
  <c r="C32" i="2"/>
  <c r="E27" i="2"/>
  <c r="D33" i="2"/>
  <c r="E33" i="2" s="1"/>
  <c r="D41" i="2"/>
  <c r="E41" i="2" s="1"/>
  <c r="D32" i="2"/>
  <c r="D31" i="2"/>
  <c r="E31" i="2" s="1"/>
  <c r="D30" i="2"/>
  <c r="E30" i="2" s="1"/>
  <c r="E42" i="2" l="1"/>
  <c r="E41" i="1"/>
  <c r="E42" i="1" s="1"/>
  <c r="E43" i="1" s="1"/>
  <c r="I14" i="1" s="1"/>
  <c r="J48" i="1"/>
  <c r="I12" i="1" s="1"/>
  <c r="J31" i="1"/>
  <c r="J32" i="1" s="1"/>
  <c r="J41" i="1" s="1"/>
  <c r="E32" i="2"/>
  <c r="E34" i="2" s="1"/>
  <c r="E44" i="2" l="1"/>
  <c r="E45" i="2" s="1"/>
  <c r="E46" i="2" s="1"/>
  <c r="H14" i="2" s="1"/>
  <c r="J42" i="1"/>
  <c r="J43" i="1" s="1"/>
  <c r="I11" i="1" s="1"/>
  <c r="I16" i="1" s="1"/>
  <c r="I17" i="1" s="1"/>
  <c r="J33" i="2" l="1"/>
  <c r="J34" i="2" s="1"/>
  <c r="J44" i="2" s="1"/>
  <c r="J51" i="2"/>
  <c r="H12" i="2" s="1"/>
  <c r="J45" i="2" l="1"/>
  <c r="J46" i="2" s="1"/>
  <c r="H17" i="2" l="1"/>
  <c r="H11" i="2"/>
  <c r="E49" i="2"/>
  <c r="C51" i="2"/>
  <c r="E51" i="2" s="1"/>
  <c r="H18" i="2" l="1"/>
  <c r="H15" i="2"/>
</calcChain>
</file>

<file path=xl/sharedStrings.xml><?xml version="1.0" encoding="utf-8"?>
<sst xmlns="http://schemas.openxmlformats.org/spreadsheetml/2006/main" count="416" uniqueCount="124">
  <si>
    <t>Residential Bill Impact Estimate Calculator</t>
  </si>
  <si>
    <t>Rate Schedule D1 vs. Distributed Generation (Rider 18)</t>
  </si>
  <si>
    <r>
      <t xml:space="preserve">This calculator compares a residential customer's bill without solar generation or enrollment in the Distributed Generation (Rider 18) program to a residential bill with solar generation and enrollment in the program. An average residential home is serviced by DTE Energy under the D1 Residential rate schedule. 
</t>
    </r>
    <r>
      <rPr>
        <i/>
        <sz val="9"/>
        <color theme="1"/>
        <rFont val="Verdana"/>
        <family val="2"/>
      </rPr>
      <t>Important Notes:</t>
    </r>
    <r>
      <rPr>
        <sz val="9"/>
        <color theme="1"/>
        <rFont val="Verdana"/>
        <family val="2"/>
      </rPr>
      <t xml:space="preserve">
1) The user will input their information into the green cells </t>
    </r>
    <r>
      <rPr>
        <b/>
        <u/>
        <sz val="9"/>
        <color theme="1"/>
        <rFont val="Verdana"/>
        <family val="2"/>
      </rPr>
      <t>only</t>
    </r>
    <r>
      <rPr>
        <sz val="9"/>
        <color theme="1"/>
        <rFont val="Verdana"/>
        <family val="2"/>
      </rPr>
      <t xml:space="preserve"> and the results of the bill comparison will calculate automatically.
2) This is to be used as an estimate only and should not be used for financial planning purposes.</t>
    </r>
  </si>
  <si>
    <t>INPUTS - ESTIMATE YOUR ACTIVITY</t>
  </si>
  <si>
    <t>OUTPUT SUMMARY</t>
  </si>
  <si>
    <t>Residential D1 Rate with Rider 18</t>
  </si>
  <si>
    <t>Billing Period</t>
  </si>
  <si>
    <t>days</t>
  </si>
  <si>
    <t>Rider 18 - Ending Bank Balance</t>
  </si>
  <si>
    <r>
      <t xml:space="preserve">Inflow </t>
    </r>
    <r>
      <rPr>
        <sz val="8"/>
        <color theme="1"/>
        <rFont val="Verdana"/>
        <family val="2"/>
      </rPr>
      <t>(energy delivered by DTE)</t>
    </r>
  </si>
  <si>
    <t>kWh</t>
  </si>
  <si>
    <r>
      <t xml:space="preserve">Outflow </t>
    </r>
    <r>
      <rPr>
        <sz val="8"/>
        <color theme="1"/>
        <rFont val="Verdana"/>
        <family val="2"/>
      </rPr>
      <t>(energy exported to DTE)</t>
    </r>
  </si>
  <si>
    <t>Residential D1 Rate without Rider 18</t>
  </si>
  <si>
    <t>Solar Generation</t>
  </si>
  <si>
    <t xml:space="preserve">Estimated Rider 18 Bill Savings </t>
  </si>
  <si>
    <r>
      <t>Onsite Usage</t>
    </r>
    <r>
      <rPr>
        <sz val="8"/>
        <color theme="1"/>
        <rFont val="Verdana"/>
        <family val="2"/>
      </rPr>
      <t xml:space="preserve"> (Inflow+Generation-Outflow)</t>
    </r>
  </si>
  <si>
    <t>Rider 18 Savings + Banked Credits</t>
  </si>
  <si>
    <t>Rate Schedule D1 Bill without Rider 18</t>
  </si>
  <si>
    <t>Rate Schedule D1 Bill with Rider 18</t>
  </si>
  <si>
    <t>Rate</t>
  </si>
  <si>
    <t>Bill Det</t>
  </si>
  <si>
    <t>Bill</t>
  </si>
  <si>
    <t>Power Supply</t>
  </si>
  <si>
    <t>Capacity Charges:</t>
  </si>
  <si>
    <t xml:space="preserve">  First 17 kWh</t>
  </si>
  <si>
    <t xml:space="preserve">  Excess</t>
  </si>
  <si>
    <t>Non-Capacity Charge</t>
  </si>
  <si>
    <t>PSCR</t>
  </si>
  <si>
    <t>Outflow Credits</t>
  </si>
  <si>
    <t>Excess Gen Bank Adjustment</t>
  </si>
  <si>
    <t>Power Supply Subtotal</t>
  </si>
  <si>
    <t>Delivery</t>
  </si>
  <si>
    <t>Service Charge</t>
  </si>
  <si>
    <t>Distribution Charge</t>
  </si>
  <si>
    <t>Nuclear Surcharge</t>
  </si>
  <si>
    <t>EWR</t>
  </si>
  <si>
    <t>LIEAF</t>
  </si>
  <si>
    <t>Delivery Subtotal</t>
  </si>
  <si>
    <t>Total</t>
  </si>
  <si>
    <t>Tax</t>
  </si>
  <si>
    <t>Grand Total</t>
  </si>
  <si>
    <t>Excess Generation Bank</t>
  </si>
  <si>
    <t>Start</t>
  </si>
  <si>
    <t xml:space="preserve">Change </t>
  </si>
  <si>
    <t>End</t>
  </si>
  <si>
    <t>Rate Schedule D1 with Category One Net Metering (Rider 16) vs. Rate Schedule D1 with Distributed Generation (Rider 18)</t>
  </si>
  <si>
    <r>
      <t xml:space="preserve">This calculator compares the bills of a residential customer that participates in Net Metering (Rider 16) to a residential customer that participates in Distributed Generation (Rider 18). An average residential home is serviced by DTE Energy under the D1 Residential rate schedule. 
</t>
    </r>
    <r>
      <rPr>
        <i/>
        <sz val="9"/>
        <color theme="1"/>
        <rFont val="Verdana"/>
        <family val="2"/>
      </rPr>
      <t>Important Notes:</t>
    </r>
    <r>
      <rPr>
        <sz val="9"/>
        <color theme="1"/>
        <rFont val="Verdana"/>
        <family val="2"/>
      </rPr>
      <t xml:space="preserve">
1) The user will input their information into the green cells </t>
    </r>
    <r>
      <rPr>
        <b/>
        <u/>
        <sz val="9"/>
        <color theme="1"/>
        <rFont val="Verdana"/>
        <family val="2"/>
      </rPr>
      <t>only</t>
    </r>
    <r>
      <rPr>
        <sz val="9"/>
        <color theme="1"/>
        <rFont val="Verdana"/>
        <family val="2"/>
      </rPr>
      <t xml:space="preserve"> and the results of the bill comparison will calculate automatically.
2) This is to be used as an estimate only and should not be used for financial planning purposes.
3) As of May 9, 2019, customers can no longer enroll in Net Metering. This estimate calculator is for customers transitioning from Net Metering to Distributed Generation.</t>
    </r>
  </si>
  <si>
    <t xml:space="preserve">  Rider 18 - Ending Bank Balance</t>
  </si>
  <si>
    <t>Residential D1 Rate with Rider 16</t>
  </si>
  <si>
    <t xml:space="preserve">  Rider 16 - Ending Bank Balance</t>
  </si>
  <si>
    <r>
      <t>Net Inflow</t>
    </r>
    <r>
      <rPr>
        <sz val="8"/>
        <color theme="1"/>
        <rFont val="Verdana"/>
        <family val="2"/>
      </rPr>
      <t xml:space="preserve"> (Inflow - Outflow)*</t>
    </r>
  </si>
  <si>
    <t>*For billing purposes, under Net Metering, if net inflow is less than zero, than zero net inflow is billed and the excess amount of outflow (negative amount) is banked.</t>
  </si>
  <si>
    <t>Estimated Rider 18 Bill Difference</t>
  </si>
  <si>
    <r>
      <t xml:space="preserve">Estimated Rider 18 Bill Difference </t>
    </r>
    <r>
      <rPr>
        <sz val="8"/>
        <color theme="1"/>
        <rFont val="Verdana"/>
        <family val="2"/>
      </rPr>
      <t>(Including banked credits)</t>
    </r>
  </si>
  <si>
    <t>Rate Schedule D1 Bill with Rider 16</t>
  </si>
  <si>
    <t xml:space="preserve">  First 17</t>
  </si>
  <si>
    <t>Bank Use First 17</t>
  </si>
  <si>
    <t>Bank Use Excess</t>
  </si>
  <si>
    <t>Bank Use Non-Capacity</t>
  </si>
  <si>
    <t>Bank Use PSCR</t>
  </si>
  <si>
    <t xml:space="preserve">Bank Use Distribution </t>
  </si>
  <si>
    <t>Est. Value</t>
  </si>
  <si>
    <t>Net Inflow (Raw)</t>
  </si>
  <si>
    <t>Billing Net Inflow</t>
  </si>
  <si>
    <t>FULL SERVICE - Rider 18  Credits</t>
  </si>
  <si>
    <t>PSCR (January 1, 2022)</t>
  </si>
  <si>
    <t>RESIDENTIAL</t>
  </si>
  <si>
    <t>D1/D1.6</t>
  </si>
  <si>
    <t xml:space="preserve">   First 17 KWH/Day</t>
  </si>
  <si>
    <t xml:space="preserve">   Excess</t>
  </si>
  <si>
    <t>D1.1</t>
  </si>
  <si>
    <t>Summer</t>
  </si>
  <si>
    <t>Winter</t>
  </si>
  <si>
    <t>D1.2</t>
  </si>
  <si>
    <t xml:space="preserve">  Summer On Peak</t>
  </si>
  <si>
    <t xml:space="preserve">  Summer Off Peak</t>
  </si>
  <si>
    <t xml:space="preserve">  Winter On Peak</t>
  </si>
  <si>
    <t xml:space="preserve">  Winter Off Peak</t>
  </si>
  <si>
    <t xml:space="preserve">D1.7 </t>
  </si>
  <si>
    <t>D1.9</t>
  </si>
  <si>
    <t xml:space="preserve">  On Peak</t>
  </si>
  <si>
    <t xml:space="preserve">  Off Peak</t>
  </si>
  <si>
    <t>D2</t>
  </si>
  <si>
    <t xml:space="preserve">  Summer First 17 kWh/day</t>
  </si>
  <si>
    <t xml:space="preserve">  Summer Excess</t>
  </si>
  <si>
    <t xml:space="preserve">  Winter First 20 kWh/day</t>
  </si>
  <si>
    <t xml:space="preserve">  Winter Excess</t>
  </si>
  <si>
    <t>D5</t>
  </si>
  <si>
    <t xml:space="preserve">  All Outflow</t>
  </si>
  <si>
    <t>COMMERCIAL SECONDARY</t>
  </si>
  <si>
    <t>D1.1 Commercial</t>
  </si>
  <si>
    <t>D1.7 Commercial</t>
  </si>
  <si>
    <t>D3</t>
  </si>
  <si>
    <t>D3.2</t>
  </si>
  <si>
    <t>D3.3</t>
  </si>
  <si>
    <t>D4</t>
  </si>
  <si>
    <t xml:space="preserve">  First 200 kWh per kW</t>
  </si>
  <si>
    <t xml:space="preserve">  Demand</t>
  </si>
  <si>
    <t>E1.1</t>
  </si>
  <si>
    <t>PRIMARY</t>
  </si>
  <si>
    <t>D11</t>
  </si>
  <si>
    <t xml:space="preserve">  Primary</t>
  </si>
  <si>
    <t xml:space="preserve">    On Peak</t>
  </si>
  <si>
    <t xml:space="preserve">    Off Peak</t>
  </si>
  <si>
    <t xml:space="preserve">    Demand</t>
  </si>
  <si>
    <t xml:space="preserve">  Subtransmission</t>
  </si>
  <si>
    <t xml:space="preserve">  Transmission</t>
  </si>
  <si>
    <t>D6.2</t>
  </si>
  <si>
    <t>D8</t>
  </si>
  <si>
    <t>D10</t>
  </si>
  <si>
    <t xml:space="preserve">  Summer</t>
  </si>
  <si>
    <t xml:space="preserve">  Winter</t>
  </si>
  <si>
    <t>Rider 18 Tariff (No PSCR)</t>
  </si>
  <si>
    <t>As of 1/1/22 (incl. PSCR)</t>
  </si>
  <si>
    <t>FULL SERVICE - D1 Rate</t>
  </si>
  <si>
    <t>Residential</t>
  </si>
  <si>
    <t>Capacity Charges</t>
  </si>
  <si>
    <t>First 17 kWh</t>
  </si>
  <si>
    <t>Excess kWh (&gt;17 kWh)</t>
  </si>
  <si>
    <t>Non-Capacity Charges</t>
  </si>
  <si>
    <t>Bill Credit</t>
  </si>
  <si>
    <t>Other Power Supply Volumetric Surcharges</t>
  </si>
  <si>
    <t>Other Delivery Volumetric Surcharges</t>
  </si>
  <si>
    <t>Securitization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</si>
</sst>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164" formatCode="&quot;$&quot;#,##0.00"/>
    <numFmt numFmtId="165" formatCode="&quot;$&quot;#,##0.00000_);\(&quot;$&quot;#,##0.00000\)"/>
    <numFmt numFmtId="166" formatCode="&quot;$&quot;#,##0.000000_);\(&quot;$&quot;#,##0.000000\)"/>
    <numFmt numFmtId="167" formatCode="&quot;$&quot;#,##0.00000"/>
    <numFmt numFmtId="168" formatCode="&quot;$&quot;#,##0.000000"/>
  </numFmts>
  <fonts count="16" x14ac:knownFonts="1">
    <font>
      <sz val="11"/>
      <color theme="1"/>
      <name val="Calibri"/>
      <family val="2"/>
      <scheme val="minor"/>
    </font>
    <font>
      <sz val="11"/>
      <color theme="1"/>
      <name val="Verdana"/>
      <family val="2"/>
    </font>
    <font>
      <b/>
      <sz val="18"/>
      <color theme="1"/>
      <name val="Verdana"/>
      <family val="2"/>
    </font>
    <font>
      <b/>
      <sz val="14"/>
      <color theme="1"/>
      <name val="Verdana"/>
      <family val="2"/>
    </font>
    <font>
      <sz val="9"/>
      <color theme="1"/>
      <name val="Verdana"/>
      <family val="2"/>
    </font>
    <font>
      <i/>
      <sz val="9"/>
      <color theme="1"/>
      <name val="Verdana"/>
      <family val="2"/>
    </font>
    <font>
      <b/>
      <u/>
      <sz val="9"/>
      <color theme="1"/>
      <name val="Verdana"/>
      <family val="2"/>
    </font>
    <font>
      <b/>
      <sz val="11"/>
      <color theme="1"/>
      <name val="Verdana"/>
      <family val="2"/>
    </font>
    <font>
      <b/>
      <sz val="11"/>
      <name val="Verdana"/>
      <family val="2"/>
    </font>
    <font>
      <i/>
      <sz val="11"/>
      <color theme="1"/>
      <name val="Verdana"/>
      <family val="2"/>
    </font>
    <font>
      <sz val="8"/>
      <color theme="1"/>
      <name val="Verdana"/>
      <family val="2"/>
    </font>
    <font>
      <b/>
      <sz val="11"/>
      <color rgb="FF0000FF"/>
      <name val="Verdana"/>
      <family val="2"/>
    </font>
    <font>
      <b/>
      <sz val="18"/>
      <color rgb="FFFF0000"/>
      <name val="Verdana"/>
      <family val="2"/>
    </font>
    <font>
      <b/>
      <u/>
      <sz val="11"/>
      <color theme="1"/>
      <name val="Verdana"/>
      <family val="2"/>
    </font>
    <font>
      <sz val="11"/>
      <name val="Verdana"/>
      <family val="2"/>
    </font>
    <font>
      <u/>
      <sz val="11"/>
      <color theme="1"/>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style="thin">
        <color indexed="64"/>
      </bottom>
      <diagonal/>
    </border>
    <border>
      <left/>
      <right/>
      <top style="thick">
        <color auto="1"/>
      </top>
      <bottom style="thin">
        <color indexed="64"/>
      </bottom>
      <diagonal/>
    </border>
    <border>
      <left/>
      <right style="thick">
        <color auto="1"/>
      </right>
      <top style="thick">
        <color auto="1"/>
      </top>
      <bottom style="thin">
        <color indexed="64"/>
      </bottom>
      <diagonal/>
    </border>
    <border>
      <left style="thick">
        <color auto="1"/>
      </left>
      <right/>
      <top/>
      <bottom/>
      <diagonal/>
    </border>
    <border>
      <left/>
      <right/>
      <top style="thin">
        <color indexed="64"/>
      </top>
      <bottom style="thin">
        <color indexed="64"/>
      </bottom>
      <diagonal/>
    </border>
    <border>
      <left/>
      <right style="thick">
        <color auto="1"/>
      </right>
      <top style="thin">
        <color indexed="64"/>
      </top>
      <bottom style="thin">
        <color indexed="64"/>
      </bottom>
      <diagonal/>
    </border>
    <border>
      <left/>
      <right style="thick">
        <color auto="1"/>
      </right>
      <top/>
      <bottom/>
      <diagonal/>
    </border>
    <border>
      <left/>
      <right style="thick">
        <color auto="1"/>
      </right>
      <top/>
      <bottom style="thin">
        <color indexed="64"/>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n">
        <color indexed="64"/>
      </top>
      <bottom style="thick">
        <color auto="1"/>
      </bottom>
      <diagonal/>
    </border>
    <border>
      <left/>
      <right style="thick">
        <color auto="1"/>
      </right>
      <top style="thin">
        <color indexed="64"/>
      </top>
      <bottom style="thick">
        <color auto="1"/>
      </bottom>
      <diagonal/>
    </border>
    <border>
      <left/>
      <right/>
      <top/>
      <bottom style="thin">
        <color indexed="64"/>
      </bottom>
      <diagonal/>
    </border>
  </borders>
  <cellStyleXfs count="1">
    <xf numFmtId="0" fontId="0" fillId="0" borderId="0"/>
  </cellStyleXfs>
  <cellXfs count="98">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xf numFmtId="0" fontId="1" fillId="2" borderId="4"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8" fillId="3" borderId="0" xfId="0" applyFont="1" applyFill="1"/>
    <xf numFmtId="0" fontId="9" fillId="2" borderId="0" xfId="0" applyFont="1" applyFill="1"/>
    <xf numFmtId="0" fontId="1" fillId="2" borderId="8" xfId="0" applyFont="1" applyFill="1" applyBorder="1"/>
    <xf numFmtId="0" fontId="1" fillId="2" borderId="0" xfId="0" applyFont="1" applyFill="1" applyAlignment="1">
      <alignment horizontal="center"/>
    </xf>
    <xf numFmtId="0" fontId="1" fillId="2" borderId="8" xfId="0" applyFont="1" applyFill="1" applyBorder="1" applyAlignment="1">
      <alignment horizontal="center"/>
    </xf>
    <xf numFmtId="164" fontId="11" fillId="2" borderId="0" xfId="0" applyNumberFormat="1" applyFont="1" applyFill="1"/>
    <xf numFmtId="0" fontId="1" fillId="2" borderId="9" xfId="0" applyFont="1" applyFill="1" applyBorder="1"/>
    <xf numFmtId="0" fontId="1" fillId="2" borderId="10" xfId="0" applyFont="1" applyFill="1" applyBorder="1"/>
    <xf numFmtId="0" fontId="9" fillId="2" borderId="10" xfId="0" applyFont="1" applyFill="1" applyBorder="1"/>
    <xf numFmtId="0" fontId="1" fillId="2" borderId="11" xfId="0" applyFont="1" applyFill="1" applyBorder="1"/>
    <xf numFmtId="0" fontId="12" fillId="0" borderId="0" xfId="0" applyFont="1"/>
    <xf numFmtId="164" fontId="11" fillId="0" borderId="0" xfId="0" applyNumberFormat="1" applyFont="1"/>
    <xf numFmtId="0" fontId="1" fillId="0" borderId="15" xfId="0" applyFont="1" applyBorder="1"/>
    <xf numFmtId="0" fontId="7" fillId="0" borderId="16" xfId="0" applyFont="1" applyBorder="1" applyAlignment="1">
      <alignment horizontal="center"/>
    </xf>
    <xf numFmtId="0" fontId="7" fillId="0" borderId="17" xfId="0" applyFont="1" applyBorder="1" applyAlignment="1">
      <alignment horizontal="center"/>
    </xf>
    <xf numFmtId="0" fontId="13" fillId="0" borderId="15" xfId="0" applyFont="1" applyBorder="1"/>
    <xf numFmtId="0" fontId="1" fillId="0" borderId="18" xfId="0" applyFont="1" applyBorder="1" applyAlignment="1">
      <alignment horizontal="center"/>
    </xf>
    <xf numFmtId="0" fontId="1" fillId="0" borderId="18" xfId="0" applyFont="1" applyBorder="1"/>
    <xf numFmtId="165" fontId="1" fillId="0" borderId="0" xfId="0" applyNumberFormat="1" applyFont="1"/>
    <xf numFmtId="7" fontId="1" fillId="0" borderId="18" xfId="0" applyNumberFormat="1" applyFont="1" applyBorder="1" applyAlignment="1">
      <alignment horizontal="center"/>
    </xf>
    <xf numFmtId="7" fontId="1" fillId="0" borderId="18" xfId="0" applyNumberFormat="1" applyFont="1" applyBorder="1"/>
    <xf numFmtId="7" fontId="1" fillId="0" borderId="19" xfId="0" applyNumberFormat="1" applyFont="1" applyBorder="1" applyAlignment="1">
      <alignment horizontal="center"/>
    </xf>
    <xf numFmtId="7" fontId="1" fillId="0" borderId="19" xfId="0" applyNumberFormat="1" applyFont="1" applyBorder="1"/>
    <xf numFmtId="0" fontId="7" fillId="0" borderId="15" xfId="0" applyFont="1" applyBorder="1"/>
    <xf numFmtId="165" fontId="7" fillId="0" borderId="0" xfId="0" applyNumberFormat="1" applyFont="1"/>
    <xf numFmtId="0" fontId="7" fillId="0" borderId="0" xfId="0" applyFont="1" applyAlignment="1">
      <alignment horizontal="center"/>
    </xf>
    <xf numFmtId="7" fontId="7" fillId="0" borderId="18" xfId="0" applyNumberFormat="1" applyFont="1" applyBorder="1" applyAlignment="1">
      <alignment horizontal="center"/>
    </xf>
    <xf numFmtId="0" fontId="7" fillId="0" borderId="0" xfId="0" applyFont="1"/>
    <xf numFmtId="7" fontId="7" fillId="0" borderId="18" xfId="0" applyNumberFormat="1" applyFont="1" applyBorder="1"/>
    <xf numFmtId="7" fontId="1" fillId="0" borderId="0" xfId="0" applyNumberFormat="1" applyFont="1"/>
    <xf numFmtId="164" fontId="14" fillId="0" borderId="18" xfId="0" applyNumberFormat="1" applyFont="1" applyBorder="1"/>
    <xf numFmtId="164" fontId="1" fillId="0" borderId="19" xfId="0" applyNumberFormat="1" applyFont="1" applyBorder="1"/>
    <xf numFmtId="0" fontId="1" fillId="0" borderId="20" xfId="0" applyFont="1" applyBorder="1"/>
    <xf numFmtId="0" fontId="1" fillId="0" borderId="21" xfId="0" applyFont="1" applyBorder="1" applyAlignment="1">
      <alignment horizontal="center"/>
    </xf>
    <xf numFmtId="0" fontId="1" fillId="0" borderId="22" xfId="0" applyFont="1" applyBorder="1" applyAlignment="1">
      <alignment horizontal="center"/>
    </xf>
    <xf numFmtId="0" fontId="1" fillId="0" borderId="21" xfId="0" applyFont="1" applyBorder="1"/>
    <xf numFmtId="0" fontId="1" fillId="2" borderId="0" xfId="0" applyFont="1" applyFill="1"/>
    <xf numFmtId="0" fontId="11" fillId="2" borderId="0" xfId="0" applyFont="1" applyFill="1"/>
    <xf numFmtId="0" fontId="1" fillId="2" borderId="0" xfId="0" applyFont="1" applyFill="1" applyAlignment="1">
      <alignment horizontal="right"/>
    </xf>
    <xf numFmtId="0" fontId="1" fillId="2" borderId="9" xfId="0" applyFont="1" applyFill="1" applyBorder="1" applyAlignment="1">
      <alignment wrapText="1"/>
    </xf>
    <xf numFmtId="0" fontId="5" fillId="0" borderId="0" xfId="0" applyFont="1" applyAlignment="1">
      <alignment vertical="center" wrapText="1"/>
    </xf>
    <xf numFmtId="7" fontId="1" fillId="0" borderId="0" xfId="0" applyNumberFormat="1" applyFont="1" applyAlignment="1">
      <alignment horizontal="right"/>
    </xf>
    <xf numFmtId="165" fontId="1" fillId="0" borderId="0" xfId="0" applyNumberFormat="1" applyFont="1" applyAlignment="1">
      <alignment horizontal="center"/>
    </xf>
    <xf numFmtId="0" fontId="7" fillId="0" borderId="19" xfId="0" applyFont="1" applyBorder="1" applyAlignment="1">
      <alignment horizontal="center"/>
    </xf>
    <xf numFmtId="1" fontId="1" fillId="0" borderId="0" xfId="0" applyNumberFormat="1" applyFont="1" applyAlignment="1">
      <alignment horizontal="center"/>
    </xf>
    <xf numFmtId="164" fontId="1" fillId="0" borderId="18" xfId="0" applyNumberFormat="1" applyFont="1" applyBorder="1" applyAlignment="1">
      <alignment horizontal="center"/>
    </xf>
    <xf numFmtId="1" fontId="1" fillId="0" borderId="23" xfId="0" applyNumberFormat="1" applyFont="1" applyBorder="1" applyAlignment="1">
      <alignment horizontal="center"/>
    </xf>
    <xf numFmtId="165" fontId="1" fillId="0" borderId="23" xfId="0" applyNumberFormat="1" applyFont="1" applyBorder="1" applyAlignment="1">
      <alignment horizontal="center"/>
    </xf>
    <xf numFmtId="7" fontId="1" fillId="0" borderId="24" xfId="0" applyNumberFormat="1" applyFont="1" applyBorder="1" applyAlignment="1">
      <alignment horizontal="center"/>
    </xf>
    <xf numFmtId="164" fontId="1" fillId="0" borderId="22" xfId="0" applyNumberFormat="1" applyFont="1" applyBorder="1"/>
    <xf numFmtId="167" fontId="1" fillId="0" borderId="0" xfId="0" applyNumberFormat="1" applyFont="1"/>
    <xf numFmtId="0" fontId="15" fillId="0" borderId="0" xfId="0" applyFont="1" applyAlignment="1">
      <alignment horizontal="center"/>
    </xf>
    <xf numFmtId="0" fontId="14" fillId="0" borderId="0" xfId="0" applyFont="1" applyAlignment="1">
      <alignment horizontal="center"/>
    </xf>
    <xf numFmtId="165" fontId="14" fillId="0" borderId="0" xfId="0" applyNumberFormat="1" applyFont="1" applyAlignment="1">
      <alignment horizontal="center"/>
    </xf>
    <xf numFmtId="166" fontId="14" fillId="0" borderId="0" xfId="0" applyNumberFormat="1" applyFont="1" applyAlignment="1">
      <alignment horizontal="center"/>
    </xf>
    <xf numFmtId="7" fontId="14" fillId="0" borderId="0" xfId="0" applyNumberFormat="1" applyFont="1" applyAlignment="1">
      <alignment horizontal="center"/>
    </xf>
    <xf numFmtId="7" fontId="1" fillId="0" borderId="0" xfId="0" applyNumberFormat="1" applyFont="1" applyAlignment="1">
      <alignment horizontal="center"/>
    </xf>
    <xf numFmtId="164" fontId="1" fillId="0" borderId="0" xfId="0" applyNumberFormat="1" applyFont="1"/>
    <xf numFmtId="168" fontId="1" fillId="0" borderId="0" xfId="0" applyNumberFormat="1" applyFont="1"/>
    <xf numFmtId="0" fontId="15" fillId="0" borderId="0" xfId="0" applyFont="1"/>
    <xf numFmtId="0" fontId="7" fillId="0" borderId="25" xfId="0" applyFont="1" applyBorder="1" applyAlignment="1">
      <alignment horizontal="center"/>
    </xf>
    <xf numFmtId="164" fontId="1" fillId="0" borderId="25" xfId="0" applyNumberFormat="1" applyFont="1" applyBorder="1"/>
    <xf numFmtId="0" fontId="1" fillId="2" borderId="9" xfId="0" applyFont="1" applyFill="1" applyBorder="1" applyAlignment="1">
      <alignment horizontal="center"/>
    </xf>
    <xf numFmtId="0" fontId="1" fillId="2" borderId="10" xfId="0" applyFont="1" applyFill="1" applyBorder="1" applyAlignment="1">
      <alignment horizontal="center"/>
    </xf>
    <xf numFmtId="7" fontId="1" fillId="2" borderId="10" xfId="0" applyNumberFormat="1" applyFont="1" applyFill="1" applyBorder="1" applyAlignment="1">
      <alignment horizontal="center"/>
    </xf>
    <xf numFmtId="7" fontId="1" fillId="2" borderId="11" xfId="0" applyNumberFormat="1" applyFont="1" applyFill="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4" xfId="0" applyFont="1" applyBorder="1" applyAlignment="1">
      <alignment horizontal="center"/>
    </xf>
    <xf numFmtId="0" fontId="1" fillId="2" borderId="7" xfId="0" applyFont="1" applyFill="1" applyBorder="1" applyAlignment="1">
      <alignment horizontal="center"/>
    </xf>
    <xf numFmtId="0" fontId="1" fillId="2" borderId="0" xfId="0" applyFont="1" applyFill="1" applyAlignment="1">
      <alignment horizontal="center"/>
    </xf>
    <xf numFmtId="7" fontId="1" fillId="2" borderId="0" xfId="0" applyNumberFormat="1" applyFont="1" applyFill="1" applyAlignment="1">
      <alignment horizontal="center"/>
    </xf>
    <xf numFmtId="7" fontId="1" fillId="2" borderId="8" xfId="0" applyNumberFormat="1" applyFont="1" applyFill="1" applyBorder="1" applyAlignment="1">
      <alignment horizontal="center"/>
    </xf>
    <xf numFmtId="164" fontId="1" fillId="2" borderId="0" xfId="0" applyNumberFormat="1" applyFont="1" applyFill="1" applyAlignment="1">
      <alignment horizontal="center"/>
    </xf>
    <xf numFmtId="164" fontId="1" fillId="2" borderId="8" xfId="0" applyNumberFormat="1" applyFont="1" applyFill="1" applyBorder="1" applyAlignment="1">
      <alignment horizontal="center"/>
    </xf>
    <xf numFmtId="0" fontId="4" fillId="0" borderId="0" xfId="0" applyFont="1" applyAlignment="1">
      <alignment horizontal="left" vertical="center" wrapText="1"/>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7" fontId="1" fillId="2" borderId="5" xfId="0" applyNumberFormat="1" applyFont="1" applyFill="1" applyBorder="1" applyAlignment="1">
      <alignment horizontal="center"/>
    </xf>
    <xf numFmtId="7" fontId="1" fillId="2" borderId="6" xfId="0" applyNumberFormat="1" applyFont="1" applyFill="1" applyBorder="1" applyAlignment="1">
      <alignment horizontal="center"/>
    </xf>
    <xf numFmtId="0" fontId="3" fillId="0" borderId="0" xfId="0" applyFont="1" applyAlignment="1">
      <alignment horizontal="left" vertical="center" wrapText="1"/>
    </xf>
    <xf numFmtId="0" fontId="5" fillId="0" borderId="5" xfId="0" applyFont="1" applyBorder="1" applyAlignment="1">
      <alignment horizontal="left" vertical="center" wrapText="1"/>
    </xf>
    <xf numFmtId="0" fontId="5" fillId="0" borderId="0" xfId="0" applyFont="1" applyAlignment="1">
      <alignment horizontal="left" vertical="center" wrapText="1"/>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57150</xdr:colOff>
      <xdr:row>0</xdr:row>
      <xdr:rowOff>69850</xdr:rowOff>
    </xdr:from>
    <xdr:to>
      <xdr:col>10</xdr:col>
      <xdr:colOff>247873</xdr:colOff>
      <xdr:row>3</xdr:row>
      <xdr:rowOff>170957</xdr:rowOff>
    </xdr:to>
    <xdr:pic>
      <xdr:nvPicPr>
        <xdr:cNvPr id="2" name="Picture 1">
          <a:extLst>
            <a:ext uri="{FF2B5EF4-FFF2-40B4-BE49-F238E27FC236}">
              <a16:creationId xmlns:a16="http://schemas.microsoft.com/office/drawing/2014/main" id="{78D1515C-7E5C-4C9B-99D2-C283F388984C}"/>
            </a:ext>
          </a:extLst>
        </xdr:cNvPr>
        <xdr:cNvPicPr>
          <a:picLocks noChangeAspect="1"/>
        </xdr:cNvPicPr>
      </xdr:nvPicPr>
      <xdr:blipFill>
        <a:blip xmlns:r="http://schemas.openxmlformats.org/officeDocument/2006/relationships" r:embed="rId1"/>
        <a:stretch>
          <a:fillRect/>
        </a:stretch>
      </xdr:blipFill>
      <xdr:spPr>
        <a:xfrm>
          <a:off x="8347710" y="69850"/>
          <a:ext cx="2124298" cy="6497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57150</xdr:colOff>
      <xdr:row>0</xdr:row>
      <xdr:rowOff>69850</xdr:rowOff>
    </xdr:from>
    <xdr:to>
      <xdr:col>10</xdr:col>
      <xdr:colOff>352648</xdr:colOff>
      <xdr:row>3</xdr:row>
      <xdr:rowOff>170957</xdr:rowOff>
    </xdr:to>
    <xdr:pic>
      <xdr:nvPicPr>
        <xdr:cNvPr id="2" name="Picture 1">
          <a:extLst>
            <a:ext uri="{FF2B5EF4-FFF2-40B4-BE49-F238E27FC236}">
              <a16:creationId xmlns:a16="http://schemas.microsoft.com/office/drawing/2014/main" id="{9F8F2139-479A-4391-8C33-10AC45F837BD}"/>
            </a:ext>
          </a:extLst>
        </xdr:cNvPr>
        <xdr:cNvPicPr>
          <a:picLocks noChangeAspect="1"/>
        </xdr:cNvPicPr>
      </xdr:nvPicPr>
      <xdr:blipFill>
        <a:blip xmlns:r="http://schemas.openxmlformats.org/officeDocument/2006/relationships" r:embed="rId1"/>
        <a:stretch>
          <a:fillRect/>
        </a:stretch>
      </xdr:blipFill>
      <xdr:spPr>
        <a:xfrm>
          <a:off x="9667875" y="69850"/>
          <a:ext cx="2762473" cy="805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57150</xdr:colOff>
      <xdr:row>0</xdr:row>
      <xdr:rowOff>50800</xdr:rowOff>
    </xdr:from>
    <xdr:to>
      <xdr:col>9</xdr:col>
      <xdr:colOff>367888</xdr:colOff>
      <xdr:row>3</xdr:row>
      <xdr:rowOff>14747</xdr:rowOff>
    </xdr:to>
    <xdr:pic>
      <xdr:nvPicPr>
        <xdr:cNvPr id="2" name="Picture 1">
          <a:extLst>
            <a:ext uri="{FF2B5EF4-FFF2-40B4-BE49-F238E27FC236}">
              <a16:creationId xmlns:a16="http://schemas.microsoft.com/office/drawing/2014/main" id="{D3EC1D89-874A-4CFD-B2FB-9804556889E0}"/>
            </a:ext>
          </a:extLst>
        </xdr:cNvPr>
        <xdr:cNvPicPr>
          <a:picLocks noChangeAspect="1"/>
        </xdr:cNvPicPr>
      </xdr:nvPicPr>
      <xdr:blipFill>
        <a:blip xmlns:r="http://schemas.openxmlformats.org/officeDocument/2006/relationships" r:embed="rId1"/>
        <a:stretch>
          <a:fillRect/>
        </a:stretch>
      </xdr:blipFill>
      <xdr:spPr>
        <a:xfrm>
          <a:off x="9894570" y="50800"/>
          <a:ext cx="1613758" cy="5125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B1D9-9301-45E6-98B8-C0E7E1CE44DE}">
  <dimension ref="A2:K66"/>
  <sheetViews>
    <sheetView tabSelected="1" workbookViewId="0">
      <selection activeCell="L26" sqref="L26"/>
    </sheetView>
  </sheetViews>
  <sheetFormatPr defaultRowHeight="15" x14ac:dyDescent="0.25"/>
  <cols>
    <col min="1" max="1" width="8.85546875" style="1"/>
    <col min="2" max="2" width="44.5703125" style="1" customWidth="1"/>
    <col min="3" max="3" width="13.85546875" style="1" bestFit="1" customWidth="1"/>
    <col min="4" max="4" width="9.42578125" style="3" bestFit="1" customWidth="1"/>
    <col min="5" max="5" width="14.140625" style="1" bestFit="1" customWidth="1"/>
    <col min="6" max="6" width="8.85546875" style="1"/>
    <col min="7" max="7" width="44.42578125" style="1" customWidth="1"/>
    <col min="8" max="8" width="14.85546875" style="3" bestFit="1" customWidth="1"/>
    <col min="9" max="9" width="10.140625" style="3" bestFit="1" customWidth="1"/>
    <col min="10" max="10" width="13.5703125" style="3" customWidth="1"/>
    <col min="11" max="11" width="8.85546875" style="1"/>
  </cols>
  <sheetData>
    <row r="2" spans="2:10" ht="22.5" x14ac:dyDescent="0.3">
      <c r="B2" s="2" t="s">
        <v>0</v>
      </c>
    </row>
    <row r="3" spans="2:10" ht="18" x14ac:dyDescent="0.25">
      <c r="B3" s="4" t="s">
        <v>1</v>
      </c>
    </row>
    <row r="4" spans="2:10" x14ac:dyDescent="0.25">
      <c r="B4" s="84" t="s">
        <v>2</v>
      </c>
      <c r="C4" s="84"/>
      <c r="D4" s="84"/>
      <c r="E4" s="84"/>
      <c r="F4" s="84"/>
      <c r="G4" s="84"/>
    </row>
    <row r="5" spans="2:10" x14ac:dyDescent="0.25">
      <c r="B5" s="84"/>
      <c r="C5" s="84"/>
      <c r="D5" s="84"/>
      <c r="E5" s="84"/>
      <c r="F5" s="84"/>
      <c r="G5" s="84"/>
    </row>
    <row r="6" spans="2:10" x14ac:dyDescent="0.25">
      <c r="B6" s="84"/>
      <c r="C6" s="84"/>
      <c r="D6" s="84"/>
      <c r="E6" s="84"/>
      <c r="F6" s="84"/>
      <c r="G6" s="84"/>
    </row>
    <row r="7" spans="2:10" x14ac:dyDescent="0.25">
      <c r="B7" s="84"/>
      <c r="C7" s="84"/>
      <c r="D7" s="84"/>
      <c r="E7" s="84"/>
      <c r="F7" s="84"/>
      <c r="G7" s="84"/>
    </row>
    <row r="8" spans="2:10" x14ac:dyDescent="0.25">
      <c r="B8" s="84"/>
      <c r="C8" s="84"/>
      <c r="D8" s="84"/>
      <c r="E8" s="84"/>
      <c r="F8" s="84"/>
      <c r="G8" s="84"/>
    </row>
    <row r="9" spans="2:10" ht="15.75" thickBot="1" x14ac:dyDescent="0.3"/>
    <row r="10" spans="2:10" ht="15.75" thickBot="1" x14ac:dyDescent="0.3">
      <c r="B10" s="85" t="s">
        <v>3</v>
      </c>
      <c r="C10" s="86"/>
      <c r="D10" s="86"/>
      <c r="E10" s="87"/>
      <c r="G10" s="85" t="s">
        <v>4</v>
      </c>
      <c r="H10" s="86"/>
      <c r="I10" s="86"/>
      <c r="J10" s="87"/>
    </row>
    <row r="11" spans="2:10" x14ac:dyDescent="0.25">
      <c r="B11" s="5"/>
      <c r="C11" s="6"/>
      <c r="D11" s="6"/>
      <c r="E11" s="7"/>
      <c r="G11" s="88" t="s">
        <v>5</v>
      </c>
      <c r="H11" s="89"/>
      <c r="I11" s="90">
        <f>J43</f>
        <v>127.25999999999999</v>
      </c>
      <c r="J11" s="91"/>
    </row>
    <row r="12" spans="2:10" x14ac:dyDescent="0.25">
      <c r="B12" s="8" t="s">
        <v>6</v>
      </c>
      <c r="C12" s="9">
        <v>30</v>
      </c>
      <c r="D12" s="10" t="s">
        <v>7</v>
      </c>
      <c r="E12" s="11"/>
      <c r="G12" s="78" t="s">
        <v>8</v>
      </c>
      <c r="H12" s="79"/>
      <c r="I12" s="82">
        <f>J48</f>
        <v>0</v>
      </c>
      <c r="J12" s="83"/>
    </row>
    <row r="13" spans="2:10" x14ac:dyDescent="0.25">
      <c r="B13" s="8" t="s">
        <v>9</v>
      </c>
      <c r="C13" s="9">
        <v>900</v>
      </c>
      <c r="D13" s="10" t="s">
        <v>10</v>
      </c>
      <c r="E13" s="11"/>
      <c r="G13" s="78"/>
      <c r="H13" s="79"/>
      <c r="I13" s="12"/>
      <c r="J13" s="13"/>
    </row>
    <row r="14" spans="2:10" x14ac:dyDescent="0.25">
      <c r="B14" s="8" t="s">
        <v>11</v>
      </c>
      <c r="C14" s="9">
        <v>500</v>
      </c>
      <c r="D14" s="10" t="s">
        <v>10</v>
      </c>
      <c r="E14" s="11"/>
      <c r="G14" s="78" t="s">
        <v>12</v>
      </c>
      <c r="H14" s="79"/>
      <c r="I14" s="80">
        <f>E43</f>
        <v>232.35999999999999</v>
      </c>
      <c r="J14" s="81"/>
    </row>
    <row r="15" spans="2:10" x14ac:dyDescent="0.25">
      <c r="B15" s="8" t="s">
        <v>13</v>
      </c>
      <c r="C15" s="9">
        <v>800</v>
      </c>
      <c r="D15" s="10" t="s">
        <v>10</v>
      </c>
      <c r="E15" s="11"/>
      <c r="G15" s="78"/>
      <c r="H15" s="79"/>
      <c r="I15" s="12"/>
      <c r="J15" s="13"/>
    </row>
    <row r="16" spans="2:10" x14ac:dyDescent="0.25">
      <c r="B16" s="8"/>
      <c r="C16" s="14"/>
      <c r="D16" s="12"/>
      <c r="E16" s="11"/>
      <c r="G16" s="78" t="s">
        <v>14</v>
      </c>
      <c r="H16" s="79"/>
      <c r="I16" s="80">
        <f>I14-I11</f>
        <v>105.1</v>
      </c>
      <c r="J16" s="81"/>
    </row>
    <row r="17" spans="2:10" ht="15.75" thickBot="1" x14ac:dyDescent="0.3">
      <c r="B17" s="15" t="s">
        <v>15</v>
      </c>
      <c r="C17" s="16">
        <f>C13+C15-C14</f>
        <v>1200</v>
      </c>
      <c r="D17" s="17" t="s">
        <v>10</v>
      </c>
      <c r="E17" s="18"/>
      <c r="G17" s="71" t="s">
        <v>16</v>
      </c>
      <c r="H17" s="72"/>
      <c r="I17" s="73">
        <f>I16+I12</f>
        <v>105.1</v>
      </c>
      <c r="J17" s="74"/>
    </row>
    <row r="18" spans="2:10" ht="23.25" thickBot="1" x14ac:dyDescent="0.35">
      <c r="B18" s="19" t="str">
        <f>IF(C15&lt;C14,"ERROR - GENERATION CANNOT BE LESS THAN OUTFLOW","")</f>
        <v/>
      </c>
      <c r="C18" s="20"/>
      <c r="D18" s="1"/>
    </row>
    <row r="19" spans="2:10" ht="15.75" thickTop="1" x14ac:dyDescent="0.25">
      <c r="B19" s="75" t="s">
        <v>17</v>
      </c>
      <c r="C19" s="76"/>
      <c r="D19" s="76"/>
      <c r="E19" s="77"/>
      <c r="G19" s="75" t="s">
        <v>18</v>
      </c>
      <c r="H19" s="76"/>
      <c r="I19" s="76"/>
      <c r="J19" s="77"/>
    </row>
    <row r="20" spans="2:10" x14ac:dyDescent="0.25">
      <c r="B20" s="21"/>
      <c r="C20" s="22" t="s">
        <v>19</v>
      </c>
      <c r="D20" s="22" t="s">
        <v>20</v>
      </c>
      <c r="E20" s="23" t="s">
        <v>21</v>
      </c>
      <c r="G20" s="21"/>
      <c r="H20" s="22" t="s">
        <v>19</v>
      </c>
      <c r="I20" s="22" t="s">
        <v>20</v>
      </c>
      <c r="J20" s="23" t="s">
        <v>21</v>
      </c>
    </row>
    <row r="21" spans="2:10" x14ac:dyDescent="0.25">
      <c r="B21" s="24" t="s">
        <v>22</v>
      </c>
      <c r="C21" s="3"/>
      <c r="E21" s="25"/>
      <c r="G21" s="24" t="s">
        <v>22</v>
      </c>
      <c r="H21" s="1"/>
      <c r="J21" s="26"/>
    </row>
    <row r="22" spans="2:10" x14ac:dyDescent="0.25">
      <c r="B22" s="21" t="s">
        <v>23</v>
      </c>
      <c r="C22" s="3"/>
      <c r="E22" s="25"/>
      <c r="G22" s="21" t="s">
        <v>23</v>
      </c>
      <c r="H22" s="1"/>
      <c r="J22" s="26"/>
    </row>
    <row r="23" spans="2:10" x14ac:dyDescent="0.25">
      <c r="B23" s="21" t="s">
        <v>24</v>
      </c>
      <c r="C23" s="27">
        <f>H23</f>
        <v>4.4049999999999999E-2</v>
      </c>
      <c r="D23" s="3">
        <f>IF($C17&gt;$C12*17,$C12*17,$C17)</f>
        <v>510</v>
      </c>
      <c r="E23" s="28">
        <f>ROUND(C23*D23,2)</f>
        <v>22.47</v>
      </c>
      <c r="G23" s="21" t="s">
        <v>24</v>
      </c>
      <c r="H23" s="27">
        <f>'Rates and Credits'!H10</f>
        <v>4.4049999999999999E-2</v>
      </c>
      <c r="I23" s="3">
        <f>IF($C13&gt;$C12*17,$C12*17,$C13)</f>
        <v>510</v>
      </c>
      <c r="J23" s="29">
        <f>ROUND(H23*I23,2)</f>
        <v>22.47</v>
      </c>
    </row>
    <row r="24" spans="2:10" x14ac:dyDescent="0.25">
      <c r="B24" s="21" t="s">
        <v>25</v>
      </c>
      <c r="C24" s="27">
        <f>H24</f>
        <v>6.3469999999999999E-2</v>
      </c>
      <c r="D24" s="3">
        <f>IF($C17&gt;$C12*17,$C17-($C12*17),0)</f>
        <v>690</v>
      </c>
      <c r="E24" s="28">
        <f t="shared" ref="E24:E26" si="0">ROUND(C24*D24,2)</f>
        <v>43.79</v>
      </c>
      <c r="G24" s="21" t="s">
        <v>25</v>
      </c>
      <c r="H24" s="27">
        <f>'Rates and Credits'!H11</f>
        <v>6.3469999999999999E-2</v>
      </c>
      <c r="I24" s="3">
        <f>IF($C13&gt;$C12*17,$C13-($C12*17),0)</f>
        <v>390</v>
      </c>
      <c r="J24" s="29">
        <f t="shared" ref="J24:J37" si="1">ROUND(H24*I24,2)</f>
        <v>24.75</v>
      </c>
    </row>
    <row r="25" spans="2:10" x14ac:dyDescent="0.25">
      <c r="B25" s="21" t="s">
        <v>26</v>
      </c>
      <c r="C25" s="27">
        <f>H25</f>
        <v>3.9449999999999999E-2</v>
      </c>
      <c r="D25" s="3">
        <f>C17</f>
        <v>1200</v>
      </c>
      <c r="E25" s="28">
        <f t="shared" si="0"/>
        <v>47.34</v>
      </c>
      <c r="G25" s="21" t="s">
        <v>26</v>
      </c>
      <c r="H25" s="27">
        <f>'Rates and Credits'!H12</f>
        <v>3.9449999999999999E-2</v>
      </c>
      <c r="I25" s="3">
        <f>$C13</f>
        <v>900</v>
      </c>
      <c r="J25" s="29">
        <f t="shared" si="1"/>
        <v>35.51</v>
      </c>
    </row>
    <row r="26" spans="2:10" x14ac:dyDescent="0.25">
      <c r="B26" s="21" t="s">
        <v>27</v>
      </c>
      <c r="C26" s="27">
        <f>H26</f>
        <v>6.6499999999999997E-3</v>
      </c>
      <c r="D26" s="3">
        <f>C17</f>
        <v>1200</v>
      </c>
      <c r="E26" s="28">
        <f t="shared" si="0"/>
        <v>7.98</v>
      </c>
      <c r="G26" s="21" t="s">
        <v>27</v>
      </c>
      <c r="H26" s="27">
        <f>'Rates and Credits'!H13</f>
        <v>6.6499999999999997E-3</v>
      </c>
      <c r="I26" s="3">
        <f>$C13</f>
        <v>900</v>
      </c>
      <c r="J26" s="29">
        <f t="shared" si="1"/>
        <v>5.99</v>
      </c>
    </row>
    <row r="27" spans="2:10" x14ac:dyDescent="0.25">
      <c r="B27" s="21" t="s">
        <v>121</v>
      </c>
      <c r="C27" s="27"/>
      <c r="E27" s="28">
        <f>E58</f>
        <v>0.25</v>
      </c>
      <c r="G27" s="21" t="s">
        <v>121</v>
      </c>
      <c r="H27" s="27"/>
      <c r="J27" s="29">
        <f>J58</f>
        <v>0.19</v>
      </c>
    </row>
    <row r="28" spans="2:10" x14ac:dyDescent="0.25">
      <c r="B28" s="21"/>
      <c r="C28" s="27"/>
      <c r="E28" s="28"/>
      <c r="G28" s="21" t="s">
        <v>28</v>
      </c>
      <c r="H28" s="27"/>
      <c r="J28" s="29"/>
    </row>
    <row r="29" spans="2:10" x14ac:dyDescent="0.25">
      <c r="B29" s="21"/>
      <c r="C29" s="27"/>
      <c r="E29" s="28"/>
      <c r="G29" s="21" t="s">
        <v>24</v>
      </c>
      <c r="H29" s="27">
        <f>'Rates and Credits'!D8</f>
        <v>-9.0150000000000008E-2</v>
      </c>
      <c r="I29" s="3">
        <f>IF(C14&gt;C12*17,C12*17,C14)</f>
        <v>500</v>
      </c>
      <c r="J29" s="29">
        <f t="shared" si="1"/>
        <v>-45.08</v>
      </c>
    </row>
    <row r="30" spans="2:10" x14ac:dyDescent="0.25">
      <c r="B30" s="21"/>
      <c r="C30" s="27"/>
      <c r="E30" s="28"/>
      <c r="G30" s="21" t="s">
        <v>25</v>
      </c>
      <c r="H30" s="27">
        <f>'Rates and Credits'!D9</f>
        <v>-0.10957</v>
      </c>
      <c r="I30" s="3">
        <f>IF(C14&gt;17*C12,C14-(17*C12),0)</f>
        <v>0</v>
      </c>
      <c r="J30" s="29">
        <f t="shared" si="1"/>
        <v>0</v>
      </c>
    </row>
    <row r="31" spans="2:10" x14ac:dyDescent="0.25">
      <c r="B31" s="21"/>
      <c r="C31" s="27"/>
      <c r="E31" s="30"/>
      <c r="G31" s="21" t="s">
        <v>29</v>
      </c>
      <c r="H31" s="27"/>
      <c r="J31" s="31">
        <f>J47</f>
        <v>0</v>
      </c>
    </row>
    <row r="32" spans="2:10" x14ac:dyDescent="0.25">
      <c r="B32" s="32" t="s">
        <v>30</v>
      </c>
      <c r="C32" s="33"/>
      <c r="D32" s="34"/>
      <c r="E32" s="35">
        <f>SUM(E23:E31)</f>
        <v>121.83</v>
      </c>
      <c r="F32" s="36"/>
      <c r="G32" s="32" t="s">
        <v>30</v>
      </c>
      <c r="H32" s="33"/>
      <c r="I32" s="34"/>
      <c r="J32" s="37">
        <f>SUM(J23:J31)</f>
        <v>43.829999999999984</v>
      </c>
    </row>
    <row r="33" spans="2:10" x14ac:dyDescent="0.25">
      <c r="B33" s="21"/>
      <c r="C33" s="27"/>
      <c r="E33" s="28"/>
      <c r="G33" s="21"/>
      <c r="H33" s="27"/>
      <c r="J33" s="29"/>
    </row>
    <row r="34" spans="2:10" x14ac:dyDescent="0.25">
      <c r="B34" s="24" t="s">
        <v>31</v>
      </c>
      <c r="C34" s="27"/>
      <c r="E34" s="28"/>
      <c r="G34" s="24" t="s">
        <v>31</v>
      </c>
      <c r="H34" s="27"/>
      <c r="J34" s="29"/>
    </row>
    <row r="35" spans="2:10" x14ac:dyDescent="0.25">
      <c r="B35" s="21" t="s">
        <v>32</v>
      </c>
      <c r="C35" s="38">
        <f>H35</f>
        <v>8.5</v>
      </c>
      <c r="D35" s="3">
        <v>1</v>
      </c>
      <c r="E35" s="28">
        <f t="shared" ref="E35:E37" si="2">ROUND(C35*D35,2)</f>
        <v>8.5</v>
      </c>
      <c r="G35" s="21" t="s">
        <v>32</v>
      </c>
      <c r="H35" s="38">
        <f>'Rates and Credits'!H18</f>
        <v>8.5</v>
      </c>
      <c r="I35" s="3">
        <v>1</v>
      </c>
      <c r="J35" s="29">
        <f t="shared" si="1"/>
        <v>8.5</v>
      </c>
    </row>
    <row r="36" spans="2:10" x14ac:dyDescent="0.25">
      <c r="B36" s="21" t="s">
        <v>33</v>
      </c>
      <c r="C36" s="27">
        <f>H36</f>
        <v>6.8790000000000004E-2</v>
      </c>
      <c r="D36" s="3">
        <f>C17</f>
        <v>1200</v>
      </c>
      <c r="E36" s="28">
        <f t="shared" si="2"/>
        <v>82.55</v>
      </c>
      <c r="G36" s="21" t="s">
        <v>33</v>
      </c>
      <c r="H36" s="27">
        <f>'Rates and Credits'!H19</f>
        <v>6.8790000000000004E-2</v>
      </c>
      <c r="I36" s="3">
        <f>$C13</f>
        <v>900</v>
      </c>
      <c r="J36" s="29">
        <f t="shared" si="1"/>
        <v>61.91</v>
      </c>
    </row>
    <row r="37" spans="2:10" x14ac:dyDescent="0.25">
      <c r="B37" s="21" t="s">
        <v>36</v>
      </c>
      <c r="C37" s="38">
        <f>H37</f>
        <v>0.9</v>
      </c>
      <c r="D37" s="3">
        <f>$I35</f>
        <v>1</v>
      </c>
      <c r="E37" s="28">
        <f t="shared" si="2"/>
        <v>0.9</v>
      </c>
      <c r="G37" s="21" t="s">
        <v>36</v>
      </c>
      <c r="H37" s="38">
        <f>'Rates and Credits'!H24</f>
        <v>0.9</v>
      </c>
      <c r="I37" s="3">
        <f>$I35</f>
        <v>1</v>
      </c>
      <c r="J37" s="29">
        <f t="shared" si="1"/>
        <v>0.9</v>
      </c>
    </row>
    <row r="38" spans="2:10" x14ac:dyDescent="0.25">
      <c r="B38" s="21" t="s">
        <v>122</v>
      </c>
      <c r="C38" s="38"/>
      <c r="E38" s="28">
        <f>E66</f>
        <v>9.68</v>
      </c>
      <c r="G38" s="21" t="s">
        <v>122</v>
      </c>
      <c r="H38" s="38"/>
      <c r="J38" s="29">
        <f>J65</f>
        <v>7.26</v>
      </c>
    </row>
    <row r="39" spans="2:10" x14ac:dyDescent="0.25">
      <c r="B39" s="21"/>
      <c r="C39" s="3"/>
      <c r="E39" s="28"/>
      <c r="G39" s="21"/>
      <c r="H39" s="1"/>
      <c r="J39" s="29"/>
    </row>
    <row r="40" spans="2:10" x14ac:dyDescent="0.25">
      <c r="B40" s="32" t="s">
        <v>37</v>
      </c>
      <c r="C40" s="34"/>
      <c r="D40" s="34"/>
      <c r="E40" s="35">
        <f>SUM(E35:E39)</f>
        <v>101.63</v>
      </c>
      <c r="F40" s="36"/>
      <c r="G40" s="32" t="s">
        <v>37</v>
      </c>
      <c r="H40" s="36"/>
      <c r="I40" s="34"/>
      <c r="J40" s="37">
        <f>SUM(J35:J39)</f>
        <v>78.570000000000007</v>
      </c>
    </row>
    <row r="41" spans="2:10" x14ac:dyDescent="0.25">
      <c r="B41" s="32" t="s">
        <v>38</v>
      </c>
      <c r="C41" s="34"/>
      <c r="D41" s="34"/>
      <c r="E41" s="35">
        <f>E32+E40</f>
        <v>223.45999999999998</v>
      </c>
      <c r="F41" s="36"/>
      <c r="G41" s="32" t="s">
        <v>38</v>
      </c>
      <c r="H41" s="36"/>
      <c r="I41" s="34"/>
      <c r="J41" s="37">
        <f>J32+J40</f>
        <v>122.39999999999999</v>
      </c>
    </row>
    <row r="42" spans="2:10" x14ac:dyDescent="0.25">
      <c r="B42" s="21" t="s">
        <v>39</v>
      </c>
      <c r="C42" s="3"/>
      <c r="E42" s="30">
        <f>ROUND(0.04*(E41-E37),2)</f>
        <v>8.9</v>
      </c>
      <c r="G42" s="21" t="s">
        <v>39</v>
      </c>
      <c r="H42" s="1"/>
      <c r="J42" s="31">
        <f>ROUND(0.04*(J41-J37),2)</f>
        <v>4.8600000000000003</v>
      </c>
    </row>
    <row r="43" spans="2:10" x14ac:dyDescent="0.25">
      <c r="B43" s="32" t="s">
        <v>40</v>
      </c>
      <c r="C43" s="34"/>
      <c r="D43" s="34"/>
      <c r="E43" s="35">
        <f>E41+E42</f>
        <v>232.35999999999999</v>
      </c>
      <c r="F43" s="36"/>
      <c r="G43" s="32" t="s">
        <v>40</v>
      </c>
      <c r="H43" s="36"/>
      <c r="I43" s="34"/>
      <c r="J43" s="37">
        <f>J41+J42</f>
        <v>127.25999999999999</v>
      </c>
    </row>
    <row r="44" spans="2:10" x14ac:dyDescent="0.25">
      <c r="B44" s="21"/>
      <c r="C44" s="3"/>
      <c r="E44" s="25"/>
      <c r="G44" s="21"/>
      <c r="H44" s="1"/>
      <c r="J44" s="26"/>
    </row>
    <row r="45" spans="2:10" x14ac:dyDescent="0.25">
      <c r="B45" s="21"/>
      <c r="C45" s="3"/>
      <c r="E45" s="25"/>
      <c r="G45" s="24" t="s">
        <v>41</v>
      </c>
      <c r="H45" s="1"/>
      <c r="J45" s="26"/>
    </row>
    <row r="46" spans="2:10" x14ac:dyDescent="0.25">
      <c r="B46" s="21"/>
      <c r="C46" s="3"/>
      <c r="E46" s="25"/>
      <c r="G46" s="21" t="s">
        <v>42</v>
      </c>
      <c r="H46" s="1"/>
      <c r="J46" s="39">
        <v>0</v>
      </c>
    </row>
    <row r="47" spans="2:10" x14ac:dyDescent="0.25">
      <c r="B47" s="21"/>
      <c r="C47" s="3"/>
      <c r="E47" s="25"/>
      <c r="G47" s="21" t="s">
        <v>43</v>
      </c>
      <c r="H47" s="1"/>
      <c r="J47" s="40">
        <f>IF(SUM(J23:J30)-J57&lt;0,-(SUM(J23:J30)-J57),IF(J46&gt;0,IF(SUM(J23:J30)-J57&gt;J46,-J46,-(SUM(J23:J30)-J57)),))</f>
        <v>0</v>
      </c>
    </row>
    <row r="48" spans="2:10" ht="15.75" thickBot="1" x14ac:dyDescent="0.3">
      <c r="B48" s="41"/>
      <c r="C48" s="42"/>
      <c r="D48" s="42"/>
      <c r="E48" s="43"/>
      <c r="G48" s="41" t="s">
        <v>44</v>
      </c>
      <c r="H48" s="44"/>
      <c r="I48" s="42"/>
      <c r="J48" s="58">
        <f>J46+J47</f>
        <v>0</v>
      </c>
    </row>
    <row r="49" spans="2:10" ht="15.75" thickTop="1" x14ac:dyDescent="0.25"/>
    <row r="55" spans="2:10" x14ac:dyDescent="0.25">
      <c r="B55" s="68" t="s">
        <v>121</v>
      </c>
      <c r="C55" s="69" t="s">
        <v>19</v>
      </c>
      <c r="D55" s="69" t="s">
        <v>20</v>
      </c>
      <c r="E55" s="69" t="s">
        <v>21</v>
      </c>
      <c r="G55" s="68" t="s">
        <v>121</v>
      </c>
      <c r="H55" s="69" t="s">
        <v>19</v>
      </c>
      <c r="I55" s="69" t="s">
        <v>20</v>
      </c>
      <c r="J55" s="69" t="s">
        <v>21</v>
      </c>
    </row>
    <row r="56" spans="2:10" x14ac:dyDescent="0.25">
      <c r="B56" s="1" t="s">
        <v>123</v>
      </c>
      <c r="C56" s="67">
        <f>'Rates and Credits'!H14</f>
        <v>2.1000000000000001E-4</v>
      </c>
      <c r="D56" s="3">
        <f>C17</f>
        <v>1200</v>
      </c>
      <c r="E56" s="66">
        <f t="shared" ref="E56:E63" si="3">ROUND(C56*D56,2)</f>
        <v>0.25</v>
      </c>
      <c r="G56" s="1" t="s">
        <v>123</v>
      </c>
      <c r="H56" s="67">
        <f>C56</f>
        <v>2.1000000000000001E-4</v>
      </c>
      <c r="I56" s="3">
        <f>C13</f>
        <v>900</v>
      </c>
      <c r="J56" s="66">
        <f t="shared" ref="J56:J62" si="4">ROUND(H56*I56,2)</f>
        <v>0.19</v>
      </c>
    </row>
    <row r="57" spans="2:10" x14ac:dyDescent="0.25">
      <c r="B57" s="1" t="s">
        <v>120</v>
      </c>
      <c r="C57" s="67">
        <f>'Rates and Credits'!H15</f>
        <v>0</v>
      </c>
      <c r="D57" s="3">
        <f>C17</f>
        <v>1200</v>
      </c>
      <c r="E57" s="70">
        <f t="shared" si="3"/>
        <v>0</v>
      </c>
      <c r="G57" s="1" t="s">
        <v>120</v>
      </c>
      <c r="H57" s="67">
        <f>C57</f>
        <v>0</v>
      </c>
      <c r="I57" s="3">
        <f>C13</f>
        <v>900</v>
      </c>
      <c r="J57" s="70">
        <f t="shared" si="4"/>
        <v>0</v>
      </c>
    </row>
    <row r="58" spans="2:10" x14ac:dyDescent="0.25">
      <c r="B58" s="1" t="s">
        <v>38</v>
      </c>
      <c r="C58" s="67"/>
      <c r="E58" s="66">
        <f>SUM(E56:E57)</f>
        <v>0.25</v>
      </c>
      <c r="G58" s="1" t="s">
        <v>38</v>
      </c>
      <c r="H58" s="1"/>
      <c r="J58" s="66">
        <f>SUM(J56:J57)</f>
        <v>0.19</v>
      </c>
    </row>
    <row r="59" spans="2:10" x14ac:dyDescent="0.25">
      <c r="C59" s="67"/>
      <c r="E59" s="66"/>
      <c r="H59" s="1"/>
      <c r="J59" s="66"/>
    </row>
    <row r="60" spans="2:10" x14ac:dyDescent="0.25">
      <c r="C60" s="67"/>
      <c r="E60" s="66"/>
      <c r="H60" s="1"/>
      <c r="J60" s="66"/>
    </row>
    <row r="61" spans="2:10" x14ac:dyDescent="0.25">
      <c r="B61" s="68" t="s">
        <v>122</v>
      </c>
      <c r="C61" s="67"/>
      <c r="E61" s="66"/>
      <c r="G61" s="68" t="s">
        <v>122</v>
      </c>
      <c r="H61" s="1"/>
      <c r="J61" s="66"/>
    </row>
    <row r="62" spans="2:10" x14ac:dyDescent="0.25">
      <c r="B62" s="1" t="s">
        <v>123</v>
      </c>
      <c r="C62" s="67">
        <f>'Rates and Credits'!H22</f>
        <v>1.792E-3</v>
      </c>
      <c r="D62" s="3">
        <f>C17</f>
        <v>1200</v>
      </c>
      <c r="E62" s="66">
        <f t="shared" si="3"/>
        <v>2.15</v>
      </c>
      <c r="G62" s="1" t="s">
        <v>123</v>
      </c>
      <c r="H62" s="67">
        <f>C62</f>
        <v>1.792E-3</v>
      </c>
      <c r="I62" s="3">
        <f>C13</f>
        <v>900</v>
      </c>
      <c r="J62" s="66">
        <f t="shared" si="4"/>
        <v>1.61</v>
      </c>
    </row>
    <row r="63" spans="2:10" x14ac:dyDescent="0.25">
      <c r="B63" s="1" t="s">
        <v>120</v>
      </c>
      <c r="C63" s="67">
        <f>'Rates and Credits'!H23</f>
        <v>0</v>
      </c>
      <c r="D63" s="3">
        <f>C17</f>
        <v>1200</v>
      </c>
      <c r="E63" s="66">
        <f t="shared" si="3"/>
        <v>0</v>
      </c>
      <c r="G63" s="1" t="s">
        <v>34</v>
      </c>
      <c r="H63" s="67">
        <f>C64</f>
        <v>8.52E-4</v>
      </c>
      <c r="I63" s="3">
        <f>C13</f>
        <v>900</v>
      </c>
      <c r="J63" s="66">
        <f>ROUND(H63*I63,2)</f>
        <v>0.77</v>
      </c>
    </row>
    <row r="64" spans="2:10" x14ac:dyDescent="0.25">
      <c r="B64" s="1" t="s">
        <v>34</v>
      </c>
      <c r="C64" s="67">
        <f>'Rates and Credits'!H20</f>
        <v>8.52E-4</v>
      </c>
      <c r="D64" s="3">
        <f>C17</f>
        <v>1200</v>
      </c>
      <c r="E64" s="66">
        <f>ROUND(C64*D64,2)</f>
        <v>1.02</v>
      </c>
      <c r="G64" s="1" t="s">
        <v>35</v>
      </c>
      <c r="H64" s="67">
        <f>C65</f>
        <v>5.4229999999999999E-3</v>
      </c>
      <c r="I64" s="3">
        <f>C13</f>
        <v>900</v>
      </c>
      <c r="J64" s="70">
        <f>ROUND(H64*I64,2)</f>
        <v>4.88</v>
      </c>
    </row>
    <row r="65" spans="2:10" x14ac:dyDescent="0.25">
      <c r="B65" s="1" t="s">
        <v>35</v>
      </c>
      <c r="C65" s="67">
        <f>'Rates and Credits'!H21</f>
        <v>5.4229999999999999E-3</v>
      </c>
      <c r="D65" s="3">
        <f>C17</f>
        <v>1200</v>
      </c>
      <c r="E65" s="70">
        <f>ROUND(C65*D65,2)</f>
        <v>6.51</v>
      </c>
      <c r="G65" s="1" t="s">
        <v>38</v>
      </c>
      <c r="H65" s="1"/>
      <c r="J65" s="66">
        <f>SUM(J62:J64)</f>
        <v>7.26</v>
      </c>
    </row>
    <row r="66" spans="2:10" x14ac:dyDescent="0.25">
      <c r="B66" s="1" t="s">
        <v>38</v>
      </c>
      <c r="E66" s="66">
        <f>SUM(E62:E65)</f>
        <v>9.68</v>
      </c>
    </row>
  </sheetData>
  <mergeCells count="17">
    <mergeCell ref="G12:H12"/>
    <mergeCell ref="I12:J12"/>
    <mergeCell ref="B4:G8"/>
    <mergeCell ref="B10:E10"/>
    <mergeCell ref="G10:J10"/>
    <mergeCell ref="G11:H11"/>
    <mergeCell ref="I11:J11"/>
    <mergeCell ref="G17:H17"/>
    <mergeCell ref="I17:J17"/>
    <mergeCell ref="B19:E19"/>
    <mergeCell ref="G19:J19"/>
    <mergeCell ref="G13:H13"/>
    <mergeCell ref="G14:H14"/>
    <mergeCell ref="I14:J14"/>
    <mergeCell ref="G15:H15"/>
    <mergeCell ref="G16:H16"/>
    <mergeCell ref="I16:J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BF25-C357-47AA-B023-4D7CB7D7FFE5}">
  <dimension ref="A2:K66"/>
  <sheetViews>
    <sheetView workbookViewId="0">
      <selection activeCell="L20" sqref="L20"/>
    </sheetView>
  </sheetViews>
  <sheetFormatPr defaultRowHeight="15" x14ac:dyDescent="0.25"/>
  <cols>
    <col min="1" max="1" width="9.140625" style="1"/>
    <col min="2" max="2" width="44.5703125" style="1" customWidth="1"/>
    <col min="3" max="3" width="13.85546875" style="1" bestFit="1" customWidth="1"/>
    <col min="4" max="4" width="9.42578125" style="3" bestFit="1" customWidth="1"/>
    <col min="5" max="5" width="14.140625" style="1" bestFit="1" customWidth="1"/>
    <col min="6" max="6" width="9.140625" style="1"/>
    <col min="7" max="7" width="44.42578125" style="1" customWidth="1"/>
    <col min="8" max="8" width="14.85546875" style="3" bestFit="1" customWidth="1"/>
    <col min="9" max="9" width="10.140625" style="3" bestFit="1" customWidth="1"/>
    <col min="10" max="10" width="12" style="3" bestFit="1" customWidth="1"/>
    <col min="11" max="11" width="9.140625" style="1"/>
  </cols>
  <sheetData>
    <row r="2" spans="2:10" ht="22.5" x14ac:dyDescent="0.3">
      <c r="B2" s="2" t="s">
        <v>0</v>
      </c>
    </row>
    <row r="3" spans="2:10" ht="18" x14ac:dyDescent="0.25">
      <c r="B3" s="4" t="s">
        <v>1</v>
      </c>
    </row>
    <row r="4" spans="2:10" x14ac:dyDescent="0.25">
      <c r="B4" s="84" t="s">
        <v>2</v>
      </c>
      <c r="C4" s="84"/>
      <c r="D4" s="84"/>
      <c r="E4" s="84"/>
      <c r="F4" s="84"/>
      <c r="G4" s="84"/>
    </row>
    <row r="5" spans="2:10" x14ac:dyDescent="0.25">
      <c r="B5" s="84"/>
      <c r="C5" s="84"/>
      <c r="D5" s="84"/>
      <c r="E5" s="84"/>
      <c r="F5" s="84"/>
      <c r="G5" s="84"/>
    </row>
    <row r="6" spans="2:10" x14ac:dyDescent="0.25">
      <c r="B6" s="84"/>
      <c r="C6" s="84"/>
      <c r="D6" s="84"/>
      <c r="E6" s="84"/>
      <c r="F6" s="84"/>
      <c r="G6" s="84"/>
    </row>
    <row r="7" spans="2:10" x14ac:dyDescent="0.25">
      <c r="B7" s="84"/>
      <c r="C7" s="84"/>
      <c r="D7" s="84"/>
      <c r="E7" s="84"/>
      <c r="F7" s="84"/>
      <c r="G7" s="84"/>
    </row>
    <row r="8" spans="2:10" x14ac:dyDescent="0.25">
      <c r="B8" s="84"/>
      <c r="C8" s="84"/>
      <c r="D8" s="84"/>
      <c r="E8" s="84"/>
      <c r="F8" s="84"/>
      <c r="G8" s="84"/>
    </row>
    <row r="9" spans="2:10" ht="15.75" thickBot="1" x14ac:dyDescent="0.3"/>
    <row r="10" spans="2:10" ht="15.75" thickBot="1" x14ac:dyDescent="0.3">
      <c r="B10" s="85" t="s">
        <v>3</v>
      </c>
      <c r="C10" s="86"/>
      <c r="D10" s="86"/>
      <c r="E10" s="87"/>
      <c r="G10" s="85" t="s">
        <v>4</v>
      </c>
      <c r="H10" s="86"/>
      <c r="I10" s="86"/>
      <c r="J10" s="87"/>
    </row>
    <row r="11" spans="2:10" x14ac:dyDescent="0.25">
      <c r="B11" s="5"/>
      <c r="C11" s="6"/>
      <c r="D11" s="6"/>
      <c r="E11" s="7"/>
      <c r="G11" s="88" t="s">
        <v>5</v>
      </c>
      <c r="H11" s="89"/>
      <c r="I11" s="90">
        <f>J43</f>
        <v>9.74</v>
      </c>
      <c r="J11" s="91"/>
    </row>
    <row r="12" spans="2:10" x14ac:dyDescent="0.25">
      <c r="B12" s="8" t="s">
        <v>6</v>
      </c>
      <c r="C12" s="9"/>
      <c r="D12" s="10" t="s">
        <v>7</v>
      </c>
      <c r="E12" s="11"/>
      <c r="G12" s="78" t="s">
        <v>8</v>
      </c>
      <c r="H12" s="79"/>
      <c r="I12" s="82">
        <f>J48</f>
        <v>0</v>
      </c>
      <c r="J12" s="83"/>
    </row>
    <row r="13" spans="2:10" x14ac:dyDescent="0.25">
      <c r="B13" s="8" t="s">
        <v>9</v>
      </c>
      <c r="C13" s="9"/>
      <c r="D13" s="10" t="s">
        <v>10</v>
      </c>
      <c r="E13" s="11"/>
      <c r="G13" s="78"/>
      <c r="H13" s="79"/>
      <c r="I13" s="12"/>
      <c r="J13" s="13"/>
    </row>
    <row r="14" spans="2:10" x14ac:dyDescent="0.25">
      <c r="B14" s="8" t="s">
        <v>11</v>
      </c>
      <c r="C14" s="9"/>
      <c r="D14" s="10" t="s">
        <v>10</v>
      </c>
      <c r="E14" s="11"/>
      <c r="G14" s="78" t="s">
        <v>12</v>
      </c>
      <c r="H14" s="79"/>
      <c r="I14" s="80">
        <f>E43</f>
        <v>9.74</v>
      </c>
      <c r="J14" s="81"/>
    </row>
    <row r="15" spans="2:10" x14ac:dyDescent="0.25">
      <c r="B15" s="8" t="s">
        <v>13</v>
      </c>
      <c r="C15" s="9"/>
      <c r="D15" s="10" t="s">
        <v>10</v>
      </c>
      <c r="E15" s="11"/>
      <c r="G15" s="78"/>
      <c r="H15" s="79"/>
      <c r="I15" s="12"/>
      <c r="J15" s="13"/>
    </row>
    <row r="16" spans="2:10" x14ac:dyDescent="0.25">
      <c r="B16" s="8"/>
      <c r="C16" s="14"/>
      <c r="D16" s="12"/>
      <c r="E16" s="11"/>
      <c r="G16" s="78" t="s">
        <v>14</v>
      </c>
      <c r="H16" s="79"/>
      <c r="I16" s="80">
        <f>I14-I11</f>
        <v>0</v>
      </c>
      <c r="J16" s="81"/>
    </row>
    <row r="17" spans="2:10" ht="15.75" thickBot="1" x14ac:dyDescent="0.3">
      <c r="B17" s="15" t="s">
        <v>15</v>
      </c>
      <c r="C17" s="16">
        <f>C13+C15-C14</f>
        <v>0</v>
      </c>
      <c r="D17" s="17" t="s">
        <v>10</v>
      </c>
      <c r="E17" s="18"/>
      <c r="G17" s="71" t="s">
        <v>16</v>
      </c>
      <c r="H17" s="72"/>
      <c r="I17" s="73">
        <f>I16+I12</f>
        <v>0</v>
      </c>
      <c r="J17" s="74"/>
    </row>
    <row r="18" spans="2:10" ht="23.25" thickBot="1" x14ac:dyDescent="0.35">
      <c r="B18" s="19" t="str">
        <f>IF(C15&lt;C14,"ERROR - GENERATION CANNOT BE LESS THAN OUTFLOW","")</f>
        <v/>
      </c>
      <c r="C18" s="20"/>
      <c r="D18" s="1"/>
    </row>
    <row r="19" spans="2:10" ht="15.75" thickTop="1" x14ac:dyDescent="0.25">
      <c r="B19" s="75" t="s">
        <v>17</v>
      </c>
      <c r="C19" s="76"/>
      <c r="D19" s="76"/>
      <c r="E19" s="77"/>
      <c r="G19" s="75" t="s">
        <v>18</v>
      </c>
      <c r="H19" s="76"/>
      <c r="I19" s="76"/>
      <c r="J19" s="77"/>
    </row>
    <row r="20" spans="2:10" x14ac:dyDescent="0.25">
      <c r="B20" s="21"/>
      <c r="C20" s="22" t="s">
        <v>19</v>
      </c>
      <c r="D20" s="22" t="s">
        <v>20</v>
      </c>
      <c r="E20" s="23" t="s">
        <v>21</v>
      </c>
      <c r="G20" s="21"/>
      <c r="H20" s="22" t="s">
        <v>19</v>
      </c>
      <c r="I20" s="22" t="s">
        <v>20</v>
      </c>
      <c r="J20" s="23" t="s">
        <v>21</v>
      </c>
    </row>
    <row r="21" spans="2:10" x14ac:dyDescent="0.25">
      <c r="B21" s="24" t="s">
        <v>22</v>
      </c>
      <c r="C21" s="3"/>
      <c r="E21" s="25"/>
      <c r="G21" s="24" t="s">
        <v>22</v>
      </c>
      <c r="H21" s="1"/>
      <c r="J21" s="26"/>
    </row>
    <row r="22" spans="2:10" x14ac:dyDescent="0.25">
      <c r="B22" s="21" t="s">
        <v>23</v>
      </c>
      <c r="C22" s="3"/>
      <c r="E22" s="25"/>
      <c r="G22" s="21" t="s">
        <v>23</v>
      </c>
      <c r="H22" s="1"/>
      <c r="J22" s="26"/>
    </row>
    <row r="23" spans="2:10" x14ac:dyDescent="0.25">
      <c r="B23" s="21" t="s">
        <v>24</v>
      </c>
      <c r="C23" s="27">
        <f>H23</f>
        <v>4.4049999999999999E-2</v>
      </c>
      <c r="D23" s="3">
        <f>IF($C17&gt;$C12*17,$C12*17,$C17)</f>
        <v>0</v>
      </c>
      <c r="E23" s="28">
        <f>ROUND(C23*D23,2)</f>
        <v>0</v>
      </c>
      <c r="G23" s="21" t="s">
        <v>24</v>
      </c>
      <c r="H23" s="27">
        <f>'Rates and Credits'!H10</f>
        <v>4.4049999999999999E-2</v>
      </c>
      <c r="I23" s="3">
        <f>IF($C13&gt;$C12*17,$C12*17,$C13)</f>
        <v>0</v>
      </c>
      <c r="J23" s="29">
        <f>ROUND(H23*I23,2)</f>
        <v>0</v>
      </c>
    </row>
    <row r="24" spans="2:10" x14ac:dyDescent="0.25">
      <c r="B24" s="21" t="s">
        <v>25</v>
      </c>
      <c r="C24" s="27">
        <f>H24</f>
        <v>6.3469999999999999E-2</v>
      </c>
      <c r="D24" s="3">
        <f>IF($C17&gt;$C12*17,$C17-($C12*17),0)</f>
        <v>0</v>
      </c>
      <c r="E24" s="28">
        <f t="shared" ref="E24:E26" si="0">ROUND(C24*D24,2)</f>
        <v>0</v>
      </c>
      <c r="G24" s="21" t="s">
        <v>25</v>
      </c>
      <c r="H24" s="27">
        <f>'Rates and Credits'!H11</f>
        <v>6.3469999999999999E-2</v>
      </c>
      <c r="I24" s="3">
        <f>IF($C13&gt;$C12*17,$C13-($C12*17),0)</f>
        <v>0</v>
      </c>
      <c r="J24" s="29">
        <f t="shared" ref="J24:J37" si="1">ROUND(H24*I24,2)</f>
        <v>0</v>
      </c>
    </row>
    <row r="25" spans="2:10" x14ac:dyDescent="0.25">
      <c r="B25" s="21" t="s">
        <v>26</v>
      </c>
      <c r="C25" s="27">
        <f>H25</f>
        <v>3.9449999999999999E-2</v>
      </c>
      <c r="D25" s="3">
        <f>C17</f>
        <v>0</v>
      </c>
      <c r="E25" s="28">
        <f t="shared" si="0"/>
        <v>0</v>
      </c>
      <c r="G25" s="21" t="s">
        <v>26</v>
      </c>
      <c r="H25" s="27">
        <f>'Rates and Credits'!H12</f>
        <v>3.9449999999999999E-2</v>
      </c>
      <c r="I25" s="3">
        <f>$C13</f>
        <v>0</v>
      </c>
      <c r="J25" s="29">
        <f t="shared" si="1"/>
        <v>0</v>
      </c>
    </row>
    <row r="26" spans="2:10" x14ac:dyDescent="0.25">
      <c r="B26" s="21" t="s">
        <v>27</v>
      </c>
      <c r="C26" s="27">
        <f>H26</f>
        <v>6.6499999999999997E-3</v>
      </c>
      <c r="D26" s="3">
        <f>C17</f>
        <v>0</v>
      </c>
      <c r="E26" s="28">
        <f t="shared" si="0"/>
        <v>0</v>
      </c>
      <c r="G26" s="21" t="s">
        <v>27</v>
      </c>
      <c r="H26" s="27">
        <f>'Rates and Credits'!H13</f>
        <v>6.6499999999999997E-3</v>
      </c>
      <c r="I26" s="3">
        <f>$C13</f>
        <v>0</v>
      </c>
      <c r="J26" s="29">
        <f t="shared" si="1"/>
        <v>0</v>
      </c>
    </row>
    <row r="27" spans="2:10" x14ac:dyDescent="0.25">
      <c r="B27" s="21" t="s">
        <v>121</v>
      </c>
      <c r="C27" s="27"/>
      <c r="E27" s="28">
        <f>E58</f>
        <v>0</v>
      </c>
      <c r="G27" s="21" t="s">
        <v>121</v>
      </c>
      <c r="H27" s="27"/>
      <c r="J27" s="29">
        <f>J58</f>
        <v>0</v>
      </c>
    </row>
    <row r="28" spans="2:10" x14ac:dyDescent="0.25">
      <c r="B28" s="21"/>
      <c r="C28" s="27"/>
      <c r="E28" s="28"/>
      <c r="G28" s="21" t="s">
        <v>28</v>
      </c>
      <c r="H28" s="27"/>
      <c r="J28" s="29"/>
    </row>
    <row r="29" spans="2:10" x14ac:dyDescent="0.25">
      <c r="B29" s="21"/>
      <c r="C29" s="27"/>
      <c r="E29" s="28"/>
      <c r="G29" s="21" t="s">
        <v>24</v>
      </c>
      <c r="H29" s="27">
        <f>'Rates and Credits'!D8</f>
        <v>-9.0150000000000008E-2</v>
      </c>
      <c r="I29" s="3">
        <f>IF(C14&gt;C12*17,C12*17,C14)</f>
        <v>0</v>
      </c>
      <c r="J29" s="29">
        <f t="shared" si="1"/>
        <v>0</v>
      </c>
    </row>
    <row r="30" spans="2:10" x14ac:dyDescent="0.25">
      <c r="B30" s="21"/>
      <c r="C30" s="27"/>
      <c r="E30" s="28"/>
      <c r="G30" s="21" t="s">
        <v>25</v>
      </c>
      <c r="H30" s="27">
        <f>'Rates and Credits'!D9</f>
        <v>-0.10957</v>
      </c>
      <c r="I30" s="3">
        <f>IF(C14&gt;17*C12,C14-(17*C12),0)</f>
        <v>0</v>
      </c>
      <c r="J30" s="29">
        <f t="shared" si="1"/>
        <v>0</v>
      </c>
    </row>
    <row r="31" spans="2:10" x14ac:dyDescent="0.25">
      <c r="B31" s="21"/>
      <c r="C31" s="27"/>
      <c r="E31" s="30"/>
      <c r="G31" s="21" t="s">
        <v>29</v>
      </c>
      <c r="H31" s="27"/>
      <c r="J31" s="31">
        <f>J47</f>
        <v>0</v>
      </c>
    </row>
    <row r="32" spans="2:10" x14ac:dyDescent="0.25">
      <c r="B32" s="32" t="s">
        <v>30</v>
      </c>
      <c r="C32" s="33"/>
      <c r="D32" s="34"/>
      <c r="E32" s="35">
        <f>SUM(E23:E31)</f>
        <v>0</v>
      </c>
      <c r="F32" s="36"/>
      <c r="G32" s="32" t="s">
        <v>30</v>
      </c>
      <c r="H32" s="33"/>
      <c r="I32" s="34"/>
      <c r="J32" s="37">
        <f>SUM(J23:J31)</f>
        <v>0</v>
      </c>
    </row>
    <row r="33" spans="2:10" x14ac:dyDescent="0.25">
      <c r="B33" s="21"/>
      <c r="C33" s="27"/>
      <c r="E33" s="28"/>
      <c r="G33" s="21"/>
      <c r="H33" s="27"/>
      <c r="J33" s="29"/>
    </row>
    <row r="34" spans="2:10" x14ac:dyDescent="0.25">
      <c r="B34" s="24" t="s">
        <v>31</v>
      </c>
      <c r="C34" s="27"/>
      <c r="E34" s="28"/>
      <c r="G34" s="24" t="s">
        <v>31</v>
      </c>
      <c r="H34" s="27"/>
      <c r="J34" s="29"/>
    </row>
    <row r="35" spans="2:10" x14ac:dyDescent="0.25">
      <c r="B35" s="21" t="s">
        <v>32</v>
      </c>
      <c r="C35" s="38">
        <f>H35</f>
        <v>8.5</v>
      </c>
      <c r="D35" s="3">
        <v>1</v>
      </c>
      <c r="E35" s="28">
        <f t="shared" ref="E35:E37" si="2">ROUND(C35*D35,2)</f>
        <v>8.5</v>
      </c>
      <c r="G35" s="21" t="s">
        <v>32</v>
      </c>
      <c r="H35" s="38">
        <f>'Rates and Credits'!H18</f>
        <v>8.5</v>
      </c>
      <c r="I35" s="3">
        <v>1</v>
      </c>
      <c r="J35" s="29">
        <f t="shared" si="1"/>
        <v>8.5</v>
      </c>
    </row>
    <row r="36" spans="2:10" x14ac:dyDescent="0.25">
      <c r="B36" s="21" t="s">
        <v>33</v>
      </c>
      <c r="C36" s="27">
        <f>H36</f>
        <v>6.8790000000000004E-2</v>
      </c>
      <c r="D36" s="3">
        <f>C17</f>
        <v>0</v>
      </c>
      <c r="E36" s="28">
        <f t="shared" si="2"/>
        <v>0</v>
      </c>
      <c r="G36" s="21" t="s">
        <v>33</v>
      </c>
      <c r="H36" s="27">
        <f>'Rates and Credits'!H19</f>
        <v>6.8790000000000004E-2</v>
      </c>
      <c r="I36" s="3">
        <f>$C13</f>
        <v>0</v>
      </c>
      <c r="J36" s="29">
        <f t="shared" si="1"/>
        <v>0</v>
      </c>
    </row>
    <row r="37" spans="2:10" x14ac:dyDescent="0.25">
      <c r="B37" s="21" t="s">
        <v>36</v>
      </c>
      <c r="C37" s="38">
        <f>H37</f>
        <v>0.9</v>
      </c>
      <c r="D37" s="3">
        <f>$I35</f>
        <v>1</v>
      </c>
      <c r="E37" s="28">
        <f t="shared" si="2"/>
        <v>0.9</v>
      </c>
      <c r="G37" s="21" t="s">
        <v>36</v>
      </c>
      <c r="H37" s="38">
        <f>'Rates and Credits'!H24</f>
        <v>0.9</v>
      </c>
      <c r="I37" s="3">
        <f>$I35</f>
        <v>1</v>
      </c>
      <c r="J37" s="29">
        <f t="shared" si="1"/>
        <v>0.9</v>
      </c>
    </row>
    <row r="38" spans="2:10" x14ac:dyDescent="0.25">
      <c r="B38" s="21" t="s">
        <v>122</v>
      </c>
      <c r="C38" s="38"/>
      <c r="E38" s="28">
        <f>E66</f>
        <v>0</v>
      </c>
      <c r="G38" s="21" t="s">
        <v>122</v>
      </c>
      <c r="H38" s="38"/>
      <c r="J38" s="29">
        <f>J65</f>
        <v>0</v>
      </c>
    </row>
    <row r="39" spans="2:10" x14ac:dyDescent="0.25">
      <c r="B39" s="21"/>
      <c r="C39" s="3"/>
      <c r="E39" s="28"/>
      <c r="G39" s="21"/>
      <c r="H39" s="1"/>
      <c r="J39" s="29"/>
    </row>
    <row r="40" spans="2:10" x14ac:dyDescent="0.25">
      <c r="B40" s="32" t="s">
        <v>37</v>
      </c>
      <c r="C40" s="34"/>
      <c r="D40" s="34"/>
      <c r="E40" s="35">
        <f>SUM(E35:E39)</f>
        <v>9.4</v>
      </c>
      <c r="F40" s="36"/>
      <c r="G40" s="32" t="s">
        <v>37</v>
      </c>
      <c r="H40" s="36"/>
      <c r="I40" s="34"/>
      <c r="J40" s="37">
        <f>SUM(J35:J39)</f>
        <v>9.4</v>
      </c>
    </row>
    <row r="41" spans="2:10" x14ac:dyDescent="0.25">
      <c r="B41" s="32" t="s">
        <v>38</v>
      </c>
      <c r="C41" s="34"/>
      <c r="D41" s="34"/>
      <c r="E41" s="35">
        <f>E32+E40</f>
        <v>9.4</v>
      </c>
      <c r="F41" s="36"/>
      <c r="G41" s="32" t="s">
        <v>38</v>
      </c>
      <c r="H41" s="36"/>
      <c r="I41" s="34"/>
      <c r="J41" s="37">
        <f>J32+J40</f>
        <v>9.4</v>
      </c>
    </row>
    <row r="42" spans="2:10" x14ac:dyDescent="0.25">
      <c r="B42" s="21" t="s">
        <v>39</v>
      </c>
      <c r="C42" s="3"/>
      <c r="E42" s="30">
        <f>ROUND(0.04*(E41-E37),2)</f>
        <v>0.34</v>
      </c>
      <c r="G42" s="21" t="s">
        <v>39</v>
      </c>
      <c r="H42" s="1"/>
      <c r="J42" s="31">
        <f>ROUND(0.04*(J41-J37),2)</f>
        <v>0.34</v>
      </c>
    </row>
    <row r="43" spans="2:10" x14ac:dyDescent="0.25">
      <c r="B43" s="32" t="s">
        <v>40</v>
      </c>
      <c r="C43" s="34"/>
      <c r="D43" s="34"/>
      <c r="E43" s="35">
        <f>E41+E42</f>
        <v>9.74</v>
      </c>
      <c r="F43" s="36"/>
      <c r="G43" s="32" t="s">
        <v>40</v>
      </c>
      <c r="H43" s="36"/>
      <c r="I43" s="34"/>
      <c r="J43" s="37">
        <f>J41+J42</f>
        <v>9.74</v>
      </c>
    </row>
    <row r="44" spans="2:10" x14ac:dyDescent="0.25">
      <c r="B44" s="21"/>
      <c r="C44" s="3"/>
      <c r="E44" s="25"/>
      <c r="G44" s="21"/>
      <c r="H44" s="1"/>
      <c r="J44" s="26"/>
    </row>
    <row r="45" spans="2:10" x14ac:dyDescent="0.25">
      <c r="B45" s="21"/>
      <c r="C45" s="3"/>
      <c r="E45" s="25"/>
      <c r="G45" s="24" t="s">
        <v>41</v>
      </c>
      <c r="H45" s="1"/>
      <c r="J45" s="26"/>
    </row>
    <row r="46" spans="2:10" x14ac:dyDescent="0.25">
      <c r="B46" s="21"/>
      <c r="C46" s="3"/>
      <c r="E46" s="25"/>
      <c r="G46" s="21" t="s">
        <v>42</v>
      </c>
      <c r="H46" s="1"/>
      <c r="J46" s="39">
        <v>0</v>
      </c>
    </row>
    <row r="47" spans="2:10" x14ac:dyDescent="0.25">
      <c r="B47" s="21"/>
      <c r="C47" s="3"/>
      <c r="E47" s="25"/>
      <c r="G47" s="21" t="s">
        <v>43</v>
      </c>
      <c r="H47" s="1"/>
      <c r="J47" s="40">
        <f>IF(SUM(J23:J30)-J57&lt;0,-(SUM(J23:J30)-J57),IF(J46&gt;0,IF(SUM(J23:J30)-J57&gt;J46,-J46,-(SUM(J23:J30)-J57)),))</f>
        <v>0</v>
      </c>
    </row>
    <row r="48" spans="2:10" ht="15.75" thickBot="1" x14ac:dyDescent="0.3">
      <c r="B48" s="41"/>
      <c r="C48" s="42"/>
      <c r="D48" s="42"/>
      <c r="E48" s="43"/>
      <c r="G48" s="41" t="s">
        <v>44</v>
      </c>
      <c r="H48" s="44"/>
      <c r="I48" s="42"/>
      <c r="J48" s="58">
        <f>J46+J47</f>
        <v>0</v>
      </c>
    </row>
    <row r="49" spans="2:10" ht="15.75" thickTop="1" x14ac:dyDescent="0.25"/>
    <row r="55" spans="2:10" x14ac:dyDescent="0.25">
      <c r="B55" s="68" t="s">
        <v>121</v>
      </c>
      <c r="C55" s="69" t="s">
        <v>19</v>
      </c>
      <c r="D55" s="69" t="s">
        <v>20</v>
      </c>
      <c r="E55" s="69" t="s">
        <v>21</v>
      </c>
      <c r="G55" s="68" t="s">
        <v>121</v>
      </c>
      <c r="H55" s="69" t="s">
        <v>19</v>
      </c>
      <c r="I55" s="69" t="s">
        <v>20</v>
      </c>
      <c r="J55" s="69" t="s">
        <v>21</v>
      </c>
    </row>
    <row r="56" spans="2:10" x14ac:dyDescent="0.25">
      <c r="B56" s="1" t="s">
        <v>123</v>
      </c>
      <c r="C56" s="67">
        <f>'Rates and Credits'!H14</f>
        <v>2.1000000000000001E-4</v>
      </c>
      <c r="D56" s="3">
        <f>C17</f>
        <v>0</v>
      </c>
      <c r="E56" s="66">
        <f t="shared" ref="E56:E63" si="3">ROUND(C56*D56,2)</f>
        <v>0</v>
      </c>
      <c r="G56" s="1" t="s">
        <v>123</v>
      </c>
      <c r="H56" s="67">
        <f>C56</f>
        <v>2.1000000000000001E-4</v>
      </c>
      <c r="I56" s="3">
        <f>C13</f>
        <v>0</v>
      </c>
      <c r="J56" s="66">
        <f t="shared" ref="J56:J62" si="4">ROUND(H56*I56,2)</f>
        <v>0</v>
      </c>
    </row>
    <row r="57" spans="2:10" x14ac:dyDescent="0.25">
      <c r="B57" s="1" t="s">
        <v>120</v>
      </c>
      <c r="C57" s="67">
        <f>'Rates and Credits'!H15</f>
        <v>0</v>
      </c>
      <c r="D57" s="3">
        <f>C17</f>
        <v>0</v>
      </c>
      <c r="E57" s="70">
        <f t="shared" si="3"/>
        <v>0</v>
      </c>
      <c r="G57" s="1" t="s">
        <v>120</v>
      </c>
      <c r="H57" s="67">
        <f>C57</f>
        <v>0</v>
      </c>
      <c r="I57" s="3">
        <f>C13</f>
        <v>0</v>
      </c>
      <c r="J57" s="70">
        <f t="shared" si="4"/>
        <v>0</v>
      </c>
    </row>
    <row r="58" spans="2:10" x14ac:dyDescent="0.25">
      <c r="B58" s="1" t="s">
        <v>38</v>
      </c>
      <c r="C58" s="67"/>
      <c r="E58" s="66">
        <f>SUM(E56:E57)</f>
        <v>0</v>
      </c>
      <c r="G58" s="1" t="s">
        <v>38</v>
      </c>
      <c r="H58" s="1"/>
      <c r="J58" s="66">
        <f>SUM(J56:J57)</f>
        <v>0</v>
      </c>
    </row>
    <row r="59" spans="2:10" x14ac:dyDescent="0.25">
      <c r="C59" s="67"/>
      <c r="E59" s="66"/>
      <c r="H59" s="1"/>
      <c r="J59" s="66"/>
    </row>
    <row r="60" spans="2:10" x14ac:dyDescent="0.25">
      <c r="C60" s="67"/>
      <c r="E60" s="66"/>
      <c r="H60" s="1"/>
      <c r="J60" s="66"/>
    </row>
    <row r="61" spans="2:10" x14ac:dyDescent="0.25">
      <c r="B61" s="68" t="s">
        <v>122</v>
      </c>
      <c r="C61" s="67"/>
      <c r="E61" s="66"/>
      <c r="G61" s="68" t="s">
        <v>122</v>
      </c>
      <c r="H61" s="1"/>
      <c r="J61" s="66"/>
    </row>
    <row r="62" spans="2:10" x14ac:dyDescent="0.25">
      <c r="B62" s="1" t="s">
        <v>123</v>
      </c>
      <c r="C62" s="67">
        <f>'Rates and Credits'!H22</f>
        <v>1.792E-3</v>
      </c>
      <c r="D62" s="3">
        <f>C17</f>
        <v>0</v>
      </c>
      <c r="E62" s="66">
        <f t="shared" si="3"/>
        <v>0</v>
      </c>
      <c r="G62" s="1" t="s">
        <v>123</v>
      </c>
      <c r="H62" s="67">
        <f>C62</f>
        <v>1.792E-3</v>
      </c>
      <c r="I62" s="3">
        <f>C13</f>
        <v>0</v>
      </c>
      <c r="J62" s="66">
        <f t="shared" si="4"/>
        <v>0</v>
      </c>
    </row>
    <row r="63" spans="2:10" x14ac:dyDescent="0.25">
      <c r="B63" s="1" t="s">
        <v>120</v>
      </c>
      <c r="C63" s="67">
        <f>'Rates and Credits'!H23</f>
        <v>0</v>
      </c>
      <c r="D63" s="3">
        <f>C17</f>
        <v>0</v>
      </c>
      <c r="E63" s="66">
        <f t="shared" si="3"/>
        <v>0</v>
      </c>
      <c r="G63" s="1" t="s">
        <v>34</v>
      </c>
      <c r="H63" s="67">
        <f>C64</f>
        <v>8.52E-4</v>
      </c>
      <c r="I63" s="3">
        <f>C13</f>
        <v>0</v>
      </c>
      <c r="J63" s="66">
        <f>ROUND(H63*I63,2)</f>
        <v>0</v>
      </c>
    </row>
    <row r="64" spans="2:10" x14ac:dyDescent="0.25">
      <c r="B64" s="1" t="s">
        <v>34</v>
      </c>
      <c r="C64" s="67">
        <f>'Rates and Credits'!H20</f>
        <v>8.52E-4</v>
      </c>
      <c r="D64" s="3">
        <f>C17</f>
        <v>0</v>
      </c>
      <c r="E64" s="66">
        <f>ROUND(C64*D64,2)</f>
        <v>0</v>
      </c>
      <c r="G64" s="1" t="s">
        <v>35</v>
      </c>
      <c r="H64" s="67">
        <f>C65</f>
        <v>5.4229999999999999E-3</v>
      </c>
      <c r="I64" s="3">
        <f>C13</f>
        <v>0</v>
      </c>
      <c r="J64" s="70">
        <f>ROUND(H64*I64,2)</f>
        <v>0</v>
      </c>
    </row>
    <row r="65" spans="2:10" x14ac:dyDescent="0.25">
      <c r="B65" s="1" t="s">
        <v>35</v>
      </c>
      <c r="C65" s="67">
        <f>'Rates and Credits'!H21</f>
        <v>5.4229999999999999E-3</v>
      </c>
      <c r="D65" s="3">
        <f>C17</f>
        <v>0</v>
      </c>
      <c r="E65" s="70">
        <f>ROUND(C65*D65,2)</f>
        <v>0</v>
      </c>
      <c r="G65" s="1" t="s">
        <v>38</v>
      </c>
      <c r="H65" s="1"/>
      <c r="J65" s="66">
        <f>SUM(J62:J64)</f>
        <v>0</v>
      </c>
    </row>
    <row r="66" spans="2:10" x14ac:dyDescent="0.25">
      <c r="B66" s="1" t="s">
        <v>38</v>
      </c>
      <c r="E66" s="66">
        <f>SUM(E62:E65)</f>
        <v>0</v>
      </c>
    </row>
  </sheetData>
  <mergeCells count="17">
    <mergeCell ref="G12:H12"/>
    <mergeCell ref="I12:J12"/>
    <mergeCell ref="B4:G8"/>
    <mergeCell ref="B10:E10"/>
    <mergeCell ref="G10:J10"/>
    <mergeCell ref="G11:H11"/>
    <mergeCell ref="I11:J11"/>
    <mergeCell ref="G17:H17"/>
    <mergeCell ref="I17:J17"/>
    <mergeCell ref="B19:E19"/>
    <mergeCell ref="G19:J19"/>
    <mergeCell ref="G13:H13"/>
    <mergeCell ref="G14:H14"/>
    <mergeCell ref="I14:J14"/>
    <mergeCell ref="G15:H15"/>
    <mergeCell ref="G16:H16"/>
    <mergeCell ref="I16: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3DF2-2395-4E8A-B078-EEC11F13599E}">
  <dimension ref="A2:K68"/>
  <sheetViews>
    <sheetView workbookViewId="0">
      <selection activeCell="C12" sqref="C12"/>
    </sheetView>
  </sheetViews>
  <sheetFormatPr defaultRowHeight="15" x14ac:dyDescent="0.25"/>
  <cols>
    <col min="1" max="1" width="8.85546875" style="1"/>
    <col min="2" max="2" width="45" style="1" customWidth="1"/>
    <col min="3" max="3" width="13.85546875" style="1" bestFit="1" customWidth="1"/>
    <col min="4" max="4" width="12.42578125" style="3" bestFit="1" customWidth="1"/>
    <col min="5" max="5" width="12.42578125" style="1" bestFit="1" customWidth="1"/>
    <col min="6" max="6" width="15.85546875" style="1" customWidth="1"/>
    <col min="7" max="7" width="49" style="1" bestFit="1" customWidth="1"/>
    <col min="8" max="8" width="14.85546875" style="3" bestFit="1" customWidth="1"/>
    <col min="9" max="9" width="9.42578125" style="3" bestFit="1" customWidth="1"/>
    <col min="10" max="10" width="11.5703125" style="3" bestFit="1" customWidth="1"/>
    <col min="11" max="11" width="8.85546875" style="1"/>
  </cols>
  <sheetData>
    <row r="2" spans="2:9" ht="22.5" x14ac:dyDescent="0.3">
      <c r="B2" s="2" t="s">
        <v>0</v>
      </c>
    </row>
    <row r="3" spans="2:9" ht="18" x14ac:dyDescent="0.25">
      <c r="B3" s="92" t="s">
        <v>45</v>
      </c>
      <c r="C3" s="92"/>
      <c r="D3" s="92"/>
      <c r="E3" s="92"/>
      <c r="F3" s="92"/>
      <c r="G3" s="92"/>
    </row>
    <row r="4" spans="2:9" x14ac:dyDescent="0.25">
      <c r="B4" s="84" t="s">
        <v>46</v>
      </c>
      <c r="C4" s="84"/>
      <c r="D4" s="84"/>
      <c r="E4" s="84"/>
      <c r="F4" s="84"/>
      <c r="G4" s="84"/>
    </row>
    <row r="5" spans="2:9" x14ac:dyDescent="0.25">
      <c r="B5" s="84"/>
      <c r="C5" s="84"/>
      <c r="D5" s="84"/>
      <c r="E5" s="84"/>
      <c r="F5" s="84"/>
      <c r="G5" s="84"/>
    </row>
    <row r="6" spans="2:9" x14ac:dyDescent="0.25">
      <c r="B6" s="84"/>
      <c r="C6" s="84"/>
      <c r="D6" s="84"/>
      <c r="E6" s="84"/>
      <c r="F6" s="84"/>
      <c r="G6" s="84"/>
    </row>
    <row r="7" spans="2:9" x14ac:dyDescent="0.25">
      <c r="B7" s="84"/>
      <c r="C7" s="84"/>
      <c r="D7" s="84"/>
      <c r="E7" s="84"/>
      <c r="F7" s="84"/>
      <c r="G7" s="84"/>
    </row>
    <row r="8" spans="2:9" ht="23.45" customHeight="1" x14ac:dyDescent="0.25">
      <c r="B8" s="84"/>
      <c r="C8" s="84"/>
      <c r="D8" s="84"/>
      <c r="E8" s="84"/>
      <c r="F8" s="84"/>
      <c r="G8" s="84"/>
    </row>
    <row r="9" spans="2:9" ht="15.75" thickBot="1" x14ac:dyDescent="0.3"/>
    <row r="10" spans="2:9" ht="15.75" thickBot="1" x14ac:dyDescent="0.3">
      <c r="B10" s="85" t="s">
        <v>3</v>
      </c>
      <c r="C10" s="86"/>
      <c r="D10" s="86"/>
      <c r="E10" s="87"/>
      <c r="G10" s="85" t="s">
        <v>4</v>
      </c>
      <c r="H10" s="86"/>
      <c r="I10" s="87"/>
    </row>
    <row r="11" spans="2:9" x14ac:dyDescent="0.25">
      <c r="B11" s="5"/>
      <c r="C11" s="6"/>
      <c r="D11" s="6"/>
      <c r="E11" s="7"/>
      <c r="G11" s="5" t="s">
        <v>5</v>
      </c>
      <c r="H11" s="90">
        <f>J46</f>
        <v>78.089999999999989</v>
      </c>
      <c r="I11" s="91"/>
    </row>
    <row r="12" spans="2:9" x14ac:dyDescent="0.25">
      <c r="B12" s="8" t="s">
        <v>6</v>
      </c>
      <c r="C12" s="9">
        <v>30</v>
      </c>
      <c r="D12" s="45" t="s">
        <v>7</v>
      </c>
      <c r="E12" s="11"/>
      <c r="G12" s="8" t="s">
        <v>47</v>
      </c>
      <c r="H12" s="82">
        <f>J51</f>
        <v>0</v>
      </c>
      <c r="I12" s="83"/>
    </row>
    <row r="13" spans="2:9" x14ac:dyDescent="0.25">
      <c r="B13" s="8" t="s">
        <v>9</v>
      </c>
      <c r="C13" s="9">
        <v>675</v>
      </c>
      <c r="D13" s="10" t="s">
        <v>10</v>
      </c>
      <c r="E13" s="11"/>
      <c r="G13" s="8"/>
      <c r="H13" s="45"/>
      <c r="I13" s="11"/>
    </row>
    <row r="14" spans="2:9" x14ac:dyDescent="0.25">
      <c r="B14" s="8" t="s">
        <v>11</v>
      </c>
      <c r="C14" s="9">
        <v>550</v>
      </c>
      <c r="D14" s="10" t="s">
        <v>10</v>
      </c>
      <c r="E14" s="11"/>
      <c r="G14" s="8" t="s">
        <v>48</v>
      </c>
      <c r="H14" s="80">
        <f>E46</f>
        <v>31.490000000000002</v>
      </c>
      <c r="I14" s="81"/>
    </row>
    <row r="15" spans="2:9" x14ac:dyDescent="0.25">
      <c r="B15" s="8"/>
      <c r="C15" s="46"/>
      <c r="D15" s="10"/>
      <c r="E15" s="11"/>
      <c r="G15" s="8" t="s">
        <v>49</v>
      </c>
      <c r="H15" s="80">
        <f>E51</f>
        <v>0</v>
      </c>
      <c r="I15" s="81"/>
    </row>
    <row r="16" spans="2:9" ht="15.75" thickBot="1" x14ac:dyDescent="0.3">
      <c r="B16" s="15" t="s">
        <v>50</v>
      </c>
      <c r="C16" s="16">
        <f>C13-C14</f>
        <v>125</v>
      </c>
      <c r="D16" s="17" t="s">
        <v>10</v>
      </c>
      <c r="E16" s="18"/>
      <c r="G16" s="8"/>
      <c r="H16" s="47"/>
      <c r="I16" s="13"/>
    </row>
    <row r="17" spans="2:10" x14ac:dyDescent="0.25">
      <c r="B17" s="93" t="s">
        <v>51</v>
      </c>
      <c r="C17" s="93"/>
      <c r="D17" s="93"/>
      <c r="E17" s="93"/>
      <c r="G17" s="8" t="s">
        <v>52</v>
      </c>
      <c r="H17" s="80">
        <f>J46-E46</f>
        <v>46.599999999999987</v>
      </c>
      <c r="I17" s="81"/>
    </row>
    <row r="18" spans="2:10" ht="27" thickBot="1" x14ac:dyDescent="0.3">
      <c r="B18" s="94"/>
      <c r="C18" s="94"/>
      <c r="D18" s="94"/>
      <c r="E18" s="94"/>
      <c r="G18" s="48" t="s">
        <v>53</v>
      </c>
      <c r="H18" s="73">
        <f>(J46-J51)-(E46-E51)</f>
        <v>46.599999999999987</v>
      </c>
      <c r="I18" s="74"/>
    </row>
    <row r="19" spans="2:10" x14ac:dyDescent="0.25">
      <c r="B19" s="49"/>
      <c r="C19" s="49"/>
      <c r="D19" s="49"/>
      <c r="E19" s="49"/>
      <c r="H19" s="50"/>
    </row>
    <row r="20" spans="2:10" ht="23.25" thickBot="1" x14ac:dyDescent="0.35">
      <c r="B20" s="19"/>
      <c r="C20" s="20"/>
      <c r="D20" s="1"/>
    </row>
    <row r="21" spans="2:10" ht="15.75" thickTop="1" x14ac:dyDescent="0.25">
      <c r="B21" s="75" t="s">
        <v>54</v>
      </c>
      <c r="C21" s="76"/>
      <c r="D21" s="76"/>
      <c r="E21" s="77"/>
      <c r="G21" s="75" t="s">
        <v>18</v>
      </c>
      <c r="H21" s="76"/>
      <c r="I21" s="76"/>
      <c r="J21" s="77"/>
    </row>
    <row r="22" spans="2:10" x14ac:dyDescent="0.25">
      <c r="B22" s="21"/>
      <c r="C22" s="22" t="s">
        <v>19</v>
      </c>
      <c r="D22" s="22" t="s">
        <v>20</v>
      </c>
      <c r="E22" s="23" t="s">
        <v>21</v>
      </c>
      <c r="G22" s="21"/>
      <c r="H22" s="22" t="s">
        <v>19</v>
      </c>
      <c r="I22" s="22" t="s">
        <v>20</v>
      </c>
      <c r="J22" s="23" t="s">
        <v>21</v>
      </c>
    </row>
    <row r="23" spans="2:10" x14ac:dyDescent="0.25">
      <c r="B23" s="24" t="s">
        <v>22</v>
      </c>
      <c r="C23" s="3"/>
      <c r="E23" s="25"/>
      <c r="G23" s="24" t="s">
        <v>22</v>
      </c>
      <c r="H23" s="1"/>
      <c r="J23" s="26"/>
    </row>
    <row r="24" spans="2:10" x14ac:dyDescent="0.25">
      <c r="B24" s="21" t="s">
        <v>23</v>
      </c>
      <c r="C24" s="3"/>
      <c r="E24" s="25"/>
      <c r="G24" s="21" t="s">
        <v>23</v>
      </c>
      <c r="H24" s="1"/>
      <c r="J24" s="26"/>
    </row>
    <row r="25" spans="2:10" x14ac:dyDescent="0.25">
      <c r="B25" s="21" t="s">
        <v>55</v>
      </c>
      <c r="C25" s="27">
        <f>H25</f>
        <v>4.4049999999999999E-2</v>
      </c>
      <c r="D25" s="3">
        <f>IF($C55&gt;$C12*17,$C12*17,$C55)</f>
        <v>125</v>
      </c>
      <c r="E25" s="28">
        <f t="shared" ref="E25:E33" si="0">ROUND(C25*D25,2)</f>
        <v>5.51</v>
      </c>
      <c r="G25" s="21" t="s">
        <v>55</v>
      </c>
      <c r="H25" s="27">
        <f>'Rates and Credits'!H10</f>
        <v>4.4049999999999999E-2</v>
      </c>
      <c r="I25" s="3">
        <f>IF($C13&gt;$C12*17,$C12*17,$C13)</f>
        <v>510</v>
      </c>
      <c r="J25" s="29">
        <f>ROUND(H25*I25,2)</f>
        <v>22.47</v>
      </c>
    </row>
    <row r="26" spans="2:10" x14ac:dyDescent="0.25">
      <c r="B26" s="21" t="s">
        <v>25</v>
      </c>
      <c r="C26" s="27">
        <f>H26</f>
        <v>6.3469999999999999E-2</v>
      </c>
      <c r="D26" s="3">
        <f>IF($C54&gt;$C12*17,$C54-($C12*17),0)</f>
        <v>0</v>
      </c>
      <c r="E26" s="28">
        <f t="shared" si="0"/>
        <v>0</v>
      </c>
      <c r="G26" s="21" t="s">
        <v>25</v>
      </c>
      <c r="H26" s="27">
        <f>'Rates and Credits'!H11</f>
        <v>6.3469999999999999E-2</v>
      </c>
      <c r="I26" s="3">
        <f>IF($C13&gt;$C12*17,$C13-($C12*17),0)</f>
        <v>165</v>
      </c>
      <c r="J26" s="29">
        <f t="shared" ref="J26:J39" si="1">ROUND(H26*I26,2)</f>
        <v>10.47</v>
      </c>
    </row>
    <row r="27" spans="2:10" x14ac:dyDescent="0.25">
      <c r="B27" s="21" t="s">
        <v>26</v>
      </c>
      <c r="C27" s="27">
        <f>H27</f>
        <v>3.9449999999999999E-2</v>
      </c>
      <c r="D27" s="3">
        <f>C55</f>
        <v>125</v>
      </c>
      <c r="E27" s="28">
        <f t="shared" si="0"/>
        <v>4.93</v>
      </c>
      <c r="G27" s="21" t="s">
        <v>26</v>
      </c>
      <c r="H27" s="27">
        <f>'Rates and Credits'!H12</f>
        <v>3.9449999999999999E-2</v>
      </c>
      <c r="I27" s="3">
        <f>$C13</f>
        <v>675</v>
      </c>
      <c r="J27" s="29">
        <f t="shared" si="1"/>
        <v>26.63</v>
      </c>
    </row>
    <row r="28" spans="2:10" x14ac:dyDescent="0.25">
      <c r="B28" s="21" t="s">
        <v>27</v>
      </c>
      <c r="C28" s="27">
        <f>H28</f>
        <v>6.6499999999999997E-3</v>
      </c>
      <c r="D28" s="3">
        <f>C55</f>
        <v>125</v>
      </c>
      <c r="E28" s="28">
        <f t="shared" si="0"/>
        <v>0.83</v>
      </c>
      <c r="G28" s="21" t="s">
        <v>27</v>
      </c>
      <c r="H28" s="27">
        <f>'Rates and Credits'!H13</f>
        <v>6.6499999999999997E-3</v>
      </c>
      <c r="I28" s="3">
        <f>$C13</f>
        <v>675</v>
      </c>
      <c r="J28" s="29">
        <f t="shared" si="1"/>
        <v>4.49</v>
      </c>
    </row>
    <row r="29" spans="2:10" x14ac:dyDescent="0.25">
      <c r="B29" s="21" t="s">
        <v>121</v>
      </c>
      <c r="C29" s="27"/>
      <c r="E29" s="28">
        <f>E60</f>
        <v>0.03</v>
      </c>
      <c r="G29" s="21" t="s">
        <v>121</v>
      </c>
      <c r="H29" s="27"/>
      <c r="J29" s="29">
        <f>J60</f>
        <v>0.14000000000000001</v>
      </c>
    </row>
    <row r="30" spans="2:10" x14ac:dyDescent="0.25">
      <c r="B30" s="21" t="s">
        <v>56</v>
      </c>
      <c r="C30" s="27">
        <f>-C25</f>
        <v>-4.4049999999999999E-2</v>
      </c>
      <c r="D30" s="3">
        <f>IF(C$50&lt;0,IF(-C$50&gt;D25,D25,-C50),0)</f>
        <v>0</v>
      </c>
      <c r="E30" s="28">
        <f t="shared" si="0"/>
        <v>0</v>
      </c>
      <c r="G30" s="21" t="s">
        <v>28</v>
      </c>
      <c r="H30" s="27"/>
      <c r="J30" s="29">
        <f t="shared" si="1"/>
        <v>0</v>
      </c>
    </row>
    <row r="31" spans="2:10" x14ac:dyDescent="0.25">
      <c r="B31" s="21" t="s">
        <v>57</v>
      </c>
      <c r="C31" s="27">
        <f>-C26</f>
        <v>-6.3469999999999999E-2</v>
      </c>
      <c r="D31" s="3">
        <f>IF(C$50&lt;0,IF(-C$50&gt;D30,-C50-D30,0),0)</f>
        <v>0</v>
      </c>
      <c r="E31" s="28">
        <f t="shared" si="0"/>
        <v>0</v>
      </c>
      <c r="G31" s="21" t="s">
        <v>55</v>
      </c>
      <c r="H31" s="27">
        <f>'Rates and Credits'!D8</f>
        <v>-9.0150000000000008E-2</v>
      </c>
      <c r="I31" s="3">
        <f>IF(C14&gt;C12*17,C12*17,C14)</f>
        <v>510</v>
      </c>
      <c r="J31" s="29">
        <f t="shared" si="1"/>
        <v>-45.98</v>
      </c>
    </row>
    <row r="32" spans="2:10" x14ac:dyDescent="0.25">
      <c r="B32" s="21" t="s">
        <v>58</v>
      </c>
      <c r="C32" s="27">
        <f>-C27</f>
        <v>-3.9449999999999999E-2</v>
      </c>
      <c r="D32" s="3">
        <f t="shared" ref="D32" si="2">IF(C$50&lt;0,-C$50,0)</f>
        <v>0</v>
      </c>
      <c r="E32" s="28">
        <f t="shared" si="0"/>
        <v>0</v>
      </c>
      <c r="G32" s="21" t="s">
        <v>25</v>
      </c>
      <c r="H32" s="27">
        <f>'Rates and Credits'!D9</f>
        <v>-0.10957</v>
      </c>
      <c r="I32" s="3">
        <f>IF(C14&gt;17*C12,C14-(17*C12),0)</f>
        <v>40</v>
      </c>
      <c r="J32" s="29">
        <f t="shared" si="1"/>
        <v>-4.38</v>
      </c>
    </row>
    <row r="33" spans="2:10" x14ac:dyDescent="0.25">
      <c r="B33" s="21" t="s">
        <v>59</v>
      </c>
      <c r="C33" s="27">
        <f>IF(C28&lt;0,C28,-C28)</f>
        <v>-6.6499999999999997E-3</v>
      </c>
      <c r="D33" s="3">
        <f>IF(C$50&lt;0,-C$50,0)</f>
        <v>0</v>
      </c>
      <c r="E33" s="30">
        <f t="shared" si="0"/>
        <v>0</v>
      </c>
      <c r="G33" s="21" t="s">
        <v>29</v>
      </c>
      <c r="H33" s="27"/>
      <c r="J33" s="31">
        <f>J50</f>
        <v>0</v>
      </c>
    </row>
    <row r="34" spans="2:10" x14ac:dyDescent="0.25">
      <c r="B34" s="32" t="s">
        <v>30</v>
      </c>
      <c r="C34" s="33"/>
      <c r="D34" s="34"/>
      <c r="E34" s="35">
        <f>SUM(E25:E33)</f>
        <v>11.299999999999999</v>
      </c>
      <c r="G34" s="32" t="s">
        <v>30</v>
      </c>
      <c r="H34" s="33"/>
      <c r="I34" s="34"/>
      <c r="J34" s="37">
        <f>SUM(J25:J33)</f>
        <v>13.839999999999993</v>
      </c>
    </row>
    <row r="35" spans="2:10" x14ac:dyDescent="0.25">
      <c r="B35" s="21"/>
      <c r="C35" s="27"/>
      <c r="E35" s="28"/>
      <c r="F35" s="36"/>
      <c r="G35" s="21"/>
      <c r="H35" s="27"/>
      <c r="J35" s="29"/>
    </row>
    <row r="36" spans="2:10" x14ac:dyDescent="0.25">
      <c r="B36" s="24" t="s">
        <v>31</v>
      </c>
      <c r="C36" s="27"/>
      <c r="E36" s="28"/>
      <c r="G36" s="24" t="s">
        <v>31</v>
      </c>
      <c r="H36" s="27"/>
      <c r="J36" s="29"/>
    </row>
    <row r="37" spans="2:10" x14ac:dyDescent="0.25">
      <c r="B37" s="21" t="s">
        <v>32</v>
      </c>
      <c r="C37" s="38">
        <f>H37</f>
        <v>8.5</v>
      </c>
      <c r="D37" s="3">
        <v>1</v>
      </c>
      <c r="E37" s="28">
        <f t="shared" ref="E37:E41" si="3">ROUND(C37*D37,2)</f>
        <v>8.5</v>
      </c>
      <c r="G37" s="21" t="s">
        <v>32</v>
      </c>
      <c r="H37" s="38">
        <f>'Rates and Credits'!H18</f>
        <v>8.5</v>
      </c>
      <c r="I37" s="3">
        <v>1</v>
      </c>
      <c r="J37" s="29">
        <f t="shared" si="1"/>
        <v>8.5</v>
      </c>
    </row>
    <row r="38" spans="2:10" x14ac:dyDescent="0.25">
      <c r="B38" s="21" t="s">
        <v>33</v>
      </c>
      <c r="C38" s="27">
        <f>H38</f>
        <v>6.8790000000000004E-2</v>
      </c>
      <c r="D38" s="3">
        <f>C55</f>
        <v>125</v>
      </c>
      <c r="E38" s="28">
        <f t="shared" si="3"/>
        <v>8.6</v>
      </c>
      <c r="G38" s="21" t="s">
        <v>33</v>
      </c>
      <c r="H38" s="27">
        <f>'Rates and Credits'!H19</f>
        <v>6.8790000000000004E-2</v>
      </c>
      <c r="I38" s="3">
        <f>$C13</f>
        <v>675</v>
      </c>
      <c r="J38" s="29">
        <f t="shared" si="1"/>
        <v>46.43</v>
      </c>
    </row>
    <row r="39" spans="2:10" x14ac:dyDescent="0.25">
      <c r="B39" s="21" t="s">
        <v>36</v>
      </c>
      <c r="C39" s="38">
        <f>H39</f>
        <v>0.9</v>
      </c>
      <c r="D39" s="3">
        <f>$I37</f>
        <v>1</v>
      </c>
      <c r="E39" s="28">
        <f t="shared" si="3"/>
        <v>0.9</v>
      </c>
      <c r="G39" s="21" t="s">
        <v>36</v>
      </c>
      <c r="H39" s="38">
        <f>'Rates and Credits'!H24</f>
        <v>0.9</v>
      </c>
      <c r="I39" s="3">
        <f>$I37</f>
        <v>1</v>
      </c>
      <c r="J39" s="29">
        <f t="shared" si="1"/>
        <v>0.9</v>
      </c>
    </row>
    <row r="40" spans="2:10" x14ac:dyDescent="0.25">
      <c r="B40" s="21" t="s">
        <v>122</v>
      </c>
      <c r="C40" s="38"/>
      <c r="E40" s="28">
        <f>E68</f>
        <v>1.01</v>
      </c>
      <c r="G40" s="21" t="s">
        <v>122</v>
      </c>
      <c r="H40" s="38"/>
      <c r="J40" s="31">
        <f>J68</f>
        <v>5.45</v>
      </c>
    </row>
    <row r="41" spans="2:10" x14ac:dyDescent="0.25">
      <c r="B41" s="21" t="s">
        <v>60</v>
      </c>
      <c r="C41" s="51">
        <f>-C38</f>
        <v>-6.8790000000000004E-2</v>
      </c>
      <c r="D41" s="3">
        <f t="shared" ref="D41" si="4">IF(C$50&lt;0,-C$50,0)</f>
        <v>0</v>
      </c>
      <c r="E41" s="30">
        <f t="shared" si="3"/>
        <v>0</v>
      </c>
      <c r="G41" s="21"/>
      <c r="H41" s="1"/>
      <c r="J41" s="29"/>
    </row>
    <row r="42" spans="2:10" x14ac:dyDescent="0.25">
      <c r="B42" s="32" t="s">
        <v>37</v>
      </c>
      <c r="C42" s="34"/>
      <c r="D42" s="34"/>
      <c r="E42" s="35">
        <f>SUM(E37:E41)</f>
        <v>19.010000000000002</v>
      </c>
      <c r="G42" s="32" t="s">
        <v>37</v>
      </c>
      <c r="H42" s="36"/>
      <c r="I42" s="34"/>
      <c r="J42" s="37">
        <f>SUM(J37:J41)</f>
        <v>61.28</v>
      </c>
    </row>
    <row r="43" spans="2:10" x14ac:dyDescent="0.25">
      <c r="B43" s="32"/>
      <c r="C43" s="34"/>
      <c r="D43" s="34"/>
      <c r="E43" s="35"/>
      <c r="F43" s="36"/>
      <c r="G43" s="32"/>
      <c r="H43" s="36"/>
      <c r="I43" s="34"/>
      <c r="J43" s="37"/>
    </row>
    <row r="44" spans="2:10" x14ac:dyDescent="0.25">
      <c r="B44" s="32" t="s">
        <v>38</v>
      </c>
      <c r="C44" s="34"/>
      <c r="D44" s="34"/>
      <c r="E44" s="35">
        <f>E34+E42</f>
        <v>30.310000000000002</v>
      </c>
      <c r="F44" s="36"/>
      <c r="G44" s="32" t="s">
        <v>38</v>
      </c>
      <c r="H44" s="36"/>
      <c r="I44" s="34"/>
      <c r="J44" s="37">
        <f>J34+J42</f>
        <v>75.11999999999999</v>
      </c>
    </row>
    <row r="45" spans="2:10" x14ac:dyDescent="0.25">
      <c r="B45" s="21" t="s">
        <v>39</v>
      </c>
      <c r="C45" s="3"/>
      <c r="E45" s="30">
        <f>ROUND(0.04*(E44-E39),2)</f>
        <v>1.18</v>
      </c>
      <c r="F45" s="36"/>
      <c r="G45" s="21" t="s">
        <v>39</v>
      </c>
      <c r="H45" s="1"/>
      <c r="J45" s="31">
        <f>ROUND(0.04*(J44-J39),2)</f>
        <v>2.97</v>
      </c>
    </row>
    <row r="46" spans="2:10" x14ac:dyDescent="0.25">
      <c r="B46" s="32" t="s">
        <v>40</v>
      </c>
      <c r="C46" s="34"/>
      <c r="D46" s="34"/>
      <c r="E46" s="35">
        <f>E44+E45</f>
        <v>31.490000000000002</v>
      </c>
      <c r="G46" s="32" t="s">
        <v>40</v>
      </c>
      <c r="H46" s="36"/>
      <c r="I46" s="34"/>
      <c r="J46" s="37">
        <f>J44+J45</f>
        <v>78.089999999999989</v>
      </c>
    </row>
    <row r="47" spans="2:10" x14ac:dyDescent="0.25">
      <c r="B47" s="21"/>
      <c r="C47" s="3"/>
      <c r="E47" s="25"/>
      <c r="F47" s="36"/>
      <c r="G47" s="21"/>
      <c r="H47" s="1"/>
      <c r="J47" s="26"/>
    </row>
    <row r="48" spans="2:10" x14ac:dyDescent="0.25">
      <c r="B48" s="24" t="s">
        <v>41</v>
      </c>
      <c r="C48" s="3"/>
      <c r="E48" s="52" t="s">
        <v>61</v>
      </c>
      <c r="G48" s="24" t="s">
        <v>41</v>
      </c>
      <c r="H48" s="1"/>
      <c r="J48" s="26"/>
    </row>
    <row r="49" spans="2:10" x14ac:dyDescent="0.25">
      <c r="B49" s="21" t="s">
        <v>42</v>
      </c>
      <c r="C49" s="53">
        <v>0</v>
      </c>
      <c r="D49" s="51">
        <f>D51</f>
        <v>0.15894</v>
      </c>
      <c r="E49" s="54">
        <f>C49*D49</f>
        <v>0</v>
      </c>
      <c r="G49" s="21" t="s">
        <v>42</v>
      </c>
      <c r="H49" s="1"/>
      <c r="J49" s="39">
        <v>0</v>
      </c>
    </row>
    <row r="50" spans="2:10" x14ac:dyDescent="0.25">
      <c r="B50" s="21" t="s">
        <v>43</v>
      </c>
      <c r="C50" s="3">
        <f>IF(C54&lt;0,-C54,IF(C55&gt;C49,-C49,IF(C55&lt;C49,-C55,IF(C55=C49,-C49,))))</f>
        <v>0</v>
      </c>
      <c r="D50" s="51"/>
      <c r="E50" s="25"/>
      <c r="G50" s="21" t="s">
        <v>43</v>
      </c>
      <c r="H50" s="1"/>
      <c r="J50" s="40">
        <f>IF(SUM(J25:J32)-J59&lt;0,-(SUM(J25:J32)-J59),IF(J49&gt;0,IF(SUM(J25:J32)-J59&gt;J49,-J49,-(SUM(J25:J32)-J59)),))</f>
        <v>0</v>
      </c>
    </row>
    <row r="51" spans="2:10" ht="15.75" thickBot="1" x14ac:dyDescent="0.3">
      <c r="B51" s="41" t="s">
        <v>44</v>
      </c>
      <c r="C51" s="55">
        <f>C49+C50</f>
        <v>0</v>
      </c>
      <c r="D51" s="56">
        <f>C25+C27+C28+C38</f>
        <v>0.15894</v>
      </c>
      <c r="E51" s="57">
        <f>C51*D51</f>
        <v>0</v>
      </c>
      <c r="G51" s="41" t="s">
        <v>44</v>
      </c>
      <c r="H51" s="44"/>
      <c r="I51" s="42"/>
      <c r="J51" s="58">
        <f>J49+J50</f>
        <v>0</v>
      </c>
    </row>
    <row r="52" spans="2:10" ht="15.75" thickTop="1" x14ac:dyDescent="0.25"/>
    <row r="54" spans="2:10" hidden="1" x14ac:dyDescent="0.25">
      <c r="B54" s="1" t="s">
        <v>62</v>
      </c>
      <c r="C54" s="1">
        <f>C13-C14</f>
        <v>125</v>
      </c>
    </row>
    <row r="55" spans="2:10" hidden="1" x14ac:dyDescent="0.25">
      <c r="B55" s="1" t="s">
        <v>63</v>
      </c>
      <c r="C55" s="1">
        <f>IF(C54&lt;0,0,C54)</f>
        <v>125</v>
      </c>
    </row>
    <row r="57" spans="2:10" x14ac:dyDescent="0.25">
      <c r="B57" s="68" t="s">
        <v>121</v>
      </c>
      <c r="C57" s="69" t="s">
        <v>19</v>
      </c>
      <c r="D57" s="69" t="s">
        <v>20</v>
      </c>
      <c r="E57" s="69" t="s">
        <v>21</v>
      </c>
      <c r="G57" s="68" t="s">
        <v>121</v>
      </c>
      <c r="H57" s="69" t="s">
        <v>19</v>
      </c>
      <c r="I57" s="69" t="s">
        <v>20</v>
      </c>
      <c r="J57" s="69" t="s">
        <v>21</v>
      </c>
    </row>
    <row r="58" spans="2:10" x14ac:dyDescent="0.25">
      <c r="B58" s="1" t="s">
        <v>123</v>
      </c>
      <c r="C58" s="67">
        <f>'Rates and Credits'!H14</f>
        <v>2.1000000000000001E-4</v>
      </c>
      <c r="D58" s="3">
        <f>C55</f>
        <v>125</v>
      </c>
      <c r="E58" s="66">
        <f t="shared" ref="E58:E65" si="5">ROUND(C58*D58,2)</f>
        <v>0.03</v>
      </c>
      <c r="G58" s="1" t="s">
        <v>123</v>
      </c>
      <c r="H58" s="67">
        <f>C58</f>
        <v>2.1000000000000001E-4</v>
      </c>
      <c r="I58" s="3">
        <f>C13</f>
        <v>675</v>
      </c>
      <c r="J58" s="66">
        <f t="shared" ref="J58:J65" si="6">ROUND(H58*I58,2)</f>
        <v>0.14000000000000001</v>
      </c>
    </row>
    <row r="59" spans="2:10" x14ac:dyDescent="0.25">
      <c r="B59" s="1" t="s">
        <v>120</v>
      </c>
      <c r="C59" s="67">
        <f>'Rates and Credits'!H15</f>
        <v>0</v>
      </c>
      <c r="D59" s="3">
        <f>C55</f>
        <v>125</v>
      </c>
      <c r="E59" s="70">
        <f t="shared" si="5"/>
        <v>0</v>
      </c>
      <c r="G59" s="1" t="s">
        <v>120</v>
      </c>
      <c r="H59" s="67">
        <f>C59</f>
        <v>0</v>
      </c>
      <c r="I59" s="3">
        <f>C13</f>
        <v>675</v>
      </c>
      <c r="J59" s="70">
        <f t="shared" si="6"/>
        <v>0</v>
      </c>
    </row>
    <row r="60" spans="2:10" x14ac:dyDescent="0.25">
      <c r="B60" s="1" t="s">
        <v>38</v>
      </c>
      <c r="C60" s="67"/>
      <c r="E60" s="66">
        <f>SUM(E58:E59)</f>
        <v>0.03</v>
      </c>
      <c r="G60" s="1" t="s">
        <v>38</v>
      </c>
      <c r="H60" s="67"/>
      <c r="J60" s="66">
        <f>SUM(J58:J59)</f>
        <v>0.14000000000000001</v>
      </c>
    </row>
    <row r="61" spans="2:10" x14ac:dyDescent="0.25">
      <c r="C61" s="67"/>
      <c r="E61" s="66"/>
      <c r="H61" s="67"/>
      <c r="J61" s="66"/>
    </row>
    <row r="62" spans="2:10" x14ac:dyDescent="0.25">
      <c r="C62" s="67"/>
      <c r="E62" s="66"/>
      <c r="H62" s="67"/>
      <c r="J62" s="66"/>
    </row>
    <row r="63" spans="2:10" x14ac:dyDescent="0.25">
      <c r="B63" s="68" t="s">
        <v>122</v>
      </c>
      <c r="C63" s="67"/>
      <c r="E63" s="66"/>
      <c r="G63" s="68" t="s">
        <v>122</v>
      </c>
      <c r="H63" s="67"/>
      <c r="J63" s="66"/>
    </row>
    <row r="64" spans="2:10" x14ac:dyDescent="0.25">
      <c r="B64" s="1" t="s">
        <v>123</v>
      </c>
      <c r="C64" s="67">
        <f>'Rates and Credits'!H22</f>
        <v>1.792E-3</v>
      </c>
      <c r="D64" s="3">
        <f>C55</f>
        <v>125</v>
      </c>
      <c r="E64" s="66">
        <f t="shared" si="5"/>
        <v>0.22</v>
      </c>
      <c r="G64" s="1" t="s">
        <v>123</v>
      </c>
      <c r="H64" s="67">
        <f>C64</f>
        <v>1.792E-3</v>
      </c>
      <c r="I64" s="3">
        <f>C13</f>
        <v>675</v>
      </c>
      <c r="J64" s="66">
        <f t="shared" si="6"/>
        <v>1.21</v>
      </c>
    </row>
    <row r="65" spans="2:10" x14ac:dyDescent="0.25">
      <c r="B65" s="1" t="s">
        <v>120</v>
      </c>
      <c r="C65" s="67">
        <f>'Rates and Credits'!H23</f>
        <v>0</v>
      </c>
      <c r="D65" s="3">
        <f>C55</f>
        <v>125</v>
      </c>
      <c r="E65" s="66">
        <f t="shared" si="5"/>
        <v>0</v>
      </c>
      <c r="G65" s="1" t="s">
        <v>120</v>
      </c>
      <c r="H65" s="67">
        <f>C65</f>
        <v>0</v>
      </c>
      <c r="I65" s="3">
        <f>C13</f>
        <v>675</v>
      </c>
      <c r="J65" s="66">
        <f t="shared" si="6"/>
        <v>0</v>
      </c>
    </row>
    <row r="66" spans="2:10" x14ac:dyDescent="0.25">
      <c r="B66" s="1" t="s">
        <v>34</v>
      </c>
      <c r="C66" s="67">
        <f>'Rates and Credits'!H20</f>
        <v>8.52E-4</v>
      </c>
      <c r="D66" s="3">
        <f>C55</f>
        <v>125</v>
      </c>
      <c r="E66" s="66">
        <f>ROUND(C66*D66,2)</f>
        <v>0.11</v>
      </c>
      <c r="G66" s="1" t="s">
        <v>34</v>
      </c>
      <c r="H66" s="67">
        <f>C66</f>
        <v>8.52E-4</v>
      </c>
      <c r="I66" s="3">
        <f>C13</f>
        <v>675</v>
      </c>
      <c r="J66" s="66">
        <f>ROUND(H66*I66,2)</f>
        <v>0.57999999999999996</v>
      </c>
    </row>
    <row r="67" spans="2:10" x14ac:dyDescent="0.25">
      <c r="B67" s="1" t="s">
        <v>35</v>
      </c>
      <c r="C67" s="67">
        <f>'Rates and Credits'!H21</f>
        <v>5.4229999999999999E-3</v>
      </c>
      <c r="D67" s="3">
        <f>C55</f>
        <v>125</v>
      </c>
      <c r="E67" s="70">
        <f>ROUND(C67*D67,2)</f>
        <v>0.68</v>
      </c>
      <c r="G67" s="1" t="s">
        <v>35</v>
      </c>
      <c r="H67" s="67">
        <f>C67</f>
        <v>5.4229999999999999E-3</v>
      </c>
      <c r="I67" s="3">
        <f>C13</f>
        <v>675</v>
      </c>
      <c r="J67" s="70">
        <f>ROUND(H67*I67,2)</f>
        <v>3.66</v>
      </c>
    </row>
    <row r="68" spans="2:10" x14ac:dyDescent="0.25">
      <c r="B68" s="1" t="s">
        <v>38</v>
      </c>
      <c r="E68" s="66">
        <f>SUM(E64:E67)</f>
        <v>1.01</v>
      </c>
      <c r="G68" s="1" t="s">
        <v>38</v>
      </c>
      <c r="H68" s="1"/>
      <c r="J68" s="66">
        <f>SUM(J64:J67)</f>
        <v>5.45</v>
      </c>
    </row>
  </sheetData>
  <mergeCells count="13">
    <mergeCell ref="B21:E21"/>
    <mergeCell ref="G21:J21"/>
    <mergeCell ref="B3:G3"/>
    <mergeCell ref="B4:G8"/>
    <mergeCell ref="B10:E10"/>
    <mergeCell ref="G10:I10"/>
    <mergeCell ref="H11:I11"/>
    <mergeCell ref="H12:I12"/>
    <mergeCell ref="H14:I14"/>
    <mergeCell ref="H15:I15"/>
    <mergeCell ref="B17:E18"/>
    <mergeCell ref="H17:I17"/>
    <mergeCell ref="H18:I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E4B62-F2DF-4E2F-A9C2-2F7B23A4592B}">
  <dimension ref="B1:L103"/>
  <sheetViews>
    <sheetView workbookViewId="0">
      <selection activeCell="G64" sqref="G64"/>
    </sheetView>
  </sheetViews>
  <sheetFormatPr defaultRowHeight="15" x14ac:dyDescent="0.25"/>
  <cols>
    <col min="2" max="2" width="29.140625" style="1" bestFit="1" customWidth="1"/>
    <col min="3" max="3" width="27" style="1" bestFit="1" customWidth="1"/>
    <col min="4" max="4" width="26.42578125" style="1" bestFit="1" customWidth="1"/>
    <col min="5" max="6" width="8.85546875" style="1"/>
    <col min="7" max="7" width="26.140625" style="1" bestFit="1" customWidth="1"/>
    <col min="8" max="8" width="17.5703125" style="1" customWidth="1"/>
    <col min="9" max="12" width="8.85546875" style="1"/>
  </cols>
  <sheetData>
    <row r="1" spans="2:8" ht="15.75" thickBot="1" x14ac:dyDescent="0.3"/>
    <row r="2" spans="2:8" ht="15.75" thickBot="1" x14ac:dyDescent="0.3">
      <c r="B2" s="95" t="s">
        <v>64</v>
      </c>
      <c r="C2" s="96"/>
      <c r="D2" s="97"/>
      <c r="G2" s="1" t="s">
        <v>114</v>
      </c>
    </row>
    <row r="4" spans="2:8" x14ac:dyDescent="0.25">
      <c r="B4" s="1" t="s">
        <v>65</v>
      </c>
      <c r="C4" s="59">
        <v>6.6499999999999997E-3</v>
      </c>
    </row>
    <row r="6" spans="2:8" x14ac:dyDescent="0.25">
      <c r="B6" s="60" t="s">
        <v>66</v>
      </c>
      <c r="C6" s="1" t="s">
        <v>112</v>
      </c>
      <c r="D6" s="1" t="s">
        <v>113</v>
      </c>
      <c r="G6" s="1" t="s">
        <v>115</v>
      </c>
    </row>
    <row r="7" spans="2:8" x14ac:dyDescent="0.25">
      <c r="B7" s="34" t="s">
        <v>67</v>
      </c>
    </row>
    <row r="8" spans="2:8" x14ac:dyDescent="0.25">
      <c r="B8" s="61" t="s">
        <v>68</v>
      </c>
      <c r="C8" s="62">
        <v>-8.3500000000000005E-2</v>
      </c>
      <c r="D8" s="51">
        <f>C8-C$4</f>
        <v>-9.0150000000000008E-2</v>
      </c>
      <c r="G8" s="1" t="s">
        <v>22</v>
      </c>
    </row>
    <row r="9" spans="2:8" x14ac:dyDescent="0.25">
      <c r="B9" s="61" t="s">
        <v>69</v>
      </c>
      <c r="C9" s="62">
        <v>-0.10292</v>
      </c>
      <c r="D9" s="51">
        <f t="shared" ref="D9:D72" si="0">C9-C$4</f>
        <v>-0.10957</v>
      </c>
      <c r="G9" s="1" t="s">
        <v>116</v>
      </c>
    </row>
    <row r="10" spans="2:8" x14ac:dyDescent="0.25">
      <c r="B10" s="34" t="s">
        <v>70</v>
      </c>
      <c r="C10" s="63"/>
      <c r="D10" s="51"/>
      <c r="G10" s="1" t="s">
        <v>117</v>
      </c>
      <c r="H10" s="59">
        <v>4.4049999999999999E-2</v>
      </c>
    </row>
    <row r="11" spans="2:8" x14ac:dyDescent="0.25">
      <c r="B11" s="3" t="s">
        <v>71</v>
      </c>
      <c r="C11" s="62">
        <v>-7.3219999999999993E-2</v>
      </c>
      <c r="D11" s="51">
        <f t="shared" si="0"/>
        <v>-7.9869999999999997E-2</v>
      </c>
      <c r="G11" s="1" t="s">
        <v>118</v>
      </c>
      <c r="H11" s="59">
        <v>6.3469999999999999E-2</v>
      </c>
    </row>
    <row r="12" spans="2:8" x14ac:dyDescent="0.25">
      <c r="B12" s="3" t="s">
        <v>72</v>
      </c>
      <c r="C12" s="62">
        <v>-4.1619999999999997E-2</v>
      </c>
      <c r="D12" s="51">
        <f t="shared" si="0"/>
        <v>-4.8269999999999993E-2</v>
      </c>
      <c r="G12" s="1" t="s">
        <v>119</v>
      </c>
      <c r="H12" s="59">
        <v>3.9449999999999999E-2</v>
      </c>
    </row>
    <row r="13" spans="2:8" x14ac:dyDescent="0.25">
      <c r="B13" s="34" t="s">
        <v>73</v>
      </c>
      <c r="C13" s="63"/>
      <c r="D13" s="51"/>
      <c r="G13" s="1" t="s">
        <v>27</v>
      </c>
      <c r="H13" s="59">
        <f>C4</f>
        <v>6.6499999999999997E-3</v>
      </c>
    </row>
    <row r="14" spans="2:8" x14ac:dyDescent="0.25">
      <c r="B14" s="3" t="s">
        <v>74</v>
      </c>
      <c r="C14" s="62">
        <v>-0.15137999999999999</v>
      </c>
      <c r="D14" s="51">
        <f t="shared" si="0"/>
        <v>-0.15802999999999998</v>
      </c>
      <c r="G14" s="1" t="s">
        <v>123</v>
      </c>
      <c r="H14" s="67">
        <v>2.1000000000000001E-4</v>
      </c>
    </row>
    <row r="15" spans="2:8" x14ac:dyDescent="0.25">
      <c r="B15" s="3" t="s">
        <v>75</v>
      </c>
      <c r="C15" s="62">
        <v>-5.0959999999999998E-2</v>
      </c>
      <c r="D15" s="51">
        <f t="shared" si="0"/>
        <v>-5.7609999999999995E-2</v>
      </c>
      <c r="G15" s="1" t="s">
        <v>120</v>
      </c>
      <c r="H15" s="67">
        <v>0</v>
      </c>
    </row>
    <row r="16" spans="2:8" x14ac:dyDescent="0.25">
      <c r="B16" s="3" t="s">
        <v>76</v>
      </c>
      <c r="C16" s="62">
        <v>-0.12787000000000001</v>
      </c>
      <c r="D16" s="51">
        <f t="shared" si="0"/>
        <v>-0.13452</v>
      </c>
    </row>
    <row r="17" spans="2:8" x14ac:dyDescent="0.25">
      <c r="B17" s="3" t="s">
        <v>77</v>
      </c>
      <c r="C17" s="62">
        <v>-4.897E-2</v>
      </c>
      <c r="D17" s="51">
        <f t="shared" si="0"/>
        <v>-5.5620000000000003E-2</v>
      </c>
      <c r="G17" s="1" t="s">
        <v>31</v>
      </c>
    </row>
    <row r="18" spans="2:8" x14ac:dyDescent="0.25">
      <c r="B18" s="34" t="s">
        <v>78</v>
      </c>
      <c r="C18" s="63"/>
      <c r="D18" s="51"/>
      <c r="G18" s="1" t="s">
        <v>32</v>
      </c>
      <c r="H18" s="66">
        <v>8.5</v>
      </c>
    </row>
    <row r="19" spans="2:8" x14ac:dyDescent="0.25">
      <c r="B19" s="3" t="s">
        <v>74</v>
      </c>
      <c r="C19" s="62">
        <v>-0.13516</v>
      </c>
      <c r="D19" s="51">
        <f t="shared" si="0"/>
        <v>-0.14180999999999999</v>
      </c>
      <c r="G19" s="1" t="s">
        <v>33</v>
      </c>
      <c r="H19" s="59">
        <v>6.8790000000000004E-2</v>
      </c>
    </row>
    <row r="20" spans="2:8" x14ac:dyDescent="0.25">
      <c r="B20" s="3" t="s">
        <v>75</v>
      </c>
      <c r="C20" s="62">
        <v>-4.4769999999999997E-2</v>
      </c>
      <c r="D20" s="51">
        <f t="shared" si="0"/>
        <v>-5.1419999999999993E-2</v>
      </c>
      <c r="G20" s="1" t="s">
        <v>34</v>
      </c>
      <c r="H20" s="67">
        <v>8.52E-4</v>
      </c>
    </row>
    <row r="21" spans="2:8" x14ac:dyDescent="0.25">
      <c r="B21" s="3" t="s">
        <v>76</v>
      </c>
      <c r="C21" s="62">
        <v>-5.8400000000000001E-2</v>
      </c>
      <c r="D21" s="51">
        <f t="shared" si="0"/>
        <v>-6.5049999999999997E-2</v>
      </c>
      <c r="G21" s="1" t="s">
        <v>35</v>
      </c>
      <c r="H21" s="67">
        <v>5.4229999999999999E-3</v>
      </c>
    </row>
    <row r="22" spans="2:8" x14ac:dyDescent="0.25">
      <c r="B22" s="3" t="s">
        <v>77</v>
      </c>
      <c r="C22" s="62">
        <v>-4.589E-2</v>
      </c>
      <c r="D22" s="51">
        <f t="shared" si="0"/>
        <v>-5.2540000000000003E-2</v>
      </c>
      <c r="G22" s="1" t="s">
        <v>123</v>
      </c>
      <c r="H22" s="67">
        <v>1.792E-3</v>
      </c>
    </row>
    <row r="23" spans="2:8" x14ac:dyDescent="0.25">
      <c r="B23" s="34" t="s">
        <v>79</v>
      </c>
      <c r="C23" s="63"/>
      <c r="D23" s="51"/>
      <c r="G23" s="1" t="s">
        <v>120</v>
      </c>
      <c r="H23" s="67">
        <v>0</v>
      </c>
    </row>
    <row r="24" spans="2:8" x14ac:dyDescent="0.25">
      <c r="B24" s="3" t="s">
        <v>80</v>
      </c>
      <c r="C24" s="62">
        <v>-0.17036000000000001</v>
      </c>
      <c r="D24" s="51">
        <f t="shared" si="0"/>
        <v>-0.17701</v>
      </c>
      <c r="G24" s="1" t="s">
        <v>36</v>
      </c>
      <c r="H24" s="66">
        <v>0.9</v>
      </c>
    </row>
    <row r="25" spans="2:8" x14ac:dyDescent="0.25">
      <c r="B25" s="3" t="s">
        <v>81</v>
      </c>
      <c r="C25" s="62">
        <v>-4.2590000000000003E-2</v>
      </c>
      <c r="D25" s="51">
        <f t="shared" si="0"/>
        <v>-4.9240000000000006E-2</v>
      </c>
    </row>
    <row r="26" spans="2:8" x14ac:dyDescent="0.25">
      <c r="B26" s="34" t="s">
        <v>82</v>
      </c>
      <c r="C26" s="63"/>
      <c r="D26" s="51"/>
    </row>
    <row r="27" spans="2:8" x14ac:dyDescent="0.25">
      <c r="B27" s="3" t="s">
        <v>83</v>
      </c>
      <c r="C27" s="62">
        <v>-8.1199999999999994E-2</v>
      </c>
      <c r="D27" s="51">
        <f t="shared" si="0"/>
        <v>-8.7849999999999998E-2</v>
      </c>
    </row>
    <row r="28" spans="2:8" x14ac:dyDescent="0.25">
      <c r="B28" s="3" t="s">
        <v>84</v>
      </c>
      <c r="C28" s="62">
        <v>-9.8390000000000005E-2</v>
      </c>
      <c r="D28" s="51">
        <f t="shared" si="0"/>
        <v>-0.10504000000000001</v>
      </c>
    </row>
    <row r="29" spans="2:8" x14ac:dyDescent="0.25">
      <c r="B29" s="3" t="s">
        <v>85</v>
      </c>
      <c r="C29" s="62">
        <v>-6.4810000000000006E-2</v>
      </c>
      <c r="D29" s="51">
        <f t="shared" si="0"/>
        <v>-7.146000000000001E-2</v>
      </c>
    </row>
    <row r="30" spans="2:8" x14ac:dyDescent="0.25">
      <c r="B30" s="3" t="s">
        <v>86</v>
      </c>
      <c r="C30" s="62">
        <v>-5.0430000000000003E-2</v>
      </c>
      <c r="D30" s="51">
        <f t="shared" si="0"/>
        <v>-5.7080000000000006E-2</v>
      </c>
    </row>
    <row r="31" spans="2:8" x14ac:dyDescent="0.25">
      <c r="B31" s="34" t="s">
        <v>87</v>
      </c>
      <c r="C31" s="63"/>
      <c r="D31" s="51"/>
    </row>
    <row r="32" spans="2:8" x14ac:dyDescent="0.25">
      <c r="B32" s="3" t="s">
        <v>88</v>
      </c>
      <c r="C32" s="62">
        <v>-4.811E-2</v>
      </c>
      <c r="D32" s="51">
        <f t="shared" si="0"/>
        <v>-5.4760000000000003E-2</v>
      </c>
    </row>
    <row r="33" spans="2:4" x14ac:dyDescent="0.25">
      <c r="B33" s="3"/>
      <c r="C33" s="63"/>
      <c r="D33" s="51"/>
    </row>
    <row r="34" spans="2:4" x14ac:dyDescent="0.25">
      <c r="B34" s="60" t="s">
        <v>89</v>
      </c>
      <c r="C34" s="63"/>
      <c r="D34" s="51"/>
    </row>
    <row r="35" spans="2:4" x14ac:dyDescent="0.25">
      <c r="B35" s="34" t="s">
        <v>90</v>
      </c>
      <c r="C35" s="63"/>
      <c r="D35" s="51"/>
    </row>
    <row r="36" spans="2:4" x14ac:dyDescent="0.25">
      <c r="B36" s="3" t="s">
        <v>71</v>
      </c>
      <c r="C36" s="62">
        <v>-7.467E-2</v>
      </c>
      <c r="D36" s="51">
        <f t="shared" si="0"/>
        <v>-8.1320000000000003E-2</v>
      </c>
    </row>
    <row r="37" spans="2:4" x14ac:dyDescent="0.25">
      <c r="B37" s="3" t="s">
        <v>72</v>
      </c>
      <c r="C37" s="62">
        <v>-5.2949999999999997E-2</v>
      </c>
      <c r="D37" s="51">
        <f t="shared" si="0"/>
        <v>-5.96E-2</v>
      </c>
    </row>
    <row r="38" spans="2:4" x14ac:dyDescent="0.25">
      <c r="B38" s="34" t="s">
        <v>91</v>
      </c>
      <c r="C38" s="63"/>
      <c r="D38" s="51"/>
    </row>
    <row r="39" spans="2:4" x14ac:dyDescent="0.25">
      <c r="B39" s="3" t="s">
        <v>74</v>
      </c>
      <c r="C39" s="62">
        <v>-5.7160000000000002E-2</v>
      </c>
      <c r="D39" s="51">
        <f t="shared" si="0"/>
        <v>-6.3810000000000006E-2</v>
      </c>
    </row>
    <row r="40" spans="2:4" x14ac:dyDescent="0.25">
      <c r="B40" s="3" t="s">
        <v>75</v>
      </c>
      <c r="C40" s="62">
        <v>-4.0980000000000003E-2</v>
      </c>
      <c r="D40" s="51">
        <f t="shared" si="0"/>
        <v>-4.7630000000000006E-2</v>
      </c>
    </row>
    <row r="41" spans="2:4" x14ac:dyDescent="0.25">
      <c r="B41" s="3" t="s">
        <v>76</v>
      </c>
      <c r="C41" s="62">
        <v>-4.5030000000000001E-2</v>
      </c>
      <c r="D41" s="51">
        <f t="shared" si="0"/>
        <v>-5.1680000000000004E-2</v>
      </c>
    </row>
    <row r="42" spans="2:4" x14ac:dyDescent="0.25">
      <c r="B42" s="3" t="s">
        <v>77</v>
      </c>
      <c r="C42" s="62">
        <v>-4.5030000000000001E-2</v>
      </c>
      <c r="D42" s="51">
        <f t="shared" si="0"/>
        <v>-5.1680000000000004E-2</v>
      </c>
    </row>
    <row r="43" spans="2:4" x14ac:dyDescent="0.25">
      <c r="B43" s="34" t="s">
        <v>79</v>
      </c>
      <c r="C43" s="63"/>
      <c r="D43" s="51"/>
    </row>
    <row r="44" spans="2:4" x14ac:dyDescent="0.25">
      <c r="B44" s="3" t="s">
        <v>80</v>
      </c>
      <c r="C44" s="62">
        <v>-0.17036000000000001</v>
      </c>
      <c r="D44" s="51">
        <f t="shared" si="0"/>
        <v>-0.17701</v>
      </c>
    </row>
    <row r="45" spans="2:4" x14ac:dyDescent="0.25">
      <c r="B45" s="3" t="s">
        <v>81</v>
      </c>
      <c r="C45" s="62">
        <v>-4.2590000000000003E-2</v>
      </c>
      <c r="D45" s="51">
        <f t="shared" si="0"/>
        <v>-4.9240000000000006E-2</v>
      </c>
    </row>
    <row r="46" spans="2:4" x14ac:dyDescent="0.25">
      <c r="B46" s="34" t="s">
        <v>92</v>
      </c>
      <c r="C46" s="63"/>
      <c r="D46" s="51"/>
    </row>
    <row r="47" spans="2:4" x14ac:dyDescent="0.25">
      <c r="B47" s="3" t="s">
        <v>88</v>
      </c>
      <c r="C47" s="62">
        <v>-7.9130000000000006E-2</v>
      </c>
      <c r="D47" s="51">
        <f t="shared" si="0"/>
        <v>-8.5780000000000009E-2</v>
      </c>
    </row>
    <row r="48" spans="2:4" x14ac:dyDescent="0.25">
      <c r="B48" s="34" t="s">
        <v>93</v>
      </c>
      <c r="C48" s="63"/>
      <c r="D48" s="51"/>
    </row>
    <row r="49" spans="2:4" x14ac:dyDescent="0.25">
      <c r="B49" s="3" t="s">
        <v>88</v>
      </c>
      <c r="C49" s="62">
        <v>-7.2700000000000001E-2</v>
      </c>
      <c r="D49" s="51">
        <f t="shared" si="0"/>
        <v>-7.9350000000000004E-2</v>
      </c>
    </row>
    <row r="50" spans="2:4" x14ac:dyDescent="0.25">
      <c r="B50" s="34" t="s">
        <v>94</v>
      </c>
      <c r="C50" s="63"/>
      <c r="D50" s="51"/>
    </row>
    <row r="51" spans="2:4" x14ac:dyDescent="0.25">
      <c r="B51" s="3" t="s">
        <v>88</v>
      </c>
      <c r="C51" s="62">
        <v>-6.6110000000000002E-2</v>
      </c>
      <c r="D51" s="51">
        <f t="shared" si="0"/>
        <v>-7.2760000000000005E-2</v>
      </c>
    </row>
    <row r="52" spans="2:4" x14ac:dyDescent="0.25">
      <c r="B52" s="34" t="s">
        <v>95</v>
      </c>
      <c r="C52" s="63"/>
      <c r="D52" s="51"/>
    </row>
    <row r="53" spans="2:4" x14ac:dyDescent="0.25">
      <c r="B53" s="3" t="s">
        <v>96</v>
      </c>
      <c r="C53" s="62">
        <v>-3.9E-2</v>
      </c>
      <c r="D53" s="51">
        <f t="shared" si="0"/>
        <v>-4.5649999999999996E-2</v>
      </c>
    </row>
    <row r="54" spans="2:4" x14ac:dyDescent="0.25">
      <c r="B54" s="3" t="s">
        <v>25</v>
      </c>
      <c r="C54" s="62">
        <v>-3.0099999999999998E-2</v>
      </c>
      <c r="D54" s="51">
        <f t="shared" si="0"/>
        <v>-3.6749999999999998E-2</v>
      </c>
    </row>
    <row r="55" spans="2:4" x14ac:dyDescent="0.25">
      <c r="B55" s="3" t="s">
        <v>97</v>
      </c>
      <c r="C55" s="64">
        <v>-16.12</v>
      </c>
      <c r="D55" s="65">
        <f>C55</f>
        <v>-16.12</v>
      </c>
    </row>
    <row r="56" spans="2:4" x14ac:dyDescent="0.25">
      <c r="B56" s="34" t="s">
        <v>87</v>
      </c>
      <c r="C56" s="63"/>
      <c r="D56" s="51"/>
    </row>
    <row r="57" spans="2:4" x14ac:dyDescent="0.25">
      <c r="B57" s="3" t="s">
        <v>88</v>
      </c>
      <c r="C57" s="62">
        <v>-4.6589999999999999E-2</v>
      </c>
      <c r="D57" s="51">
        <f t="shared" si="0"/>
        <v>-5.3239999999999996E-2</v>
      </c>
    </row>
    <row r="58" spans="2:4" x14ac:dyDescent="0.25">
      <c r="B58" s="34" t="s">
        <v>98</v>
      </c>
      <c r="C58" s="62"/>
      <c r="D58" s="51"/>
    </row>
    <row r="59" spans="2:4" x14ac:dyDescent="0.25">
      <c r="B59" s="3" t="s">
        <v>88</v>
      </c>
      <c r="C59" s="62">
        <v>-5.4379999999999998E-2</v>
      </c>
      <c r="D59" s="51">
        <f t="shared" si="0"/>
        <v>-6.1030000000000001E-2</v>
      </c>
    </row>
    <row r="60" spans="2:4" x14ac:dyDescent="0.25">
      <c r="B60" s="3"/>
      <c r="C60" s="63"/>
      <c r="D60" s="51"/>
    </row>
    <row r="61" spans="2:4" x14ac:dyDescent="0.25">
      <c r="B61" s="60" t="s">
        <v>99</v>
      </c>
      <c r="C61" s="63"/>
      <c r="D61" s="51"/>
    </row>
    <row r="62" spans="2:4" x14ac:dyDescent="0.25">
      <c r="B62" s="34" t="s">
        <v>100</v>
      </c>
      <c r="C62" s="63"/>
      <c r="D62" s="51"/>
    </row>
    <row r="63" spans="2:4" x14ac:dyDescent="0.25">
      <c r="B63" s="3" t="s">
        <v>101</v>
      </c>
      <c r="C63" s="64"/>
      <c r="D63" s="51"/>
    </row>
    <row r="64" spans="2:4" x14ac:dyDescent="0.25">
      <c r="B64" s="3" t="s">
        <v>102</v>
      </c>
      <c r="C64" s="62">
        <v>-4.1480000000000003E-2</v>
      </c>
      <c r="D64" s="51">
        <f t="shared" si="0"/>
        <v>-4.8130000000000006E-2</v>
      </c>
    </row>
    <row r="65" spans="2:4" x14ac:dyDescent="0.25">
      <c r="B65" s="3" t="s">
        <v>103</v>
      </c>
      <c r="C65" s="62">
        <v>-3.1480000000000001E-2</v>
      </c>
      <c r="D65" s="51">
        <f t="shared" si="0"/>
        <v>-3.8129999999999997E-2</v>
      </c>
    </row>
    <row r="66" spans="2:4" x14ac:dyDescent="0.25">
      <c r="B66" s="3" t="s">
        <v>104</v>
      </c>
      <c r="C66" s="64">
        <v>-16.41</v>
      </c>
      <c r="D66" s="65">
        <f>C66</f>
        <v>-16.41</v>
      </c>
    </row>
    <row r="67" spans="2:4" x14ac:dyDescent="0.25">
      <c r="B67" s="3" t="s">
        <v>105</v>
      </c>
      <c r="C67" s="63"/>
      <c r="D67" s="51"/>
    </row>
    <row r="68" spans="2:4" x14ac:dyDescent="0.25">
      <c r="B68" s="3" t="s">
        <v>102</v>
      </c>
      <c r="C68" s="62">
        <v>-4.088E-2</v>
      </c>
      <c r="D68" s="51">
        <f t="shared" si="0"/>
        <v>-4.7530000000000003E-2</v>
      </c>
    </row>
    <row r="69" spans="2:4" x14ac:dyDescent="0.25">
      <c r="B69" s="3" t="s">
        <v>103</v>
      </c>
      <c r="C69" s="62">
        <v>-3.0880000000000001E-2</v>
      </c>
      <c r="D69" s="51">
        <f t="shared" si="0"/>
        <v>-3.7530000000000001E-2</v>
      </c>
    </row>
    <row r="70" spans="2:4" x14ac:dyDescent="0.25">
      <c r="B70" s="3" t="s">
        <v>104</v>
      </c>
      <c r="C70" s="64">
        <v>-16.09</v>
      </c>
      <c r="D70" s="65">
        <f>C70</f>
        <v>-16.09</v>
      </c>
    </row>
    <row r="71" spans="2:4" x14ac:dyDescent="0.25">
      <c r="B71" s="3" t="s">
        <v>106</v>
      </c>
      <c r="C71" s="63"/>
      <c r="D71" s="51"/>
    </row>
    <row r="72" spans="2:4" x14ac:dyDescent="0.25">
      <c r="B72" s="3" t="s">
        <v>102</v>
      </c>
      <c r="C72" s="62">
        <v>-4.0140000000000002E-2</v>
      </c>
      <c r="D72" s="51">
        <f t="shared" si="0"/>
        <v>-4.6789999999999998E-2</v>
      </c>
    </row>
    <row r="73" spans="2:4" x14ac:dyDescent="0.25">
      <c r="B73" s="3" t="s">
        <v>103</v>
      </c>
      <c r="C73" s="62">
        <v>-3.014E-2</v>
      </c>
      <c r="D73" s="51">
        <f t="shared" ref="D73:D103" si="1">C73-C$4</f>
        <v>-3.6790000000000003E-2</v>
      </c>
    </row>
    <row r="74" spans="2:4" x14ac:dyDescent="0.25">
      <c r="B74" s="3" t="s">
        <v>104</v>
      </c>
      <c r="C74" s="64">
        <v>-15.73</v>
      </c>
      <c r="D74" s="65">
        <f>C74</f>
        <v>-15.73</v>
      </c>
    </row>
    <row r="75" spans="2:4" x14ac:dyDescent="0.25">
      <c r="B75" s="34" t="s">
        <v>107</v>
      </c>
      <c r="C75" s="63"/>
      <c r="D75" s="51"/>
    </row>
    <row r="76" spans="2:4" x14ac:dyDescent="0.25">
      <c r="B76" s="3" t="s">
        <v>101</v>
      </c>
      <c r="C76" s="63"/>
      <c r="D76" s="51"/>
    </row>
    <row r="77" spans="2:4" x14ac:dyDescent="0.25">
      <c r="B77" s="3" t="s">
        <v>102</v>
      </c>
      <c r="C77" s="62">
        <v>-4.1520000000000001E-2</v>
      </c>
      <c r="D77" s="51">
        <f t="shared" si="1"/>
        <v>-4.8170000000000004E-2</v>
      </c>
    </row>
    <row r="78" spans="2:4" x14ac:dyDescent="0.25">
      <c r="B78" s="3" t="s">
        <v>103</v>
      </c>
      <c r="C78" s="62">
        <v>-3.8519999999999999E-2</v>
      </c>
      <c r="D78" s="51">
        <f t="shared" si="1"/>
        <v>-4.5170000000000002E-2</v>
      </c>
    </row>
    <row r="79" spans="2:4" x14ac:dyDescent="0.25">
      <c r="B79" s="3" t="s">
        <v>104</v>
      </c>
      <c r="C79" s="64">
        <v>-13.27</v>
      </c>
      <c r="D79" s="65">
        <f>C79</f>
        <v>-13.27</v>
      </c>
    </row>
    <row r="80" spans="2:4" x14ac:dyDescent="0.25">
      <c r="B80" s="3" t="s">
        <v>105</v>
      </c>
      <c r="C80" s="63"/>
      <c r="D80" s="51"/>
    </row>
    <row r="81" spans="2:4" x14ac:dyDescent="0.25">
      <c r="B81" s="3" t="s">
        <v>102</v>
      </c>
      <c r="C81" s="62">
        <v>-4.0820000000000002E-2</v>
      </c>
      <c r="D81" s="51">
        <f t="shared" si="1"/>
        <v>-4.7469999999999998E-2</v>
      </c>
    </row>
    <row r="82" spans="2:4" x14ac:dyDescent="0.25">
      <c r="B82" s="3" t="s">
        <v>103</v>
      </c>
      <c r="C82" s="62">
        <v>-3.7819999999999999E-2</v>
      </c>
      <c r="D82" s="51">
        <f t="shared" si="1"/>
        <v>-4.4469999999999996E-2</v>
      </c>
    </row>
    <row r="83" spans="2:4" x14ac:dyDescent="0.25">
      <c r="B83" s="3" t="s">
        <v>104</v>
      </c>
      <c r="C83" s="64">
        <v>-13</v>
      </c>
      <c r="D83" s="65">
        <f>C83</f>
        <v>-13</v>
      </c>
    </row>
    <row r="84" spans="2:4" x14ac:dyDescent="0.25">
      <c r="B84" s="3" t="s">
        <v>106</v>
      </c>
      <c r="C84" s="63"/>
      <c r="D84" s="51"/>
    </row>
    <row r="85" spans="2:4" x14ac:dyDescent="0.25">
      <c r="B85" s="3" t="s">
        <v>102</v>
      </c>
      <c r="C85" s="62">
        <v>-3.9969999999999999E-2</v>
      </c>
      <c r="D85" s="51">
        <f t="shared" si="1"/>
        <v>-4.6619999999999995E-2</v>
      </c>
    </row>
    <row r="86" spans="2:4" x14ac:dyDescent="0.25">
      <c r="B86" s="3" t="s">
        <v>103</v>
      </c>
      <c r="C86" s="62">
        <v>-3.6970000000000003E-2</v>
      </c>
      <c r="D86" s="51">
        <f t="shared" si="1"/>
        <v>-4.3620000000000006E-2</v>
      </c>
    </row>
    <row r="87" spans="2:4" x14ac:dyDescent="0.25">
      <c r="B87" s="3" t="s">
        <v>104</v>
      </c>
      <c r="C87" s="64">
        <v>-12.71</v>
      </c>
      <c r="D87" s="65">
        <f>C87</f>
        <v>-12.71</v>
      </c>
    </row>
    <row r="88" spans="2:4" x14ac:dyDescent="0.25">
      <c r="B88" s="34" t="s">
        <v>108</v>
      </c>
      <c r="C88" s="63"/>
      <c r="D88" s="51"/>
    </row>
    <row r="89" spans="2:4" x14ac:dyDescent="0.25">
      <c r="B89" s="3" t="s">
        <v>101</v>
      </c>
      <c r="C89" s="63"/>
      <c r="D89" s="51"/>
    </row>
    <row r="90" spans="2:4" x14ac:dyDescent="0.25">
      <c r="B90" s="3" t="s">
        <v>102</v>
      </c>
      <c r="C90" s="62">
        <v>-4.1480000000000003E-2</v>
      </c>
      <c r="D90" s="51">
        <f t="shared" si="1"/>
        <v>-4.8130000000000006E-2</v>
      </c>
    </row>
    <row r="91" spans="2:4" x14ac:dyDescent="0.25">
      <c r="B91" s="3" t="s">
        <v>103</v>
      </c>
      <c r="C91" s="62">
        <v>-3.1480000000000001E-2</v>
      </c>
      <c r="D91" s="51">
        <f t="shared" si="1"/>
        <v>-3.8129999999999997E-2</v>
      </c>
    </row>
    <row r="92" spans="2:4" x14ac:dyDescent="0.25">
      <c r="B92" s="3" t="s">
        <v>104</v>
      </c>
      <c r="C92" s="64">
        <v>-9.84</v>
      </c>
      <c r="D92" s="65">
        <f>C92</f>
        <v>-9.84</v>
      </c>
    </row>
    <row r="93" spans="2:4" x14ac:dyDescent="0.25">
      <c r="B93" s="3" t="s">
        <v>105</v>
      </c>
      <c r="C93" s="63"/>
      <c r="D93" s="51"/>
    </row>
    <row r="94" spans="2:4" x14ac:dyDescent="0.25">
      <c r="B94" s="3" t="s">
        <v>102</v>
      </c>
      <c r="C94" s="62">
        <v>-4.088E-2</v>
      </c>
      <c r="D94" s="51">
        <f t="shared" si="1"/>
        <v>-4.7530000000000003E-2</v>
      </c>
    </row>
    <row r="95" spans="2:4" x14ac:dyDescent="0.25">
      <c r="B95" s="3" t="s">
        <v>103</v>
      </c>
      <c r="C95" s="62">
        <v>-3.0880000000000001E-2</v>
      </c>
      <c r="D95" s="51">
        <f t="shared" si="1"/>
        <v>-3.7530000000000001E-2</v>
      </c>
    </row>
    <row r="96" spans="2:4" x14ac:dyDescent="0.25">
      <c r="B96" s="3" t="s">
        <v>104</v>
      </c>
      <c r="C96" s="64">
        <v>-9.65</v>
      </c>
      <c r="D96" s="65">
        <f>C96</f>
        <v>-9.65</v>
      </c>
    </row>
    <row r="97" spans="2:4" x14ac:dyDescent="0.25">
      <c r="B97" s="3" t="s">
        <v>106</v>
      </c>
      <c r="C97" s="63"/>
      <c r="D97" s="51"/>
    </row>
    <row r="98" spans="2:4" x14ac:dyDescent="0.25">
      <c r="B98" s="3" t="s">
        <v>102</v>
      </c>
      <c r="C98" s="62">
        <v>-4.0140000000000002E-2</v>
      </c>
      <c r="D98" s="51">
        <f t="shared" si="1"/>
        <v>-4.6789999999999998E-2</v>
      </c>
    </row>
    <row r="99" spans="2:4" x14ac:dyDescent="0.25">
      <c r="B99" s="3" t="s">
        <v>103</v>
      </c>
      <c r="C99" s="62">
        <v>-3.014E-2</v>
      </c>
      <c r="D99" s="51">
        <f t="shared" si="1"/>
        <v>-3.6790000000000003E-2</v>
      </c>
    </row>
    <row r="100" spans="2:4" x14ac:dyDescent="0.25">
      <c r="B100" s="3" t="s">
        <v>104</v>
      </c>
      <c r="C100" s="64">
        <v>-9.44</v>
      </c>
      <c r="D100" s="65">
        <f>C100</f>
        <v>-9.44</v>
      </c>
    </row>
    <row r="101" spans="2:4" x14ac:dyDescent="0.25">
      <c r="B101" s="34" t="s">
        <v>109</v>
      </c>
      <c r="C101" s="63"/>
      <c r="D101" s="51"/>
    </row>
    <row r="102" spans="2:4" x14ac:dyDescent="0.25">
      <c r="B102" s="3" t="s">
        <v>110</v>
      </c>
      <c r="C102" s="62">
        <v>-9.289E-2</v>
      </c>
      <c r="D102" s="51">
        <f t="shared" si="1"/>
        <v>-9.9540000000000003E-2</v>
      </c>
    </row>
    <row r="103" spans="2:4" x14ac:dyDescent="0.25">
      <c r="B103" s="3" t="s">
        <v>111</v>
      </c>
      <c r="C103" s="62">
        <v>-7.2760000000000005E-2</v>
      </c>
      <c r="D103" s="51">
        <f t="shared" si="1"/>
        <v>-7.9410000000000008E-2</v>
      </c>
    </row>
  </sheetData>
  <mergeCells count="1">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Residential vs. Rider 18</vt:lpstr>
      <vt:lpstr>Residential vs. Rider 18 -blank</vt:lpstr>
      <vt:lpstr>Net Metering vs Distributed Gen</vt:lpstr>
      <vt:lpstr>Rates and Credits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Williams</dc:creator>
  <cp:lastModifiedBy>Anthony J Battaglia</cp:lastModifiedBy>
  <dcterms:created xsi:type="dcterms:W3CDTF">2022-04-14T13:22:14Z</dcterms:created>
  <dcterms:modified xsi:type="dcterms:W3CDTF">2022-12-19T14:19:41Z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d47762-d1c3-476b-91fd-63cae19eaafb_Enabled">
    <vt:lpwstr>true</vt:lpwstr>
  </property>
  <property fmtid="{D5CDD505-2E9C-101B-9397-08002B2CF9AE}" pid="3" name="MSIP_Label_d5d47762-d1c3-476b-91fd-63cae19eaafb_SetDate">
    <vt:lpwstr>2022-04-14T13:22:15Z</vt:lpwstr>
  </property>
  <property fmtid="{D5CDD505-2E9C-101B-9397-08002B2CF9AE}" pid="4" name="MSIP_Label_d5d47762-d1c3-476b-91fd-63cae19eaafb_Method">
    <vt:lpwstr>Standard</vt:lpwstr>
  </property>
  <property fmtid="{D5CDD505-2E9C-101B-9397-08002B2CF9AE}" pid="5" name="MSIP_Label_d5d47762-d1c3-476b-91fd-63cae19eaafb_Name">
    <vt:lpwstr>d5d47762-d1c3-476b-91fd-63cae19eaafb</vt:lpwstr>
  </property>
  <property fmtid="{D5CDD505-2E9C-101B-9397-08002B2CF9AE}" pid="6" name="MSIP_Label_d5d47762-d1c3-476b-91fd-63cae19eaafb_SiteId">
    <vt:lpwstr>8e61d5fe-7749-4e76-88ee-6d8799ae8143</vt:lpwstr>
  </property>
  <property fmtid="{D5CDD505-2E9C-101B-9397-08002B2CF9AE}" pid="7" name="MSIP_Label_d5d47762-d1c3-476b-91fd-63cae19eaafb_ActionId">
    <vt:lpwstr>4aafeeac-4b92-4bb5-96a9-d7635a5b8638</vt:lpwstr>
  </property>
  <property fmtid="{D5CDD505-2E9C-101B-9397-08002B2CF9AE}" pid="8" name="MSIP_Label_d5d47762-d1c3-476b-91fd-63cae19eaafb_ContentBits">
    <vt:lpwstr>0</vt:lpwstr>
  </property>
</Properties>
</file>