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Jose\IEs 21\Probabilidad y estadistica\Trabajo Practico n1\"/>
    </mc:Choice>
  </mc:AlternateContent>
  <xr:revisionPtr revIDLastSave="0" documentId="13_ncr:1_{ED6868F3-9982-4F3D-ACE4-A6082CB9DD37}" xr6:coauthVersionLast="47" xr6:coauthVersionMax="47" xr10:uidLastSave="{00000000-0000-0000-0000-000000000000}"/>
  <bookViews>
    <workbookView xWindow="-120" yWindow="-120" windowWidth="29040" windowHeight="15840" xr2:uid="{F6FC03FF-8521-4258-8536-D91EDE3D434C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" i="7" l="1"/>
  <c r="F18" i="5"/>
  <c r="C14" i="5"/>
  <c r="B11" i="3"/>
  <c r="J31" i="7"/>
  <c r="C31" i="7"/>
  <c r="I31" i="7"/>
  <c r="I21" i="5"/>
  <c r="I20" i="5"/>
  <c r="J21" i="5"/>
  <c r="B28" i="4" l="1"/>
  <c r="E17" i="2" l="1"/>
  <c r="F18" i="2"/>
  <c r="F19" i="2"/>
  <c r="F9" i="8" l="1"/>
  <c r="F10" i="8"/>
  <c r="F11" i="8" s="1"/>
  <c r="F8" i="8"/>
  <c r="F7" i="8"/>
  <c r="E11" i="8"/>
  <c r="E8" i="8"/>
  <c r="E9" i="8"/>
  <c r="E10" i="8"/>
  <c r="E7" i="8"/>
  <c r="C12" i="8"/>
  <c r="D9" i="8"/>
  <c r="D10" i="8"/>
  <c r="D11" i="8" s="1"/>
  <c r="D8" i="8"/>
  <c r="D7" i="8"/>
  <c r="C8" i="8"/>
  <c r="C9" i="8"/>
  <c r="C10" i="8"/>
  <c r="C11" i="8"/>
  <c r="C7" i="8"/>
  <c r="I32" i="7"/>
  <c r="I30" i="7"/>
  <c r="J32" i="7"/>
  <c r="J30" i="7"/>
  <c r="D27" i="7"/>
  <c r="I24" i="7"/>
  <c r="K24" i="7" s="1"/>
  <c r="L24" i="7" s="1"/>
  <c r="I25" i="7"/>
  <c r="J25" i="7" s="1"/>
  <c r="I26" i="7"/>
  <c r="J26" i="7" s="1"/>
  <c r="I21" i="7"/>
  <c r="J21" i="7" s="1"/>
  <c r="F30" i="7"/>
  <c r="C32" i="7"/>
  <c r="C34" i="7"/>
  <c r="C33" i="7"/>
  <c r="A31" i="7"/>
  <c r="I22" i="7"/>
  <c r="H27" i="7"/>
  <c r="H22" i="7"/>
  <c r="H23" i="7"/>
  <c r="H24" i="7"/>
  <c r="H25" i="7"/>
  <c r="H26" i="7"/>
  <c r="H21" i="7"/>
  <c r="G22" i="7"/>
  <c r="G23" i="7"/>
  <c r="G24" i="7"/>
  <c r="G25" i="7"/>
  <c r="G26" i="7"/>
  <c r="G21" i="7"/>
  <c r="F22" i="7"/>
  <c r="F23" i="7"/>
  <c r="F24" i="7"/>
  <c r="F25" i="7"/>
  <c r="F26" i="7"/>
  <c r="F21" i="7"/>
  <c r="J10" i="7"/>
  <c r="J5" i="7"/>
  <c r="B13" i="3"/>
  <c r="C25" i="6"/>
  <c r="A25" i="6"/>
  <c r="C19" i="5"/>
  <c r="A19" i="5"/>
  <c r="B29" i="4"/>
  <c r="B31" i="4"/>
  <c r="B30" i="4"/>
  <c r="C28" i="4"/>
  <c r="I23" i="7" l="1"/>
  <c r="J24" i="7"/>
  <c r="K22" i="7"/>
  <c r="L22" i="7" s="1"/>
  <c r="J22" i="7"/>
  <c r="K21" i="7"/>
  <c r="L21" i="7" s="1"/>
  <c r="K25" i="7"/>
  <c r="L25" i="7" s="1"/>
  <c r="K26" i="7"/>
  <c r="L26" i="7" s="1"/>
  <c r="I20" i="3"/>
  <c r="K20" i="3"/>
  <c r="K19" i="3"/>
  <c r="I26" i="6"/>
  <c r="I25" i="6"/>
  <c r="I24" i="6"/>
  <c r="J26" i="6"/>
  <c r="J25" i="6"/>
  <c r="J24" i="6"/>
  <c r="F28" i="6"/>
  <c r="F27" i="6"/>
  <c r="F26" i="6"/>
  <c r="F25" i="6"/>
  <c r="L21" i="6"/>
  <c r="L17" i="6"/>
  <c r="L18" i="6"/>
  <c r="L19" i="6"/>
  <c r="L20" i="6"/>
  <c r="L16" i="6"/>
  <c r="K20" i="6"/>
  <c r="F24" i="6"/>
  <c r="C28" i="6"/>
  <c r="C27" i="6"/>
  <c r="C26" i="6" s="1"/>
  <c r="G17" i="6"/>
  <c r="H17" i="6" s="1"/>
  <c r="G18" i="6"/>
  <c r="H18" i="6" s="1"/>
  <c r="G19" i="6"/>
  <c r="G20" i="6"/>
  <c r="G16" i="6"/>
  <c r="G3" i="5"/>
  <c r="F3" i="5"/>
  <c r="D21" i="6"/>
  <c r="F18" i="6" s="1"/>
  <c r="E16" i="6"/>
  <c r="E17" i="6" s="1"/>
  <c r="E3" i="5"/>
  <c r="I19" i="5"/>
  <c r="I18" i="5"/>
  <c r="J20" i="5"/>
  <c r="J19" i="5"/>
  <c r="J18" i="5"/>
  <c r="F22" i="5"/>
  <c r="F21" i="5"/>
  <c r="F19" i="5"/>
  <c r="F20" i="5"/>
  <c r="L11" i="5"/>
  <c r="L4" i="5"/>
  <c r="L5" i="5"/>
  <c r="L6" i="5"/>
  <c r="L7" i="5"/>
  <c r="L8" i="5"/>
  <c r="L9" i="5"/>
  <c r="L10" i="5"/>
  <c r="L3" i="5"/>
  <c r="K4" i="5"/>
  <c r="K5" i="5"/>
  <c r="K6" i="5"/>
  <c r="K7" i="5"/>
  <c r="K8" i="5"/>
  <c r="K9" i="5"/>
  <c r="K10" i="5"/>
  <c r="K3" i="5"/>
  <c r="J11" i="5"/>
  <c r="J4" i="5"/>
  <c r="J5" i="5"/>
  <c r="J6" i="5"/>
  <c r="J7" i="5"/>
  <c r="J8" i="5"/>
  <c r="J9" i="5"/>
  <c r="J10" i="5"/>
  <c r="J3" i="5"/>
  <c r="I4" i="5"/>
  <c r="I5" i="5"/>
  <c r="I6" i="5"/>
  <c r="I7" i="5"/>
  <c r="I8" i="5"/>
  <c r="I9" i="5"/>
  <c r="I10" i="5"/>
  <c r="I3" i="5"/>
  <c r="C20" i="5"/>
  <c r="C22" i="5"/>
  <c r="C21" i="5"/>
  <c r="K23" i="7" l="1"/>
  <c r="L23" i="7" s="1"/>
  <c r="L27" i="7" s="1"/>
  <c r="F32" i="7" s="1"/>
  <c r="F33" i="7" s="1"/>
  <c r="F34" i="7" s="1"/>
  <c r="J23" i="7"/>
  <c r="J27" i="7" s="1"/>
  <c r="F31" i="7" s="1"/>
  <c r="E18" i="6"/>
  <c r="E19" i="6" s="1"/>
  <c r="E20" i="6" s="1"/>
  <c r="H19" i="6"/>
  <c r="H16" i="6"/>
  <c r="F19" i="6"/>
  <c r="H20" i="6"/>
  <c r="F16" i="6"/>
  <c r="F17" i="6"/>
  <c r="H2" i="6"/>
  <c r="F20" i="6"/>
  <c r="C18" i="5"/>
  <c r="B27" i="4"/>
  <c r="H11" i="5"/>
  <c r="H4" i="5"/>
  <c r="H5" i="5"/>
  <c r="H6" i="5"/>
  <c r="H7" i="5"/>
  <c r="H8" i="5"/>
  <c r="H9" i="5"/>
  <c r="H10" i="5"/>
  <c r="H3" i="5"/>
  <c r="G4" i="5"/>
  <c r="G5" i="5"/>
  <c r="G6" i="5"/>
  <c r="G7" i="5"/>
  <c r="G8" i="5"/>
  <c r="G9" i="5"/>
  <c r="G10" i="5"/>
  <c r="F15" i="4"/>
  <c r="F4" i="5"/>
  <c r="F5" i="5"/>
  <c r="F6" i="5"/>
  <c r="F7" i="5"/>
  <c r="F8" i="5"/>
  <c r="F9" i="5"/>
  <c r="F10" i="5"/>
  <c r="E15" i="4"/>
  <c r="D11" i="5"/>
  <c r="E5" i="5"/>
  <c r="E6" i="5" s="1"/>
  <c r="E7" i="5" s="1"/>
  <c r="E8" i="5" s="1"/>
  <c r="E9" i="5" s="1"/>
  <c r="E10" i="5" s="1"/>
  <c r="E4" i="5"/>
  <c r="D15" i="4"/>
  <c r="B10" i="4"/>
  <c r="B9" i="4"/>
  <c r="B11" i="4"/>
  <c r="H29" i="4"/>
  <c r="H28" i="4"/>
  <c r="H27" i="4"/>
  <c r="I29" i="4"/>
  <c r="I28" i="4"/>
  <c r="I27" i="4"/>
  <c r="E31" i="4"/>
  <c r="E30" i="4"/>
  <c r="E29" i="4"/>
  <c r="E28" i="4"/>
  <c r="I24" i="4"/>
  <c r="K24" i="4"/>
  <c r="K16" i="4"/>
  <c r="K17" i="4"/>
  <c r="K18" i="4"/>
  <c r="K19" i="4"/>
  <c r="K20" i="4"/>
  <c r="K21" i="4"/>
  <c r="K22" i="4"/>
  <c r="K15" i="4"/>
  <c r="J16" i="4"/>
  <c r="J17" i="4"/>
  <c r="J18" i="4"/>
  <c r="J19" i="4"/>
  <c r="J20" i="4"/>
  <c r="J21" i="4"/>
  <c r="J22" i="4"/>
  <c r="J15" i="4"/>
  <c r="I16" i="4"/>
  <c r="I17" i="4"/>
  <c r="I18" i="4"/>
  <c r="I19" i="4"/>
  <c r="I20" i="4"/>
  <c r="I21" i="4"/>
  <c r="I22" i="4"/>
  <c r="I15" i="4"/>
  <c r="H16" i="4"/>
  <c r="H17" i="4"/>
  <c r="H18" i="4"/>
  <c r="H19" i="4"/>
  <c r="H20" i="4"/>
  <c r="H21" i="4"/>
  <c r="H22" i="4"/>
  <c r="H15" i="4"/>
  <c r="G24" i="4"/>
  <c r="G16" i="4"/>
  <c r="G17" i="4"/>
  <c r="G18" i="4"/>
  <c r="G19" i="4"/>
  <c r="G20" i="4"/>
  <c r="G21" i="4"/>
  <c r="G22" i="4"/>
  <c r="G15" i="4"/>
  <c r="F16" i="4"/>
  <c r="F17" i="4"/>
  <c r="F18" i="4"/>
  <c r="F19" i="4"/>
  <c r="F20" i="4"/>
  <c r="F21" i="4"/>
  <c r="F22" i="4"/>
  <c r="E16" i="4"/>
  <c r="E17" i="4"/>
  <c r="E18" i="4"/>
  <c r="E19" i="4"/>
  <c r="E20" i="4"/>
  <c r="E21" i="4"/>
  <c r="E22" i="4"/>
  <c r="C24" i="4"/>
  <c r="D17" i="4"/>
  <c r="D18" i="4"/>
  <c r="D19" i="4" s="1"/>
  <c r="D20" i="4" s="1"/>
  <c r="D21" i="4" s="1"/>
  <c r="D22" i="4" s="1"/>
  <c r="D16" i="4"/>
  <c r="C15" i="4" a="1"/>
  <c r="C15" i="4" s="1"/>
  <c r="A22" i="4"/>
  <c r="A17" i="4"/>
  <c r="A18" i="4"/>
  <c r="A19" i="4" s="1"/>
  <c r="A20" i="4" s="1"/>
  <c r="A21" i="4" s="1"/>
  <c r="B22" i="4"/>
  <c r="B17" i="4"/>
  <c r="B18" i="4" s="1"/>
  <c r="B19" i="4" s="1"/>
  <c r="B20" i="4" s="1"/>
  <c r="B21" i="4" s="1"/>
  <c r="B16" i="4"/>
  <c r="A16" i="4"/>
  <c r="B12" i="4"/>
  <c r="H21" i="6" l="1"/>
  <c r="C24" i="6" s="1"/>
  <c r="E27" i="4"/>
  <c r="B7" i="4"/>
  <c r="K21" i="3"/>
  <c r="L21" i="3"/>
  <c r="L20" i="3"/>
  <c r="L19" i="3"/>
  <c r="E23" i="3"/>
  <c r="E22" i="3"/>
  <c r="E21" i="3"/>
  <c r="E20" i="3"/>
  <c r="N15" i="3"/>
  <c r="N10" i="3"/>
  <c r="N11" i="3"/>
  <c r="N12" i="3"/>
  <c r="N13" i="3"/>
  <c r="N9" i="3"/>
  <c r="M10" i="3"/>
  <c r="M11" i="3"/>
  <c r="M12" i="3"/>
  <c r="M13" i="3"/>
  <c r="M9" i="3"/>
  <c r="L15" i="3"/>
  <c r="L10" i="3"/>
  <c r="L11" i="3"/>
  <c r="L12" i="3"/>
  <c r="L13" i="3"/>
  <c r="L9" i="3"/>
  <c r="K10" i="3"/>
  <c r="K11" i="3"/>
  <c r="K12" i="3"/>
  <c r="K13" i="3"/>
  <c r="I17" i="6" l="1"/>
  <c r="I18" i="6"/>
  <c r="I20" i="6"/>
  <c r="J20" i="6" s="1"/>
  <c r="I16" i="6"/>
  <c r="I19" i="6"/>
  <c r="K18" i="6" l="1"/>
  <c r="J18" i="6"/>
  <c r="K19" i="6"/>
  <c r="J19" i="6"/>
  <c r="K16" i="6"/>
  <c r="J16" i="6"/>
  <c r="K17" i="6"/>
  <c r="J17" i="6"/>
  <c r="D17" i="2"/>
  <c r="I9" i="3"/>
  <c r="E9" i="2" a="1"/>
  <c r="E9" i="2" s="1"/>
  <c r="D10" i="3"/>
  <c r="E10" i="3" s="1"/>
  <c r="D11" i="3" s="1"/>
  <c r="E9" i="3"/>
  <c r="B14" i="3"/>
  <c r="B8" i="3"/>
  <c r="J21" i="6" l="1"/>
  <c r="E11" i="3"/>
  <c r="D12" i="3" s="1"/>
  <c r="I11" i="3"/>
  <c r="I10" i="3"/>
  <c r="E19" i="3"/>
  <c r="B10" i="3"/>
  <c r="D31" i="2"/>
  <c r="D30" i="2"/>
  <c r="D29" i="2"/>
  <c r="E31" i="2"/>
  <c r="E30" i="2"/>
  <c r="E29" i="2"/>
  <c r="D22" i="2"/>
  <c r="D18" i="2"/>
  <c r="I10" i="2"/>
  <c r="I11" i="2"/>
  <c r="I12" i="2"/>
  <c r="I9" i="2"/>
  <c r="I13" i="2" s="1"/>
  <c r="D16" i="2" s="1"/>
  <c r="H10" i="2"/>
  <c r="H11" i="2"/>
  <c r="H12" i="2"/>
  <c r="H9" i="2"/>
  <c r="G10" i="2"/>
  <c r="G11" i="2"/>
  <c r="G12" i="2"/>
  <c r="G9" i="2"/>
  <c r="F9" i="2"/>
  <c r="F10" i="2" s="1"/>
  <c r="F11" i="2" s="1"/>
  <c r="F12" i="2" s="1"/>
  <c r="B12" i="2"/>
  <c r="B15" i="2"/>
  <c r="B14" i="2"/>
  <c r="B8" i="2"/>
  <c r="B11" i="2" s="1"/>
  <c r="D39" i="1"/>
  <c r="D38" i="1"/>
  <c r="D37" i="1"/>
  <c r="D36" i="1"/>
  <c r="C33" i="1"/>
  <c r="C32" i="1"/>
  <c r="C31" i="1"/>
  <c r="C30" i="1"/>
  <c r="C29" i="1"/>
  <c r="I21" i="1"/>
  <c r="I13" i="1"/>
  <c r="I14" i="1"/>
  <c r="I15" i="1"/>
  <c r="I16" i="1"/>
  <c r="I17" i="1"/>
  <c r="I18" i="1"/>
  <c r="I19" i="1"/>
  <c r="I20" i="1"/>
  <c r="I12" i="1"/>
  <c r="G21" i="1"/>
  <c r="H13" i="1"/>
  <c r="H14" i="1"/>
  <c r="H15" i="1"/>
  <c r="H16" i="1"/>
  <c r="H17" i="1"/>
  <c r="H18" i="1"/>
  <c r="H19" i="1"/>
  <c r="H20" i="1"/>
  <c r="H12" i="1"/>
  <c r="G13" i="1"/>
  <c r="G14" i="1"/>
  <c r="G15" i="1"/>
  <c r="G16" i="1"/>
  <c r="G17" i="1"/>
  <c r="G18" i="1"/>
  <c r="G19" i="1"/>
  <c r="G20" i="1"/>
  <c r="G12" i="1"/>
  <c r="F13" i="1"/>
  <c r="F14" i="1"/>
  <c r="F15" i="1"/>
  <c r="F16" i="1"/>
  <c r="F17" i="1"/>
  <c r="F18" i="1"/>
  <c r="F19" i="1"/>
  <c r="F20" i="1"/>
  <c r="F12" i="1"/>
  <c r="D25" i="1"/>
  <c r="C24" i="1"/>
  <c r="E21" i="1"/>
  <c r="D21" i="1"/>
  <c r="E13" i="1"/>
  <c r="E14" i="1"/>
  <c r="E15" i="1"/>
  <c r="E16" i="1"/>
  <c r="E17" i="1"/>
  <c r="E18" i="1"/>
  <c r="E19" i="1"/>
  <c r="E20" i="1"/>
  <c r="E12" i="1"/>
  <c r="D13" i="1"/>
  <c r="D14" i="1"/>
  <c r="D15" i="1"/>
  <c r="D16" i="1"/>
  <c r="D17" i="1"/>
  <c r="D18" i="1"/>
  <c r="D19" i="1"/>
  <c r="D20" i="1"/>
  <c r="D12" i="1"/>
  <c r="B21" i="1"/>
  <c r="C14" i="1"/>
  <c r="C15" i="1" s="1"/>
  <c r="C16" i="1" s="1"/>
  <c r="C13" i="1"/>
  <c r="C12" i="1"/>
  <c r="B13" i="1"/>
  <c r="B14" i="1"/>
  <c r="B15" i="1"/>
  <c r="B16" i="1"/>
  <c r="B17" i="1"/>
  <c r="B18" i="1"/>
  <c r="B19" i="1"/>
  <c r="B20" i="1"/>
  <c r="B12" i="1"/>
  <c r="B8" i="1"/>
  <c r="E12" i="3" l="1"/>
  <c r="I12" i="3"/>
  <c r="J9" i="2"/>
  <c r="J11" i="2"/>
  <c r="J10" i="2"/>
  <c r="J12" i="2"/>
  <c r="C17" i="1"/>
  <c r="C18" i="1" s="1"/>
  <c r="C19" i="1" s="1"/>
  <c r="C20" i="1" s="1"/>
  <c r="D13" i="3" l="1"/>
  <c r="K10" i="2"/>
  <c r="L10" i="2"/>
  <c r="M10" i="2" s="1"/>
  <c r="K11" i="2"/>
  <c r="L11" i="2"/>
  <c r="M11" i="2" s="1"/>
  <c r="K12" i="2"/>
  <c r="L12" i="2"/>
  <c r="M12" i="2" s="1"/>
  <c r="L9" i="2"/>
  <c r="M9" i="2" s="1"/>
  <c r="K9" i="2"/>
  <c r="K13" i="2" s="1"/>
  <c r="D23" i="2" s="1"/>
  <c r="E13" i="3" l="1"/>
  <c r="F9" i="3" s="1" a="1"/>
  <c r="I13" i="3"/>
  <c r="M13" i="2"/>
  <c r="D24" i="2" s="1"/>
  <c r="D25" i="2" s="1"/>
  <c r="D26" i="2" s="1"/>
  <c r="J13" i="3" l="1"/>
  <c r="F9" i="3"/>
  <c r="H12" i="3"/>
  <c r="G10" i="3"/>
  <c r="G11" i="3" s="1"/>
  <c r="G12" i="3" s="1"/>
  <c r="G13" i="3" s="1"/>
  <c r="H10" i="3"/>
  <c r="H13" i="3"/>
  <c r="H11" i="3"/>
  <c r="J10" i="3"/>
  <c r="J11" i="3"/>
  <c r="J12" i="3"/>
  <c r="H23" i="3" l="1"/>
  <c r="H22" i="3"/>
  <c r="H21" i="3" s="1"/>
  <c r="F15" i="3"/>
  <c r="H20" i="3" s="1"/>
  <c r="H9" i="3"/>
  <c r="J9" i="3"/>
  <c r="J15" i="3" s="1"/>
  <c r="H19" i="3" s="1"/>
  <c r="K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<sst xmlns="http://schemas.openxmlformats.org/spreadsheetml/2006/main" count="258" uniqueCount="76">
  <si>
    <t>n=</t>
  </si>
  <si>
    <t>Serie simple.</t>
  </si>
  <si>
    <t>X</t>
  </si>
  <si>
    <t>f</t>
  </si>
  <si>
    <t>Fa</t>
  </si>
  <si>
    <t>fr</t>
  </si>
  <si>
    <t>x * f</t>
  </si>
  <si>
    <t>|x - media|</t>
  </si>
  <si>
    <t>|x - media|*f</t>
  </si>
  <si>
    <t>( x - media ) 2</t>
  </si>
  <si>
    <t>( x - media ) 2 * f</t>
  </si>
  <si>
    <t>MTC</t>
  </si>
  <si>
    <t>MEDIA</t>
  </si>
  <si>
    <t>MEDIANA</t>
  </si>
  <si>
    <t>MODA</t>
  </si>
  <si>
    <t>MEDIDAS DE DISPERCION</t>
  </si>
  <si>
    <t>RANGO</t>
  </si>
  <si>
    <t>D MEDIA</t>
  </si>
  <si>
    <t>VARIANZA</t>
  </si>
  <si>
    <t>D ESTANDAR</t>
  </si>
  <si>
    <t>COEFICIENTE VARIACION</t>
  </si>
  <si>
    <t>MEDIDAS DE POSICION</t>
  </si>
  <si>
    <t>Q1</t>
  </si>
  <si>
    <t>Q2</t>
  </si>
  <si>
    <t>Q3</t>
  </si>
  <si>
    <t>Q4</t>
  </si>
  <si>
    <t>Total</t>
  </si>
  <si>
    <t>Intervalos</t>
  </si>
  <si>
    <t>z=</t>
  </si>
  <si>
    <t>A =</t>
  </si>
  <si>
    <t>LS =</t>
  </si>
  <si>
    <t>LI =</t>
  </si>
  <si>
    <t>LI</t>
  </si>
  <si>
    <t>LS</t>
  </si>
  <si>
    <t>FA</t>
  </si>
  <si>
    <t>Xma</t>
  </si>
  <si>
    <t>(Xma *f)</t>
  </si>
  <si>
    <t>|Xma - X|</t>
  </si>
  <si>
    <t>|Xma - X|*f</t>
  </si>
  <si>
    <t>(Xma - X)2</t>
  </si>
  <si>
    <t>(Xma - X)2*f</t>
  </si>
  <si>
    <t>Me</t>
  </si>
  <si>
    <t>Mo</t>
  </si>
  <si>
    <t>MD</t>
  </si>
  <si>
    <t>DM</t>
  </si>
  <si>
    <t>VAR</t>
  </si>
  <si>
    <t>DS</t>
  </si>
  <si>
    <t>CV</t>
  </si>
  <si>
    <t>MP</t>
  </si>
  <si>
    <t xml:space="preserve">d1 = </t>
  </si>
  <si>
    <t>d2 =</t>
  </si>
  <si>
    <t>(n+1)/2</t>
  </si>
  <si>
    <t>a=</t>
  </si>
  <si>
    <t>Xma*f</t>
  </si>
  <si>
    <t>|Xma-X|</t>
  </si>
  <si>
    <t>|Xma-X|*f</t>
  </si>
  <si>
    <t>(Xma-X)2</t>
  </si>
  <si>
    <t>(Xma-X)2 *f</t>
  </si>
  <si>
    <t>d1=</t>
  </si>
  <si>
    <t>d2=</t>
  </si>
  <si>
    <t>n =</t>
  </si>
  <si>
    <t>A=</t>
  </si>
  <si>
    <t>d1 =</t>
  </si>
  <si>
    <t xml:space="preserve">z = </t>
  </si>
  <si>
    <t xml:space="preserve">LS = </t>
  </si>
  <si>
    <t>LS=</t>
  </si>
  <si>
    <t>LI=</t>
  </si>
  <si>
    <t>d1</t>
  </si>
  <si>
    <t>d2</t>
  </si>
  <si>
    <t>NSNC</t>
  </si>
  <si>
    <t>POSITIVO</t>
  </si>
  <si>
    <t>NEGATIVO</t>
  </si>
  <si>
    <t>INESTABLE</t>
  </si>
  <si>
    <t>ESPERANZADO</t>
  </si>
  <si>
    <t>frA</t>
  </si>
  <si>
    <t>Qconsigna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</si>
</sst>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Arial Black"/>
      <family val="2"/>
    </font>
    <font>
      <b/>
      <sz val="14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0000"/>
      <name val="Calibri "/>
    </font>
    <font>
      <b/>
      <sz val="11"/>
      <color theme="1"/>
      <name val="Calibri "/>
    </font>
    <font>
      <sz val="11"/>
      <color theme="1"/>
      <name val="Calibri 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</cellStyleXfs>
  <cellXfs count="91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2" fillId="5" borderId="1" xfId="0" applyFont="1" applyFill="1" applyBorder="1"/>
    <xf numFmtId="164" fontId="2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7" borderId="1" xfId="0" applyFill="1" applyBorder="1"/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1" xfId="0" applyFont="1" applyFill="1" applyBorder="1"/>
    <xf numFmtId="0" fontId="5" fillId="8" borderId="1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8" borderId="1" xfId="0" applyFill="1" applyBorder="1"/>
    <xf numFmtId="0" fontId="0" fillId="4" borderId="1" xfId="0" applyFill="1" applyBorder="1"/>
    <xf numFmtId="0" fontId="2" fillId="8" borderId="1" xfId="0" applyFont="1" applyFill="1" applyBorder="1" applyAlignment="1">
      <alignment horizontal="center"/>
    </xf>
    <xf numFmtId="164" fontId="2" fillId="8" borderId="1" xfId="0" applyNumberFormat="1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0" fontId="0" fillId="8" borderId="1" xfId="1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10" fontId="2" fillId="0" borderId="1" xfId="1" applyNumberFormat="1" applyFont="1" applyBorder="1" applyAlignment="1">
      <alignment horizontal="center"/>
    </xf>
    <xf numFmtId="0" fontId="0" fillId="0" borderId="0" xfId="0" applyFont="1"/>
    <xf numFmtId="0" fontId="2" fillId="7" borderId="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justify" vertical="center" wrapText="1"/>
    </xf>
    <xf numFmtId="164" fontId="0" fillId="0" borderId="0" xfId="0" applyNumberFormat="1"/>
    <xf numFmtId="0" fontId="2" fillId="0" borderId="1" xfId="0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6" fontId="2" fillId="0" borderId="2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8" borderId="1" xfId="2" applyFont="1" applyFill="1" applyBorder="1" applyAlignment="1">
      <alignment horizontal="center" vertical="center"/>
    </xf>
    <xf numFmtId="0" fontId="2" fillId="8" borderId="1" xfId="3" applyFont="1" applyFill="1" applyBorder="1" applyAlignment="1">
      <alignment horizontal="center" vertical="center"/>
    </xf>
    <xf numFmtId="165" fontId="2" fillId="8" borderId="1" xfId="1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 vertical="center"/>
    </xf>
    <xf numFmtId="0" fontId="2" fillId="11" borderId="1" xfId="0" applyFont="1" applyFill="1" applyBorder="1"/>
    <xf numFmtId="166" fontId="0" fillId="0" borderId="1" xfId="0" applyNumberFormat="1" applyBorder="1"/>
    <xf numFmtId="2" fontId="2" fillId="8" borderId="1" xfId="3" applyNumberFormat="1" applyFont="1" applyFill="1" applyBorder="1" applyAlignment="1">
      <alignment horizontal="center"/>
    </xf>
    <xf numFmtId="2" fontId="2" fillId="8" borderId="1" xfId="2" applyNumberFormat="1" applyFont="1" applyFill="1" applyBorder="1" applyAlignment="1">
      <alignment horizontal="center"/>
    </xf>
    <xf numFmtId="0" fontId="2" fillId="0" borderId="0" xfId="0" applyFont="1"/>
    <xf numFmtId="2" fontId="0" fillId="0" borderId="1" xfId="0" applyNumberFormat="1" applyBorder="1"/>
    <xf numFmtId="164" fontId="0" fillId="0" borderId="1" xfId="0" applyNumberFormat="1" applyBorder="1"/>
    <xf numFmtId="0" fontId="2" fillId="7" borderId="4" xfId="0" applyFont="1" applyFill="1" applyBorder="1" applyAlignment="1">
      <alignment vertical="center" wrapText="1"/>
    </xf>
    <xf numFmtId="0" fontId="5" fillId="7" borderId="5" xfId="0" applyFont="1" applyFill="1" applyBorder="1" applyAlignment="1">
      <alignment vertical="center" wrapText="1"/>
    </xf>
    <xf numFmtId="0" fontId="5" fillId="7" borderId="6" xfId="0" applyFont="1" applyFill="1" applyBorder="1" applyAlignment="1">
      <alignment vertical="center" wrapText="1"/>
    </xf>
    <xf numFmtId="0" fontId="5" fillId="7" borderId="7" xfId="0" applyFont="1" applyFill="1" applyBorder="1" applyAlignment="1">
      <alignment vertical="center" wrapText="1"/>
    </xf>
    <xf numFmtId="0" fontId="0" fillId="7" borderId="1" xfId="0" applyFill="1" applyBorder="1" applyAlignment="1">
      <alignment horizontal="center"/>
    </xf>
    <xf numFmtId="9" fontId="2" fillId="0" borderId="1" xfId="1" applyFont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9" fillId="7" borderId="10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9" xfId="0" applyFill="1" applyBorder="1"/>
    <xf numFmtId="0" fontId="9" fillId="0" borderId="1" xfId="0" applyFont="1" applyBorder="1" applyAlignment="1">
      <alignment horizontal="center" vertical="center" wrapText="1"/>
    </xf>
    <xf numFmtId="9" fontId="0" fillId="0" borderId="1" xfId="1" applyFont="1" applyBorder="1"/>
    <xf numFmtId="0" fontId="2" fillId="5" borderId="1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10" fontId="0" fillId="8" borderId="1" xfId="0" applyNumberFormat="1" applyFill="1" applyBorder="1" applyAlignment="1">
      <alignment horizontal="center"/>
    </xf>
    <xf numFmtId="0" fontId="0" fillId="12" borderId="13" xfId="0" applyFill="1" applyBorder="1"/>
    <xf numFmtId="0" fontId="0" fillId="12" borderId="1" xfId="0" applyFill="1" applyBorder="1"/>
  </cellXfs>
  <cellStyles count="4">
    <cellStyle name="Bueno" xfId="2" builtinId="26"/>
    <cellStyle name="Neutral" xfId="3" builtinId="2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Frecuencias</a:t>
            </a:r>
            <a:r>
              <a:rPr lang="en-US" baseline="0"/>
              <a:t> de las muestras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F33-4901-9D90-083EF9BE9E79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F33-4901-9D90-083EF9BE9E79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F33-4901-9D90-083EF9BE9E79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F33-4901-9D90-083EF9BE9E79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F33-4901-9D90-083EF9BE9E79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AF33-4901-9D90-083EF9BE9E79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AF33-4901-9D90-083EF9BE9E79}"/>
              </c:ext>
            </c:extLst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AF33-4901-9D90-083EF9BE9E79}"/>
              </c:ext>
            </c:extLst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AF33-4901-9D90-083EF9BE9E79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Hoja1!$A$12:$A$20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Hoja1!$B$12:$B$20</c:f>
              <c:numCache>
                <c:formatCode>General</c:formatCode>
                <c:ptCount val="9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5E-49F9-9F66-35E436BD14C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HISTOGRAMA Y POLIGONO DE FRECUENCIAS ABSOLUTAS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Histograma de frecuencias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Hoja2!$C$9:$D$12</c:f>
              <c:multiLvlStrCache>
                <c:ptCount val="4"/>
                <c:lvl>
                  <c:pt idx="0">
                    <c:v>1</c:v>
                  </c:pt>
                  <c:pt idx="1">
                    <c:v>3</c:v>
                  </c:pt>
                  <c:pt idx="2">
                    <c:v>5</c:v>
                  </c:pt>
                  <c:pt idx="3">
                    <c:v>7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4</c:v>
                  </c:pt>
                  <c:pt idx="3">
                    <c:v>6</c:v>
                  </c:pt>
                </c:lvl>
              </c:multiLvlStrCache>
            </c:multiLvlStrRef>
          </c:cat>
          <c:val>
            <c:numRef>
              <c:f>Hoja2!$E$9:$E$13</c:f>
              <c:numCache>
                <c:formatCode>General</c:formatCode>
                <c:ptCount val="5"/>
                <c:pt idx="0">
                  <c:v>16</c:v>
                </c:pt>
                <c:pt idx="1">
                  <c:v>14</c:v>
                </c:pt>
                <c:pt idx="2">
                  <c:v>14</c:v>
                </c:pt>
                <c:pt idx="3">
                  <c:v>4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975-4B31-8894-794BDCF1B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46333168"/>
        <c:axId val="1146333584"/>
      </c:barChart>
      <c:lineChart>
        <c:grouping val="standard"/>
        <c:varyColors val="0"/>
        <c:ser>
          <c:idx val="1"/>
          <c:order val="1"/>
          <c:tx>
            <c:v>POLIGONO DE FRECUENCIAS ABSOLUTAS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Hoja2!$C$9:$D$12</c:f>
              <c:multiLvlStrCache>
                <c:ptCount val="4"/>
                <c:lvl>
                  <c:pt idx="0">
                    <c:v>1</c:v>
                  </c:pt>
                  <c:pt idx="1">
                    <c:v>3</c:v>
                  </c:pt>
                  <c:pt idx="2">
                    <c:v>5</c:v>
                  </c:pt>
                  <c:pt idx="3">
                    <c:v>7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4</c:v>
                  </c:pt>
                  <c:pt idx="3">
                    <c:v>6</c:v>
                  </c:pt>
                </c:lvl>
              </c:multiLvlStrCache>
            </c:multiLvlStrRef>
          </c:cat>
          <c:val>
            <c:numRef>
              <c:f>Hoja2!$E$9:$E$13</c:f>
              <c:numCache>
                <c:formatCode>General</c:formatCode>
                <c:ptCount val="5"/>
                <c:pt idx="0">
                  <c:v>16</c:v>
                </c:pt>
                <c:pt idx="1">
                  <c:v>14</c:v>
                </c:pt>
                <c:pt idx="2">
                  <c:v>14</c:v>
                </c:pt>
                <c:pt idx="3">
                  <c:v>4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975-4B31-8894-794BDCF1B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6333168"/>
        <c:axId val="1146333584"/>
      </c:lineChart>
      <c:catAx>
        <c:axId val="114633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333584"/>
        <c:crosses val="autoZero"/>
        <c:auto val="1"/>
        <c:lblAlgn val="ctr"/>
        <c:lblOffset val="100"/>
        <c:noMultiLvlLbl val="0"/>
      </c:catAx>
      <c:valAx>
        <c:axId val="114633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33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Histograma de frecuencias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Hoja3!$D$9:$E$13</c:f>
              <c:multiLvlStrCache>
                <c:ptCount val="5"/>
                <c:lvl>
                  <c:pt idx="0">
                    <c:v>1.2</c:v>
                  </c:pt>
                  <c:pt idx="1">
                    <c:v>2.3</c:v>
                  </c:pt>
                  <c:pt idx="2">
                    <c:v>3.4</c:v>
                  </c:pt>
                  <c:pt idx="3">
                    <c:v>4.5</c:v>
                  </c:pt>
                  <c:pt idx="4">
                    <c:v>5.6</c:v>
                  </c:pt>
                </c:lvl>
                <c:lvl>
                  <c:pt idx="0">
                    <c:v>0.2</c:v>
                  </c:pt>
                  <c:pt idx="1">
                    <c:v>1.3</c:v>
                  </c:pt>
                  <c:pt idx="2">
                    <c:v>2.4</c:v>
                  </c:pt>
                  <c:pt idx="3">
                    <c:v>3.5</c:v>
                  </c:pt>
                  <c:pt idx="4">
                    <c:v>4.6</c:v>
                  </c:pt>
                </c:lvl>
              </c:multiLvlStrCache>
            </c:multiLvlStrRef>
          </c:cat>
          <c:val>
            <c:numRef>
              <c:f>Hoja3!$F$9:$F$14</c:f>
              <c:numCache>
                <c:formatCode>General</c:formatCode>
                <c:ptCount val="6"/>
                <c:pt idx="0">
                  <c:v>35</c:v>
                </c:pt>
                <c:pt idx="1">
                  <c:v>18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111-4592-960E-33FF4D384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924156816"/>
        <c:axId val="924158480"/>
      </c:barChart>
      <c:lineChart>
        <c:grouping val="standard"/>
        <c:varyColors val="0"/>
        <c:ser>
          <c:idx val="1"/>
          <c:order val="1"/>
          <c:tx>
            <c:v>Poligono de frecuencias absolutas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Hoja3!$F$9:$F$14</c:f>
              <c:numCache>
                <c:formatCode>General</c:formatCode>
                <c:ptCount val="6"/>
                <c:pt idx="0">
                  <c:v>35</c:v>
                </c:pt>
                <c:pt idx="1">
                  <c:v>18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111-4592-960E-33FF4D384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4156816"/>
        <c:axId val="924158480"/>
      </c:lineChart>
      <c:catAx>
        <c:axId val="92415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158480"/>
        <c:crosses val="autoZero"/>
        <c:auto val="1"/>
        <c:lblAlgn val="ctr"/>
        <c:lblOffset val="100"/>
        <c:noMultiLvlLbl val="0"/>
      </c:catAx>
      <c:valAx>
        <c:axId val="92415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15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Histograma de frecuencias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Hoja4!$A$15:$B$22</c:f>
              <c:multiLvlStrCache>
                <c:ptCount val="8"/>
                <c:lvl>
                  <c:pt idx="0">
                    <c:v>21</c:v>
                  </c:pt>
                  <c:pt idx="1">
                    <c:v>24</c:v>
                  </c:pt>
                  <c:pt idx="2">
                    <c:v>27</c:v>
                  </c:pt>
                  <c:pt idx="3">
                    <c:v>30</c:v>
                  </c:pt>
                  <c:pt idx="4">
                    <c:v>33</c:v>
                  </c:pt>
                  <c:pt idx="5">
                    <c:v>36</c:v>
                  </c:pt>
                  <c:pt idx="6">
                    <c:v>39</c:v>
                  </c:pt>
                  <c:pt idx="7">
                    <c:v>42</c:v>
                  </c:pt>
                </c:lvl>
                <c:lvl>
                  <c:pt idx="0">
                    <c:v>19</c:v>
                  </c:pt>
                  <c:pt idx="1">
                    <c:v>22</c:v>
                  </c:pt>
                  <c:pt idx="2">
                    <c:v>25</c:v>
                  </c:pt>
                  <c:pt idx="3">
                    <c:v>28</c:v>
                  </c:pt>
                  <c:pt idx="4">
                    <c:v>31</c:v>
                  </c:pt>
                  <c:pt idx="5">
                    <c:v>34</c:v>
                  </c:pt>
                  <c:pt idx="6">
                    <c:v>37</c:v>
                  </c:pt>
                  <c:pt idx="7">
                    <c:v>40</c:v>
                  </c:pt>
                </c:lvl>
              </c:multiLvlStrCache>
            </c:multiLvlStrRef>
          </c:cat>
          <c:val>
            <c:numRef>
              <c:f>Hoja4!$C$15:$C$23</c:f>
              <c:numCache>
                <c:formatCode>General</c:formatCode>
                <c:ptCount val="9"/>
                <c:pt idx="0">
                  <c:v>4</c:v>
                </c:pt>
                <c:pt idx="1">
                  <c:v>10</c:v>
                </c:pt>
                <c:pt idx="2">
                  <c:v>9</c:v>
                </c:pt>
                <c:pt idx="3">
                  <c:v>5</c:v>
                </c:pt>
                <c:pt idx="4">
                  <c:v>9</c:v>
                </c:pt>
                <c:pt idx="5">
                  <c:v>7</c:v>
                </c:pt>
                <c:pt idx="6">
                  <c:v>6</c:v>
                </c:pt>
                <c:pt idx="7">
                  <c:v>5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39-476D-A061-A74048783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321034224"/>
        <c:axId val="1321022160"/>
      </c:barChart>
      <c:lineChart>
        <c:grouping val="standard"/>
        <c:varyColors val="0"/>
        <c:ser>
          <c:idx val="1"/>
          <c:order val="1"/>
          <c:tx>
            <c:v>Poligono de frecuencias absolutas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Hoja4!$A$15:$B$22</c:f>
              <c:multiLvlStrCache>
                <c:ptCount val="8"/>
                <c:lvl>
                  <c:pt idx="0">
                    <c:v>21</c:v>
                  </c:pt>
                  <c:pt idx="1">
                    <c:v>24</c:v>
                  </c:pt>
                  <c:pt idx="2">
                    <c:v>27</c:v>
                  </c:pt>
                  <c:pt idx="3">
                    <c:v>30</c:v>
                  </c:pt>
                  <c:pt idx="4">
                    <c:v>33</c:v>
                  </c:pt>
                  <c:pt idx="5">
                    <c:v>36</c:v>
                  </c:pt>
                  <c:pt idx="6">
                    <c:v>39</c:v>
                  </c:pt>
                  <c:pt idx="7">
                    <c:v>42</c:v>
                  </c:pt>
                </c:lvl>
                <c:lvl>
                  <c:pt idx="0">
                    <c:v>19</c:v>
                  </c:pt>
                  <c:pt idx="1">
                    <c:v>22</c:v>
                  </c:pt>
                  <c:pt idx="2">
                    <c:v>25</c:v>
                  </c:pt>
                  <c:pt idx="3">
                    <c:v>28</c:v>
                  </c:pt>
                  <c:pt idx="4">
                    <c:v>31</c:v>
                  </c:pt>
                  <c:pt idx="5">
                    <c:v>34</c:v>
                  </c:pt>
                  <c:pt idx="6">
                    <c:v>37</c:v>
                  </c:pt>
                  <c:pt idx="7">
                    <c:v>40</c:v>
                  </c:pt>
                </c:lvl>
              </c:multiLvlStrCache>
            </c:multiLvlStrRef>
          </c:cat>
          <c:val>
            <c:numRef>
              <c:f>Hoja4!$C$15:$C$23</c:f>
              <c:numCache>
                <c:formatCode>General</c:formatCode>
                <c:ptCount val="9"/>
                <c:pt idx="0">
                  <c:v>4</c:v>
                </c:pt>
                <c:pt idx="1">
                  <c:v>10</c:v>
                </c:pt>
                <c:pt idx="2">
                  <c:v>9</c:v>
                </c:pt>
                <c:pt idx="3">
                  <c:v>5</c:v>
                </c:pt>
                <c:pt idx="4">
                  <c:v>9</c:v>
                </c:pt>
                <c:pt idx="5">
                  <c:v>7</c:v>
                </c:pt>
                <c:pt idx="6">
                  <c:v>6</c:v>
                </c:pt>
                <c:pt idx="7">
                  <c:v>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D39-476D-A061-A74048783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1034224"/>
        <c:axId val="1321022160"/>
      </c:lineChart>
      <c:catAx>
        <c:axId val="132103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022160"/>
        <c:crosses val="autoZero"/>
        <c:auto val="1"/>
        <c:lblAlgn val="ctr"/>
        <c:lblOffset val="100"/>
        <c:noMultiLvlLbl val="0"/>
      </c:catAx>
      <c:valAx>
        <c:axId val="132102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03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Histograma de frecuencias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Hoja5!$B$3:$C$10</c:f>
              <c:multiLvlStrCache>
                <c:ptCount val="8"/>
                <c:lvl>
                  <c:pt idx="0">
                    <c:v>740</c:v>
                  </c:pt>
                  <c:pt idx="1">
                    <c:v>790</c:v>
                  </c:pt>
                  <c:pt idx="2">
                    <c:v>840</c:v>
                  </c:pt>
                  <c:pt idx="3">
                    <c:v>890</c:v>
                  </c:pt>
                  <c:pt idx="4">
                    <c:v>940</c:v>
                  </c:pt>
                  <c:pt idx="5">
                    <c:v>990</c:v>
                  </c:pt>
                  <c:pt idx="6">
                    <c:v>1040</c:v>
                  </c:pt>
                  <c:pt idx="7">
                    <c:v>1090</c:v>
                  </c:pt>
                </c:lvl>
                <c:lvl>
                  <c:pt idx="0">
                    <c:v>690</c:v>
                  </c:pt>
                  <c:pt idx="1">
                    <c:v>740</c:v>
                  </c:pt>
                  <c:pt idx="2">
                    <c:v>790</c:v>
                  </c:pt>
                  <c:pt idx="3">
                    <c:v>840</c:v>
                  </c:pt>
                  <c:pt idx="4">
                    <c:v>890</c:v>
                  </c:pt>
                  <c:pt idx="5">
                    <c:v>940</c:v>
                  </c:pt>
                  <c:pt idx="6">
                    <c:v>990</c:v>
                  </c:pt>
                  <c:pt idx="7">
                    <c:v>1040</c:v>
                  </c:pt>
                </c:lvl>
              </c:multiLvlStrCache>
            </c:multiLvlStrRef>
          </c:cat>
          <c:val>
            <c:numRef>
              <c:f>Hoja5!$D$3:$D$10</c:f>
              <c:numCache>
                <c:formatCode>General</c:formatCode>
                <c:ptCount val="8"/>
                <c:pt idx="0">
                  <c:v>2</c:v>
                </c:pt>
                <c:pt idx="1">
                  <c:v>7</c:v>
                </c:pt>
                <c:pt idx="2">
                  <c:v>10</c:v>
                </c:pt>
                <c:pt idx="3">
                  <c:v>15</c:v>
                </c:pt>
                <c:pt idx="4">
                  <c:v>9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56-42B1-B935-0FC2EC4EE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321017136"/>
        <c:axId val="1321014224"/>
      </c:barChart>
      <c:lineChart>
        <c:grouping val="standard"/>
        <c:varyColors val="0"/>
        <c:ser>
          <c:idx val="1"/>
          <c:order val="1"/>
          <c:tx>
            <c:v>Poligono de frecuencias absolutas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Hoja5!$B$3:$C$10</c:f>
              <c:multiLvlStrCache>
                <c:ptCount val="8"/>
                <c:lvl>
                  <c:pt idx="0">
                    <c:v>740</c:v>
                  </c:pt>
                  <c:pt idx="1">
                    <c:v>790</c:v>
                  </c:pt>
                  <c:pt idx="2">
                    <c:v>840</c:v>
                  </c:pt>
                  <c:pt idx="3">
                    <c:v>890</c:v>
                  </c:pt>
                  <c:pt idx="4">
                    <c:v>940</c:v>
                  </c:pt>
                  <c:pt idx="5">
                    <c:v>990</c:v>
                  </c:pt>
                  <c:pt idx="6">
                    <c:v>1040</c:v>
                  </c:pt>
                  <c:pt idx="7">
                    <c:v>1090</c:v>
                  </c:pt>
                </c:lvl>
                <c:lvl>
                  <c:pt idx="0">
                    <c:v>690</c:v>
                  </c:pt>
                  <c:pt idx="1">
                    <c:v>740</c:v>
                  </c:pt>
                  <c:pt idx="2">
                    <c:v>790</c:v>
                  </c:pt>
                  <c:pt idx="3">
                    <c:v>840</c:v>
                  </c:pt>
                  <c:pt idx="4">
                    <c:v>890</c:v>
                  </c:pt>
                  <c:pt idx="5">
                    <c:v>940</c:v>
                  </c:pt>
                  <c:pt idx="6">
                    <c:v>990</c:v>
                  </c:pt>
                  <c:pt idx="7">
                    <c:v>1040</c:v>
                  </c:pt>
                </c:lvl>
              </c:multiLvlStrCache>
            </c:multiLvlStrRef>
          </c:cat>
          <c:val>
            <c:numRef>
              <c:f>Hoja5!$D$3:$D$10</c:f>
              <c:numCache>
                <c:formatCode>General</c:formatCode>
                <c:ptCount val="8"/>
                <c:pt idx="0">
                  <c:v>2</c:v>
                </c:pt>
                <c:pt idx="1">
                  <c:v>7</c:v>
                </c:pt>
                <c:pt idx="2">
                  <c:v>10</c:v>
                </c:pt>
                <c:pt idx="3">
                  <c:v>15</c:v>
                </c:pt>
                <c:pt idx="4">
                  <c:v>9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56-42B1-B935-0FC2EC4EE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1017136"/>
        <c:axId val="1321014224"/>
      </c:lineChart>
      <c:catAx>
        <c:axId val="132101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014224"/>
        <c:crosses val="autoZero"/>
        <c:auto val="1"/>
        <c:lblAlgn val="ctr"/>
        <c:lblOffset val="100"/>
        <c:noMultiLvlLbl val="0"/>
      </c:catAx>
      <c:valAx>
        <c:axId val="132101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01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Histogramas de frecuencias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Hoja6!$B$16:$C$20</c:f>
              <c:multiLvlStrCache>
                <c:ptCount val="5"/>
                <c:lvl>
                  <c:pt idx="0">
                    <c:v>63</c:v>
                  </c:pt>
                  <c:pt idx="1">
                    <c:v>66</c:v>
                  </c:pt>
                  <c:pt idx="2">
                    <c:v>69</c:v>
                  </c:pt>
                  <c:pt idx="3">
                    <c:v>72</c:v>
                  </c:pt>
                  <c:pt idx="4">
                    <c:v>75</c:v>
                  </c:pt>
                </c:lvl>
                <c:lvl>
                  <c:pt idx="0">
                    <c:v>60</c:v>
                  </c:pt>
                  <c:pt idx="1">
                    <c:v>63</c:v>
                  </c:pt>
                  <c:pt idx="2">
                    <c:v>66</c:v>
                  </c:pt>
                  <c:pt idx="3">
                    <c:v>69</c:v>
                  </c:pt>
                  <c:pt idx="4">
                    <c:v>72</c:v>
                  </c:pt>
                </c:lvl>
              </c:multiLvlStrCache>
            </c:multiLvlStrRef>
          </c:cat>
          <c:val>
            <c:numRef>
              <c:f>Hoja6!$D$16:$D$20</c:f>
              <c:numCache>
                <c:formatCode>General</c:formatCode>
                <c:ptCount val="5"/>
                <c:pt idx="0">
                  <c:v>5</c:v>
                </c:pt>
                <c:pt idx="1">
                  <c:v>18</c:v>
                </c:pt>
                <c:pt idx="2">
                  <c:v>42</c:v>
                </c:pt>
                <c:pt idx="3">
                  <c:v>27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58-4A9D-8FE1-C068A5309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326057552"/>
        <c:axId val="1326057968"/>
      </c:barChart>
      <c:lineChart>
        <c:grouping val="standard"/>
        <c:varyColors val="0"/>
        <c:ser>
          <c:idx val="1"/>
          <c:order val="1"/>
          <c:tx>
            <c:v>Poligono de frecuencias abosultas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Hoja6!$B$16:$C$20</c:f>
              <c:multiLvlStrCache>
                <c:ptCount val="5"/>
                <c:lvl>
                  <c:pt idx="0">
                    <c:v>63</c:v>
                  </c:pt>
                  <c:pt idx="1">
                    <c:v>66</c:v>
                  </c:pt>
                  <c:pt idx="2">
                    <c:v>69</c:v>
                  </c:pt>
                  <c:pt idx="3">
                    <c:v>72</c:v>
                  </c:pt>
                  <c:pt idx="4">
                    <c:v>75</c:v>
                  </c:pt>
                </c:lvl>
                <c:lvl>
                  <c:pt idx="0">
                    <c:v>60</c:v>
                  </c:pt>
                  <c:pt idx="1">
                    <c:v>63</c:v>
                  </c:pt>
                  <c:pt idx="2">
                    <c:v>66</c:v>
                  </c:pt>
                  <c:pt idx="3">
                    <c:v>69</c:v>
                  </c:pt>
                  <c:pt idx="4">
                    <c:v>72</c:v>
                  </c:pt>
                </c:lvl>
              </c:multiLvlStrCache>
            </c:multiLvlStrRef>
          </c:cat>
          <c:val>
            <c:numRef>
              <c:f>Hoja6!$D$16:$D$20</c:f>
              <c:numCache>
                <c:formatCode>General</c:formatCode>
                <c:ptCount val="5"/>
                <c:pt idx="0">
                  <c:v>5</c:v>
                </c:pt>
                <c:pt idx="1">
                  <c:v>18</c:v>
                </c:pt>
                <c:pt idx="2">
                  <c:v>42</c:v>
                </c:pt>
                <c:pt idx="3">
                  <c:v>27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58-4A9D-8FE1-C068A5309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6057552"/>
        <c:axId val="1326057968"/>
      </c:lineChart>
      <c:catAx>
        <c:axId val="132605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057968"/>
        <c:crosses val="autoZero"/>
        <c:auto val="1"/>
        <c:lblAlgn val="ctr"/>
        <c:lblOffset val="100"/>
        <c:noMultiLvlLbl val="0"/>
      </c:catAx>
      <c:valAx>
        <c:axId val="132605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05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Histograma de frecuencias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Hoja7!$B$21:$C$26</c:f>
              <c:multiLvlStrCache>
                <c:ptCount val="6"/>
                <c:lvl>
                  <c:pt idx="0">
                    <c:v>24</c:v>
                  </c:pt>
                  <c:pt idx="1">
                    <c:v>29</c:v>
                  </c:pt>
                  <c:pt idx="2">
                    <c:v>34</c:v>
                  </c:pt>
                  <c:pt idx="3">
                    <c:v>39</c:v>
                  </c:pt>
                  <c:pt idx="4">
                    <c:v>44</c:v>
                  </c:pt>
                  <c:pt idx="5">
                    <c:v>49</c:v>
                  </c:pt>
                </c:lvl>
                <c:lvl>
                  <c:pt idx="0">
                    <c:v>20</c:v>
                  </c:pt>
                  <c:pt idx="1">
                    <c:v>25</c:v>
                  </c:pt>
                  <c:pt idx="2">
                    <c:v>30</c:v>
                  </c:pt>
                  <c:pt idx="3">
                    <c:v>35</c:v>
                  </c:pt>
                  <c:pt idx="4">
                    <c:v>40</c:v>
                  </c:pt>
                  <c:pt idx="5">
                    <c:v>45</c:v>
                  </c:pt>
                </c:lvl>
              </c:multiLvlStrCache>
            </c:multiLvlStrRef>
          </c:cat>
          <c:val>
            <c:numRef>
              <c:f>Hoja7!$D$21:$D$26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4F-4065-8CFB-C2E8F0A91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569200"/>
        <c:axId val="16567952"/>
      </c:barChart>
      <c:lineChart>
        <c:grouping val="standard"/>
        <c:varyColors val="0"/>
        <c:ser>
          <c:idx val="1"/>
          <c:order val="1"/>
          <c:tx>
            <c:v>Poligono de frecuencias absolutas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Hoja7!$B$21:$C$26</c:f>
              <c:multiLvlStrCache>
                <c:ptCount val="6"/>
                <c:lvl>
                  <c:pt idx="0">
                    <c:v>24</c:v>
                  </c:pt>
                  <c:pt idx="1">
                    <c:v>29</c:v>
                  </c:pt>
                  <c:pt idx="2">
                    <c:v>34</c:v>
                  </c:pt>
                  <c:pt idx="3">
                    <c:v>39</c:v>
                  </c:pt>
                  <c:pt idx="4">
                    <c:v>44</c:v>
                  </c:pt>
                  <c:pt idx="5">
                    <c:v>49</c:v>
                  </c:pt>
                </c:lvl>
                <c:lvl>
                  <c:pt idx="0">
                    <c:v>20</c:v>
                  </c:pt>
                  <c:pt idx="1">
                    <c:v>25</c:v>
                  </c:pt>
                  <c:pt idx="2">
                    <c:v>30</c:v>
                  </c:pt>
                  <c:pt idx="3">
                    <c:v>35</c:v>
                  </c:pt>
                  <c:pt idx="4">
                    <c:v>40</c:v>
                  </c:pt>
                  <c:pt idx="5">
                    <c:v>45</c:v>
                  </c:pt>
                </c:lvl>
              </c:multiLvlStrCache>
            </c:multiLvlStrRef>
          </c:cat>
          <c:val>
            <c:numRef>
              <c:f>Hoja7!$D$21:$D$26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4F-4065-8CFB-C2E8F0A91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69200"/>
        <c:axId val="16567952"/>
      </c:lineChart>
      <c:catAx>
        <c:axId val="1656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7952"/>
        <c:crosses val="autoZero"/>
        <c:auto val="1"/>
        <c:lblAlgn val="ctr"/>
        <c:lblOffset val="100"/>
        <c:noMultiLvlLbl val="0"/>
      </c:catAx>
      <c:valAx>
        <c:axId val="1656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Hoja8!$B$7:$B$11</c:f>
              <c:strCache>
                <c:ptCount val="5"/>
                <c:pt idx="0">
                  <c:v>POSITIVO</c:v>
                </c:pt>
                <c:pt idx="1">
                  <c:v>NEGATIVO</c:v>
                </c:pt>
                <c:pt idx="2">
                  <c:v>NSNC</c:v>
                </c:pt>
                <c:pt idx="3">
                  <c:v>ESPERANZADO</c:v>
                </c:pt>
                <c:pt idx="4">
                  <c:v>INESTABLE</c:v>
                </c:pt>
              </c:strCache>
            </c:strRef>
          </c:cat>
          <c:val>
            <c:numRef>
              <c:f>Hoja8!$C$7:$C$11</c:f>
              <c:numCache>
                <c:formatCode>General</c:formatCode>
                <c:ptCount val="5"/>
                <c:pt idx="0">
                  <c:v>6</c:v>
                </c:pt>
                <c:pt idx="1">
                  <c:v>4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EC-41D0-B229-50B6CDD4D51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761999</xdr:colOff>
      <xdr:row>21</xdr:row>
      <xdr:rowOff>185737</xdr:rowOff>
    </xdr:from>
    <xdr:to>
      <xdr:col>9</xdr:col>
      <xdr:colOff>523874</xdr:colOff>
      <xdr:row>38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B40B905-4E5E-427E-A57C-2BB9CE5AE6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114300</xdr:colOff>
      <xdr:row>40</xdr:row>
      <xdr:rowOff>152399</xdr:rowOff>
    </xdr:from>
    <xdr:ext cx="6372225" cy="2331279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339130C-348A-4B9C-A8E6-6D5FE6CAAF81}"/>
            </a:ext>
          </a:extLst>
        </xdr:cNvPr>
        <xdr:cNvSpPr txBox="1"/>
      </xdr:nvSpPr>
      <xdr:spPr>
        <a:xfrm>
          <a:off x="114300" y="7867649"/>
          <a:ext cx="6372225" cy="2331279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En</a:t>
          </a:r>
          <a:r>
            <a:rPr lang="en-US" sz="1100" baseline="0"/>
            <a:t> promedio el numero de ensayos que necesita cada alumno para memorizar las lineas es de 6,261.</a:t>
          </a:r>
        </a:p>
        <a:p>
          <a:r>
            <a:rPr lang="en-US" sz="1100" baseline="0"/>
            <a:t>El 50% de los alumnos necesita mas de 6 ensayos.</a:t>
          </a:r>
        </a:p>
        <a:p>
          <a:r>
            <a:rPr lang="en-US" sz="1100" baseline="0"/>
            <a:t>La mayoria de los alumnos necesitan 6 ensayos.</a:t>
          </a:r>
        </a:p>
        <a:p>
          <a:endParaRPr lang="en-US" sz="1100" baseline="0"/>
        </a:p>
        <a:p>
          <a:r>
            <a:rPr lang="en-US" sz="1100" baseline="0"/>
            <a:t>El rango de estudio de los datos analizados es de 8.</a:t>
          </a:r>
        </a:p>
        <a:p>
          <a:r>
            <a:rPr lang="en-US" sz="1100" baseline="0"/>
            <a:t>La cantidad de ensayos de los alumnos se alejan de los valores centrales entre 1,750 y 2,171.</a:t>
          </a:r>
        </a:p>
        <a:p>
          <a:r>
            <a:rPr lang="en-US" sz="1100" baseline="0"/>
            <a:t>En total seran 4,715 los valores que se dispersan de los valores promedios.</a:t>
          </a:r>
        </a:p>
        <a:p>
          <a:r>
            <a:rPr lang="en-US" sz="1100" baseline="0"/>
            <a:t>Por lo tanto se puede asegurar que el 34,68% de los alumnos necesitan una cantidad de ensayos que no se ajustan a los valores medios.</a:t>
          </a:r>
        </a:p>
        <a:p>
          <a:endParaRPr lang="en-US" sz="1100" baseline="0"/>
        </a:p>
        <a:p>
          <a:r>
            <a:rPr lang="en-US" sz="1100"/>
            <a:t>Ademas el 25%</a:t>
          </a:r>
          <a:r>
            <a:rPr lang="en-US" sz="1100" baseline="0"/>
            <a:t> de los alumnos necesitan menos de 5 ensayos.</a:t>
          </a:r>
        </a:p>
        <a:p>
          <a:r>
            <a:rPr lang="en-US" sz="1100" baseline="0"/>
            <a:t>Menos del 50% necesitan menos de 6 ensayos.</a:t>
          </a:r>
        </a:p>
        <a:p>
          <a:r>
            <a:rPr lang="en-US" sz="1100" baseline="0"/>
            <a:t>Y por ultimo el 75% de los alumnos necesitan menos de 8 ensayos.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14</xdr:row>
      <xdr:rowOff>4762</xdr:rowOff>
    </xdr:from>
    <xdr:to>
      <xdr:col>13</xdr:col>
      <xdr:colOff>19050</xdr:colOff>
      <xdr:row>28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C925B4C-3BAF-44CA-B740-2EB14ED4F7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9525</xdr:colOff>
      <xdr:row>6</xdr:row>
      <xdr:rowOff>180975</xdr:rowOff>
    </xdr:from>
    <xdr:ext cx="5314950" cy="3192412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5935840D-3FCF-41E4-B1B1-4992A41526DD}"/>
            </a:ext>
          </a:extLst>
        </xdr:cNvPr>
        <xdr:cNvSpPr txBox="1"/>
      </xdr:nvSpPr>
      <xdr:spPr>
        <a:xfrm>
          <a:off x="10582275" y="1609725"/>
          <a:ext cx="5314950" cy="3192412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es-E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Cordoba, 27 de set de 2021</a:t>
          </a:r>
          <a:endParaRPr lang="en-US">
            <a:effectLst/>
          </a:endParaRPr>
        </a:p>
        <a:p>
          <a:r>
            <a:rPr lang="en-US" b="1">
              <a:effectLst/>
            </a:rPr>
            <a:t>A</a:t>
          </a:r>
          <a:r>
            <a:rPr lang="en-US" b="1" baseline="0">
              <a:effectLst/>
            </a:rPr>
            <a:t> traves de los datos obtenidos podemos decir que:</a:t>
          </a:r>
        </a:p>
        <a:p>
          <a:endParaRPr lang="en-US">
            <a:effectLst/>
          </a:endParaRPr>
        </a:p>
        <a:p>
          <a:r>
            <a:rPr lang="es-E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</a:t>
          </a:r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promedio la cantidad de accidentes laborales ocurridos diariamente en mas de 40 empresas es de 2,75. El 50% de los dias ocurren menos de 2,571 accidentes y el resto mas de 2,571. Pero la mayoria de los dias ocurren aproximadamente 3 accidentes.</a:t>
          </a:r>
        </a:p>
        <a:p>
          <a:endParaRPr lang="en-US">
            <a:effectLst/>
          </a:endParaRPr>
        </a:p>
        <a:p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Para el análisis de los datos se define un rango de 6(se analizan los valores entre 0 y 6)</a:t>
          </a:r>
          <a:endParaRPr lang="en-US">
            <a:effectLst/>
          </a:endParaRPr>
        </a:p>
        <a:p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Los accidentes ocurridos diariamente se alejan de los valores centrales en aproximadamente 1,646 y 1,942. En general, serían 3,771 aproximadamente los accidentes que no se ajustan a los valores medios. </a:t>
          </a:r>
        </a:p>
        <a:p>
          <a:endParaRPr lang="en-US">
            <a:effectLst/>
          </a:endParaRPr>
        </a:p>
        <a:p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 conclusión se puede afirmar que los datos analizados son del tipo heterogeneo y que el 70,61 % de los accidentes ocasianados diariamente están alejados de los valores centrales. </a:t>
          </a:r>
          <a:endParaRPr lang="en-US">
            <a:effectLst/>
          </a:endParaRPr>
        </a:p>
        <a:p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Además, el 25% de los accidentes ocurren menos de 0.750 al dia; el 50%  menos de 2,571 al dia y por ùltimo el 75% del total de los accidentes ocurren menos de 4,429 al dia.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238125</xdr:colOff>
      <xdr:row>1</xdr:row>
      <xdr:rowOff>4762</xdr:rowOff>
    </xdr:from>
    <xdr:to>
      <xdr:col>20</xdr:col>
      <xdr:colOff>238125</xdr:colOff>
      <xdr:row>15</xdr:row>
      <xdr:rowOff>33337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C40AC04-7FF1-4031-8D12-315634FE2D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1</xdr:colOff>
      <xdr:row>24</xdr:row>
      <xdr:rowOff>142874</xdr:rowOff>
    </xdr:from>
    <xdr:ext cx="7591424" cy="3019425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12C0F34B-BCD8-4D52-9B68-C563C324C06F}"/>
            </a:ext>
          </a:extLst>
        </xdr:cNvPr>
        <xdr:cNvSpPr txBox="1"/>
      </xdr:nvSpPr>
      <xdr:spPr>
        <a:xfrm>
          <a:off x="762001" y="4772024"/>
          <a:ext cx="7591424" cy="3019425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r"/>
          <a:r>
            <a:rPr lang="es-E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Cordoba, 27 de set de 2021</a:t>
          </a:r>
          <a:endParaRPr lang="en-US">
            <a:effectLst/>
          </a:endParaRPr>
        </a:p>
        <a:p>
          <a:pPr algn="l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traves de los datos obtenidos podemos decir que:</a:t>
          </a:r>
        </a:p>
        <a:p>
          <a:pPr algn="l"/>
          <a:endParaRPr lang="en-US" sz="1100" b="1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 variable a analizar es cuantitativa y continua.</a:t>
          </a:r>
        </a:p>
        <a:p>
          <a:pPr algn="l"/>
          <a:endParaRPr lang="en-US">
            <a:effectLst/>
          </a:endParaRPr>
        </a:p>
        <a:p>
          <a:pPr algn="l"/>
          <a:r>
            <a:rPr lang="es-E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</a:t>
          </a:r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promedio la cantidad de minutos requeridos para atender a un cliente es de 1,36.</a:t>
          </a:r>
        </a:p>
        <a:p>
          <a:pPr algn="l"/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 50% se atiende a los clientes menos de 1.06 minutos y el resto mas de 1.06. Pero mayormente se necesitan aproximadamente</a:t>
          </a:r>
        </a:p>
        <a:p>
          <a:pPr algn="l"/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0.87 minutos.</a:t>
          </a:r>
        </a:p>
        <a:p>
          <a:pPr algn="l"/>
          <a:endParaRPr lang="en-US">
            <a:effectLst/>
          </a:endParaRPr>
        </a:p>
        <a:p>
          <a:pPr algn="l"/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Para el análisis de los datos se define un rango de 5(se analizan los valores entre 0.2 y 5.2)</a:t>
          </a:r>
        </a:p>
        <a:p>
          <a:pPr algn="l"/>
          <a:endParaRPr lang="en-US">
            <a:effectLst/>
          </a:endParaRPr>
        </a:p>
        <a:p>
          <a:pPr algn="l"/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Los minutos se alejan de los valores centrales en aproximadamente 0,77 y 0,97.</a:t>
          </a:r>
        </a:p>
        <a:p>
          <a:pPr algn="l"/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 general, serían 0.94 aproximadamente los minutos que no se ajustan a los valores medios. </a:t>
          </a:r>
          <a:endParaRPr lang="en-US">
            <a:effectLst/>
          </a:endParaRPr>
        </a:p>
        <a:p>
          <a:pPr algn="l"/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 conclusión se puede afirmar que los datos analizados son del tipo heterogeneo y que el 71,1 % de los minutos</a:t>
          </a:r>
        </a:p>
        <a:p>
          <a:pPr algn="l"/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están alejados de los valores centrales. </a:t>
          </a:r>
          <a:endParaRPr lang="en-US">
            <a:effectLst/>
          </a:endParaRPr>
        </a:p>
        <a:p>
          <a:pPr algn="l"/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Además, el 25% requieren menos de 0.629 minutos; el 50%  menos de 1,057 y por ùltimo el 75% requieren menos de </a:t>
          </a:r>
        </a:p>
        <a:p>
          <a:pPr algn="l"/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1.86 minutos.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752474</xdr:colOff>
      <xdr:row>4</xdr:row>
      <xdr:rowOff>4761</xdr:rowOff>
    </xdr:from>
    <xdr:to>
      <xdr:col>18</xdr:col>
      <xdr:colOff>190499</xdr:colOff>
      <xdr:row>20</xdr:row>
      <xdr:rowOff>133349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8AAE086-706E-488D-B091-46F91B5C3F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0</xdr:colOff>
      <xdr:row>32</xdr:row>
      <xdr:rowOff>133350</xdr:rowOff>
    </xdr:from>
    <xdr:ext cx="11096820" cy="3192412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BEB256BD-1098-4766-836A-19D7778554D1}"/>
            </a:ext>
          </a:extLst>
        </xdr:cNvPr>
        <xdr:cNvSpPr txBox="1"/>
      </xdr:nvSpPr>
      <xdr:spPr>
        <a:xfrm>
          <a:off x="0" y="6276975"/>
          <a:ext cx="11096820" cy="3192412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lang="es-E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Cordoba, 27 de set de 2021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traves de los datos obtenidos podemos decir que:</a:t>
          </a:r>
        </a:p>
        <a:p>
          <a:endParaRPr lang="en-US">
            <a:effectLst/>
          </a:endParaRPr>
        </a:p>
        <a:p>
          <a:r>
            <a:rPr lang="en-US" b="1">
              <a:effectLst/>
            </a:rPr>
            <a:t>Como representativo de la distribucion de</a:t>
          </a:r>
          <a:r>
            <a:rPr lang="en-US" b="1" baseline="0">
              <a:effectLst/>
            </a:rPr>
            <a:t> los valores medio tomare el promedio(30.091), y para los valores de dispercion tomare el coeficiente de variacion(21.20%).</a:t>
          </a:r>
          <a:endParaRPr lang="en-US" b="1">
            <a:effectLst/>
          </a:endParaRPr>
        </a:p>
        <a:p>
          <a:endParaRPr lang="en-US">
            <a:effectLst/>
          </a:endParaRPr>
        </a:p>
        <a:p>
          <a:r>
            <a:rPr lang="es-E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</a:t>
          </a:r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promedio la edad de los entrevistados es de 30,091.</a:t>
          </a:r>
          <a:endParaRPr lang="en-US">
            <a:effectLst/>
          </a:endParaRPr>
        </a:p>
        <a:p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 50% de los entrevistados tiene una edad de 30.700 y el resto mas de 30.700. Pero mayormente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 edad es de aproximadamente 29.500</a:t>
          </a:r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US">
            <a:effectLst/>
          </a:endParaRPr>
        </a:p>
        <a:p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Para el análisis de los datos se define un rango de 5(se analizan los valores entre 0.2 y 5.2)</a:t>
          </a:r>
        </a:p>
        <a:p>
          <a:endParaRPr lang="en-US">
            <a:effectLst/>
          </a:endParaRPr>
        </a:p>
        <a:p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Las edades se alejan de los valores centrales en aproximadamente 5.583 y 6.380.</a:t>
          </a:r>
          <a:endParaRPr lang="en-US">
            <a:effectLst/>
          </a:endParaRPr>
        </a:p>
        <a:p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 general, serían 40.701 aproximadamente las edades que no se ajustan a los valores medios. </a:t>
          </a:r>
        </a:p>
        <a:p>
          <a:endParaRPr lang="en-US">
            <a:effectLst/>
          </a:endParaRPr>
        </a:p>
        <a:p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 conclusión se puede afirmar que los datos analizados son del tipo homogeneo y que solo el 21,20 % de las edades</a:t>
          </a:r>
          <a:endParaRPr lang="en-US">
            <a:effectLst/>
          </a:endParaRPr>
        </a:p>
        <a:p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están alejadas de los valores centrales. </a:t>
          </a:r>
        </a:p>
        <a:p>
          <a:endParaRPr lang="en-US">
            <a:effectLst/>
          </a:endParaRPr>
        </a:p>
        <a:p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Además, el 25% tienen menos de 24,925 años; el 50%  menos de 30.700 y por ùltimo el 75% tienen menos de </a:t>
          </a:r>
          <a:endParaRPr lang="en-US">
            <a:effectLst/>
          </a:endParaRPr>
        </a:p>
        <a:p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35.821.</a:t>
          </a:r>
          <a:endParaRPr lang="en-US">
            <a:effectLst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757237</xdr:colOff>
      <xdr:row>1</xdr:row>
      <xdr:rowOff>4762</xdr:rowOff>
    </xdr:from>
    <xdr:to>
      <xdr:col>18</xdr:col>
      <xdr:colOff>757237</xdr:colOff>
      <xdr:row>15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BBBBDAD-7BE5-49EC-B039-5CDE01FAD2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4917</xdr:colOff>
      <xdr:row>23</xdr:row>
      <xdr:rowOff>180975</xdr:rowOff>
    </xdr:from>
    <xdr:ext cx="11096820" cy="2331279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C02B8823-7BD7-4493-8B64-9B04D17A2E7D}"/>
            </a:ext>
          </a:extLst>
        </xdr:cNvPr>
        <xdr:cNvSpPr txBox="1"/>
      </xdr:nvSpPr>
      <xdr:spPr>
        <a:xfrm>
          <a:off x="766917" y="4572000"/>
          <a:ext cx="11096820" cy="2331279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lang="es-E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Cordoba, 27 de set de 2021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traves de los datos obtenidos podemos decir que:</a:t>
          </a:r>
        </a:p>
        <a:p>
          <a:endParaRPr lang="en-US" sz="1100" b="1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E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</a:t>
          </a:r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promedio el minimo que estan dispuestos los clientes a invertir es de 863.</a:t>
          </a:r>
          <a:endParaRPr lang="en-US">
            <a:effectLst/>
          </a:endParaRPr>
        </a:p>
        <a:p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 50% de clientes estaria dispuesto a invertir un minimo de 860 y el resto mas de 860. Pero mayormente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 inversion es de aproximadamente 862.727</a:t>
          </a:r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effectLst/>
          </a:endParaRPr>
        </a:p>
        <a:p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Para el análisis de los datos se define un rango de 400(se analizan los valores entre 690 y 1090)</a:t>
          </a:r>
          <a:endParaRPr lang="en-US">
            <a:effectLst/>
          </a:endParaRPr>
        </a:p>
        <a:p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Las inversiones se alejan de los valores centrales en aproximadamente 58.480 y 77.434.</a:t>
          </a:r>
          <a:endParaRPr lang="en-US">
            <a:effectLst/>
          </a:endParaRPr>
        </a:p>
        <a:p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 general, serían 5996 aproximadamente las inversiones que no se ajustan a los valores medios. </a:t>
          </a:r>
          <a:endParaRPr lang="en-US">
            <a:effectLst/>
          </a:endParaRPr>
        </a:p>
        <a:p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 conclusión se puede afirmar que los datos analizados son del tipo homogeneo y que solo el 8.97 % de las inversiones</a:t>
          </a:r>
          <a:endParaRPr lang="en-US">
            <a:effectLst/>
          </a:endParaRPr>
        </a:p>
        <a:p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están alejadas de los valores centrales. </a:t>
          </a:r>
          <a:endParaRPr lang="en-US">
            <a:effectLst/>
          </a:endParaRPr>
        </a:p>
        <a:p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Además, el 25% invierten menos de 807.5; el 50%  menos de 860 y por ùltimo el 75% tienen menos de </a:t>
          </a:r>
          <a:endParaRPr lang="en-US">
            <a:effectLst/>
          </a:endParaRPr>
        </a:p>
        <a:p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909.444. </a:t>
          </a:r>
          <a:endParaRPr lang="en-US">
            <a:effectLst/>
          </a:endParaRPr>
        </a:p>
        <a:p>
          <a:r>
            <a:rPr lang="en-US" sz="1100" b="1"/>
            <a:t>Los  inversores que representan igual o menos del 68% invierten menos de 890.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171450</xdr:rowOff>
    </xdr:from>
    <xdr:to>
      <xdr:col>5</xdr:col>
      <xdr:colOff>371475</xdr:colOff>
      <xdr:row>12</xdr:row>
      <xdr:rowOff>85725</xdr:rowOff>
    </xdr:to>
    <xdr:pic>
      <xdr:nvPicPr>
        <xdr:cNvPr id="2" name="image1.png" descr="histograma">
          <a:extLst>
            <a:ext uri="{FF2B5EF4-FFF2-40B4-BE49-F238E27FC236}">
              <a16:creationId xmlns:a16="http://schemas.microsoft.com/office/drawing/2014/main" id="{B89C3408-152C-44C7-B4D9-DC653BFC016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62000" y="171450"/>
          <a:ext cx="3419475" cy="2200275"/>
        </a:xfrm>
        <a:prstGeom prst="rect">
          <a:avLst/>
        </a:prstGeom>
        <a:ln/>
      </xdr:spPr>
    </xdr:pic>
    <xdr:clientData/>
  </xdr:twoCellAnchor>
  <xdr:twoCellAnchor>
    <xdr:from>
      <xdr:col>13</xdr:col>
      <xdr:colOff>4762</xdr:colOff>
      <xdr:row>0</xdr:row>
      <xdr:rowOff>185737</xdr:rowOff>
    </xdr:from>
    <xdr:to>
      <xdr:col>19</xdr:col>
      <xdr:colOff>4762</xdr:colOff>
      <xdr:row>15</xdr:row>
      <xdr:rowOff>61912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3530E4A-720F-4181-AB14-9DDD26716B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12</xdr:col>
      <xdr:colOff>712063</xdr:colOff>
      <xdr:row>16</xdr:row>
      <xdr:rowOff>66675</xdr:rowOff>
    </xdr:from>
    <xdr:ext cx="6603137" cy="3020186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D723C440-669D-4A0D-B506-F1B4096971D5}"/>
            </a:ext>
          </a:extLst>
        </xdr:cNvPr>
        <xdr:cNvSpPr txBox="1"/>
      </xdr:nvSpPr>
      <xdr:spPr>
        <a:xfrm>
          <a:off x="9856063" y="3124200"/>
          <a:ext cx="6603137" cy="3020186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es-E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Cordoba, 27 de set de 2021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traves de los datos obtenidos podemos decir que:</a:t>
          </a:r>
        </a:p>
        <a:p>
          <a:endParaRPr lang="en-US">
            <a:effectLst/>
          </a:endParaRPr>
        </a:p>
        <a:p>
          <a:r>
            <a:rPr lang="es-E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</a:t>
          </a:r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promedio el peso de los cerdos de los campos chacinados de Colonia Caroya es de 67.950.</a:t>
          </a:r>
          <a:endParaRPr lang="en-US">
            <a:effectLst/>
          </a:endParaRPr>
        </a:p>
        <a:p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 50% de los cerdos pesa un minimo de 67.929 y el resto mas de 67.929. Pero mayormente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los cerdos pesan aproximadamente 67.846</a:t>
          </a:r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US">
            <a:effectLst/>
          </a:endParaRPr>
        </a:p>
        <a:p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Para el análisis de los datos se define un rango de 15(se analizan los valores entre 60 y 75).</a:t>
          </a:r>
          <a:endParaRPr lang="en-US">
            <a:effectLst/>
          </a:endParaRPr>
        </a:p>
        <a:p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Los pesos de los cerdos se alejan de los valores centrales en aproximadamente 2.265 y 2.920.</a:t>
          </a:r>
          <a:endParaRPr lang="en-US">
            <a:effectLst/>
          </a:endParaRPr>
        </a:p>
        <a:p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 general, serían 8.528 aproximadamente los pesos de los cerdos que no se ajustan a los valores medios. </a:t>
          </a:r>
        </a:p>
        <a:p>
          <a:endParaRPr lang="en-US">
            <a:effectLst/>
          </a:endParaRPr>
        </a:p>
        <a:p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 conclusión se puede afirmar que los datos analizados son del tipo homogeneo y que solo el 4.30 % de los pesos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están alejados de los valores centrales. </a:t>
          </a:r>
        </a:p>
        <a:p>
          <a:endParaRPr lang="en-US">
            <a:effectLst/>
          </a:endParaRPr>
        </a:p>
        <a:p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Además, el 25% pesan menos de 66.143; el 50%  menos de 67.929 y por ùltimo el 75% pesan menos de </a:t>
          </a:r>
          <a:endParaRPr lang="en-US">
            <a:effectLst/>
          </a:endParaRPr>
        </a:p>
        <a:p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70.111. 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219710</xdr:colOff>
      <xdr:row>18</xdr:row>
      <xdr:rowOff>0</xdr:rowOff>
    </xdr:to>
    <xdr:pic>
      <xdr:nvPicPr>
        <xdr:cNvPr id="2" name="image3.png">
          <a:extLst>
            <a:ext uri="{FF2B5EF4-FFF2-40B4-BE49-F238E27FC236}">
              <a16:creationId xmlns:a16="http://schemas.microsoft.com/office/drawing/2014/main" id="{77AA71D4-B3BE-485B-83D7-04D44F1C4245}"/>
            </a:ext>
          </a:extLst>
        </xdr:cNvPr>
        <xdr:cNvPicPr/>
      </xdr:nvPicPr>
      <xdr:blipFill>
        <a:blip xmlns:r="http://schemas.openxmlformats.org/officeDocument/2006/relationships" r:embed="rId1"/>
        <a:srcRect l="54338" t="19669" r="4008" b="29900"/>
        <a:stretch>
          <a:fillRect/>
        </a:stretch>
      </xdr:blipFill>
      <xdr:spPr>
        <a:xfrm>
          <a:off x="762000" y="190500"/>
          <a:ext cx="4791710" cy="3238500"/>
        </a:xfrm>
        <a:prstGeom prst="rect">
          <a:avLst/>
        </a:prstGeom>
        <a:ln/>
      </xdr:spPr>
    </xdr:pic>
    <xdr:clientData/>
  </xdr:twoCellAnchor>
  <xdr:twoCellAnchor>
    <xdr:from>
      <xdr:col>13</xdr:col>
      <xdr:colOff>9525</xdr:colOff>
      <xdr:row>1</xdr:row>
      <xdr:rowOff>14287</xdr:rowOff>
    </xdr:from>
    <xdr:to>
      <xdr:col>19</xdr:col>
      <xdr:colOff>9525</xdr:colOff>
      <xdr:row>15</xdr:row>
      <xdr:rowOff>90487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4B96A2B-D2E2-418A-8635-3433EB5A47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13</xdr:col>
      <xdr:colOff>28575</xdr:colOff>
      <xdr:row>17</xdr:row>
      <xdr:rowOff>142875</xdr:rowOff>
    </xdr:from>
    <xdr:ext cx="7581899" cy="2847959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205F4C0-D8FC-489C-A71E-81F9DC6571B6}"/>
            </a:ext>
          </a:extLst>
        </xdr:cNvPr>
        <xdr:cNvSpPr txBox="1"/>
      </xdr:nvSpPr>
      <xdr:spPr>
        <a:xfrm>
          <a:off x="9934575" y="3381375"/>
          <a:ext cx="7581899" cy="2847959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es-E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Cordoba, 27 de set de 2021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traves de los datos obtenidos podemos decir que:</a:t>
          </a:r>
        </a:p>
        <a:p>
          <a:endParaRPr lang="en-US">
            <a:effectLst/>
          </a:endParaRPr>
        </a:p>
        <a:p>
          <a:r>
            <a:rPr lang="es-E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</a:t>
          </a:r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promedio las edades de los empleados de la fabrica textil es de 33.</a:t>
          </a:r>
          <a:endParaRPr lang="en-US">
            <a:effectLst/>
          </a:endParaRPr>
        </a:p>
        <a:p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 50% de los empleados tiene un minimo de 35 años y el resto mas de 35. Pero mayormente tienen una edad de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aproximadamente 37 años</a:t>
          </a:r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US">
            <a:effectLst/>
          </a:endParaRPr>
        </a:p>
        <a:p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Para el análisis de los datos se define un rango de 29(se analizan los valores entre 20 y 49).</a:t>
          </a:r>
          <a:endParaRPr lang="en-US">
            <a:effectLst/>
          </a:endParaRPr>
        </a:p>
        <a:p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Las edades de los empleados se alejan de los valores centrales en aproximadamente 7 y 8.</a:t>
          </a:r>
          <a:endParaRPr lang="en-US">
            <a:effectLst/>
          </a:endParaRPr>
        </a:p>
        <a:p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 general, serían 64 aproximadamente la edad de los empleados que no se ajustan a los valores medios. </a:t>
          </a:r>
        </a:p>
        <a:p>
          <a:endParaRPr lang="en-US">
            <a:effectLst/>
          </a:endParaRPr>
        </a:p>
        <a:p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 conclusión se puede afirmar que los datos analizados son del tipo heterogeneo y que el 80 % de las edades están alejadas de los valores centrales. </a:t>
          </a:r>
          <a:endParaRPr lang="en-US">
            <a:effectLst/>
          </a:endParaRPr>
        </a:p>
        <a:p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Además, el 25% de los empleados tienen menos de 26 años; el 50%  menos de 34 y por ùltimo el 75% tienen menos de </a:t>
          </a:r>
          <a:endParaRPr lang="en-US">
            <a:effectLst/>
          </a:endParaRPr>
        </a:p>
        <a:p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38.333. 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185737</xdr:rowOff>
    </xdr:from>
    <xdr:to>
      <xdr:col>6</xdr:col>
      <xdr:colOff>276225</xdr:colOff>
      <xdr:row>27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0BC2806-E198-45A3-9281-44525DE2C8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657224</xdr:colOff>
      <xdr:row>13</xdr:row>
      <xdr:rowOff>33338</xdr:rowOff>
    </xdr:from>
    <xdr:to>
      <xdr:col>15</xdr:col>
      <xdr:colOff>361949</xdr:colOff>
      <xdr:row>21</xdr:row>
      <xdr:rowOff>142876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992940E6-7725-457E-BC61-2B4ECF52251C}"/>
            </a:ext>
          </a:extLst>
        </xdr:cNvPr>
        <xdr:cNvSpPr txBox="1"/>
      </xdr:nvSpPr>
      <xdr:spPr>
        <a:xfrm>
          <a:off x="5714999" y="2509838"/>
          <a:ext cx="6562725" cy="1633538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Cordoba, 27 de set de 2021</a:t>
          </a:r>
        </a:p>
        <a:p>
          <a:pPr algn="r"/>
          <a:endParaRPr lang="en-US">
            <a:effectLst/>
          </a:endParaRPr>
        </a:p>
        <a:p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realizó una encuesta a un grupo de jóvenes empresarios con la finalidad de conocer en profundidad cómo se siente en ésta cuarentena con respecto a la economía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traves de los datos obtenidos podemos decir que:</a:t>
          </a:r>
        </a:p>
        <a:p>
          <a:endParaRPr lang="en-US">
            <a:effectLst/>
          </a:endParaRPr>
        </a:p>
        <a:p>
          <a:r>
            <a:rPr lang="en-US" b="1">
              <a:effectLst/>
            </a:rPr>
            <a:t>La</a:t>
          </a:r>
          <a:r>
            <a:rPr lang="en-US" b="1" baseline="0">
              <a:effectLst/>
            </a:rPr>
            <a:t> mayoria de los jovenes se sienten positivos respecto a la economia, un 28.57% respectivamente.</a:t>
          </a:r>
        </a:p>
        <a:p>
          <a:r>
            <a:rPr lang="en-US" b="1" baseline="0">
              <a:effectLst/>
            </a:rPr>
            <a:t>Menos del 50% de los jovenes se sienten positivos y/o negativos, el resto se sienten esperanzados, inestables o han respondido NSNC. </a:t>
          </a:r>
        </a:p>
        <a:p>
          <a:r>
            <a:rPr lang="en-US" b="1" baseline="0">
              <a:effectLst/>
            </a:rPr>
            <a:t>La minoria ha respondido "esperanzado" o "inestable".</a:t>
          </a:r>
          <a:endParaRPr lang="en-US" b="1">
            <a:effectLst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A532-B86C-488B-88B6-43F3A97E4931}">
  <dimension ref="A1:I39"/>
  <sheetViews>
    <sheetView tabSelected="1" topLeftCell="A25" workbookViewId="0">
      <selection activeCell="C25" sqref="C25"/>
    </sheetView>
  </sheetViews>
  <sheetFormatPr baseColWidth="10" defaultRowHeight="15"/>
  <cols>
    <col min="3" max="3" width="13.28515625" bestFit="1" customWidth="1"/>
    <col min="7" max="7" width="13.28515625" customWidth="1"/>
    <col min="8" max="8" width="13" customWidth="1"/>
    <col min="9" max="9" width="15.7109375" customWidth="1"/>
  </cols>
  <sheetData>
    <row r="1" spans="1:9" ht="22.5">
      <c r="A1" s="1"/>
    </row>
    <row r="3" spans="1:9">
      <c r="A3" s="3">
        <v>5</v>
      </c>
      <c r="B3" s="3">
        <v>8</v>
      </c>
      <c r="C3" s="3">
        <v>3</v>
      </c>
      <c r="D3" s="3">
        <v>9</v>
      </c>
      <c r="E3" s="3">
        <v>6</v>
      </c>
      <c r="F3" s="3">
        <v>7</v>
      </c>
      <c r="G3" s="3">
        <v>10</v>
      </c>
      <c r="H3" s="3">
        <v>6</v>
      </c>
    </row>
    <row r="4" spans="1:9">
      <c r="A4" s="3">
        <v>7</v>
      </c>
      <c r="B4" s="3">
        <v>4</v>
      </c>
      <c r="C4" s="3">
        <v>6</v>
      </c>
      <c r="D4" s="3">
        <v>9</v>
      </c>
      <c r="E4" s="3">
        <v>5</v>
      </c>
      <c r="F4" s="3">
        <v>6</v>
      </c>
      <c r="G4" s="3">
        <v>7</v>
      </c>
      <c r="H4" s="3">
        <v>9</v>
      </c>
    </row>
    <row r="5" spans="1:9">
      <c r="A5" s="3">
        <v>4</v>
      </c>
      <c r="B5" s="3">
        <v>6</v>
      </c>
      <c r="C5" s="3">
        <v>8</v>
      </c>
      <c r="D5" s="3">
        <v>8</v>
      </c>
      <c r="E5" s="3">
        <v>2</v>
      </c>
      <c r="F5" s="3">
        <v>2</v>
      </c>
      <c r="G5" s="3">
        <v>7</v>
      </c>
      <c r="H5" s="3"/>
    </row>
    <row r="8" spans="1:9">
      <c r="A8" s="4" t="s">
        <v>0</v>
      </c>
      <c r="B8" s="4">
        <f>COUNT(A3:H5)</f>
        <v>23</v>
      </c>
    </row>
    <row r="9" spans="1:9">
      <c r="A9" s="2" t="s">
        <v>1</v>
      </c>
    </row>
    <row r="11" spans="1:9">
      <c r="A11" s="6" t="s">
        <v>2</v>
      </c>
      <c r="B11" s="6" t="s">
        <v>3</v>
      </c>
      <c r="C11" s="6" t="s">
        <v>4</v>
      </c>
      <c r="D11" s="6" t="s">
        <v>5</v>
      </c>
      <c r="E11" s="6" t="s">
        <v>6</v>
      </c>
      <c r="F11" s="6" t="s">
        <v>7</v>
      </c>
      <c r="G11" s="6" t="s">
        <v>8</v>
      </c>
      <c r="H11" s="6" t="s">
        <v>9</v>
      </c>
      <c r="I11" s="6" t="s">
        <v>10</v>
      </c>
    </row>
    <row r="12" spans="1:9">
      <c r="A12" s="7">
        <v>2</v>
      </c>
      <c r="B12" s="10">
        <f>COUNTIFS($A$3:$H$5,A12)</f>
        <v>2</v>
      </c>
      <c r="C12" s="10">
        <f>B12</f>
        <v>2</v>
      </c>
      <c r="D12" s="11">
        <f>B12/$B$21</f>
        <v>8.6956521739130432E-2</v>
      </c>
      <c r="E12" s="10">
        <f>A12*B12</f>
        <v>4</v>
      </c>
      <c r="F12" s="15">
        <f>ABS(A12-$C$24)</f>
        <v>4.2608695652173916</v>
      </c>
      <c r="G12" s="15">
        <f>F12*B12</f>
        <v>8.5217391304347831</v>
      </c>
      <c r="H12" s="15">
        <f>POWER(F12,2)</f>
        <v>18.155009451795845</v>
      </c>
      <c r="I12" s="15">
        <f>H12*B12</f>
        <v>36.31001890359169</v>
      </c>
    </row>
    <row r="13" spans="1:9">
      <c r="A13" s="7">
        <v>3</v>
      </c>
      <c r="B13" s="10">
        <f t="shared" ref="B13:B20" si="0">COUNTIFS($A$3:$H$5,A13)</f>
        <v>1</v>
      </c>
      <c r="C13" s="10">
        <f>SUM(C12,B13)</f>
        <v>3</v>
      </c>
      <c r="D13" s="11">
        <f t="shared" ref="D13:D20" si="1">B13/$B$21</f>
        <v>4.3478260869565216E-2</v>
      </c>
      <c r="E13" s="10">
        <f t="shared" ref="E13:E20" si="2">A13*B13</f>
        <v>3</v>
      </c>
      <c r="F13" s="15">
        <f t="shared" ref="F13:F20" si="3">ABS(A13-$C$24)</f>
        <v>3.2608695652173916</v>
      </c>
      <c r="G13" s="15">
        <f t="shared" ref="G13:G20" si="4">F13*B13</f>
        <v>3.2608695652173916</v>
      </c>
      <c r="H13" s="15">
        <f t="shared" ref="H13:H20" si="5">POWER(F13,2)</f>
        <v>10.63327032136106</v>
      </c>
      <c r="I13" s="15">
        <f t="shared" ref="I13:I20" si="6">H13*B13</f>
        <v>10.63327032136106</v>
      </c>
    </row>
    <row r="14" spans="1:9">
      <c r="A14" s="7">
        <v>4</v>
      </c>
      <c r="B14" s="10">
        <f t="shared" si="0"/>
        <v>2</v>
      </c>
      <c r="C14" s="10">
        <f>SUM(C13,B14)</f>
        <v>5</v>
      </c>
      <c r="D14" s="11">
        <f t="shared" si="1"/>
        <v>8.6956521739130432E-2</v>
      </c>
      <c r="E14" s="10">
        <f t="shared" si="2"/>
        <v>8</v>
      </c>
      <c r="F14" s="15">
        <f t="shared" si="3"/>
        <v>2.2608695652173916</v>
      </c>
      <c r="G14" s="15">
        <f t="shared" si="4"/>
        <v>4.5217391304347831</v>
      </c>
      <c r="H14" s="15">
        <f t="shared" si="5"/>
        <v>5.1115311909262768</v>
      </c>
      <c r="I14" s="15">
        <f t="shared" si="6"/>
        <v>10.223062381852554</v>
      </c>
    </row>
    <row r="15" spans="1:9">
      <c r="A15" s="7">
        <v>5</v>
      </c>
      <c r="B15" s="10">
        <f t="shared" si="0"/>
        <v>2</v>
      </c>
      <c r="C15" s="10">
        <f>SUM(C14,B15)</f>
        <v>7</v>
      </c>
      <c r="D15" s="11">
        <f t="shared" si="1"/>
        <v>8.6956521739130432E-2</v>
      </c>
      <c r="E15" s="10">
        <f t="shared" si="2"/>
        <v>10</v>
      </c>
      <c r="F15" s="15">
        <f t="shared" si="3"/>
        <v>1.2608695652173916</v>
      </c>
      <c r="G15" s="15">
        <f t="shared" si="4"/>
        <v>2.5217391304347831</v>
      </c>
      <c r="H15" s="15">
        <f t="shared" si="5"/>
        <v>1.5897920604914941</v>
      </c>
      <c r="I15" s="15">
        <f t="shared" si="6"/>
        <v>3.1795841209829883</v>
      </c>
    </row>
    <row r="16" spans="1:9">
      <c r="A16" s="7">
        <v>6</v>
      </c>
      <c r="B16" s="10">
        <f t="shared" si="0"/>
        <v>5</v>
      </c>
      <c r="C16" s="10">
        <f>SUM(C15,B16)</f>
        <v>12</v>
      </c>
      <c r="D16" s="11">
        <f t="shared" si="1"/>
        <v>0.21739130434782608</v>
      </c>
      <c r="E16" s="10">
        <f t="shared" si="2"/>
        <v>30</v>
      </c>
      <c r="F16" s="15">
        <f t="shared" si="3"/>
        <v>0.26086956521739157</v>
      </c>
      <c r="G16" s="15">
        <f t="shared" si="4"/>
        <v>1.3043478260869579</v>
      </c>
      <c r="H16" s="15">
        <f t="shared" si="5"/>
        <v>6.8052930056710911E-2</v>
      </c>
      <c r="I16" s="15">
        <f t="shared" si="6"/>
        <v>0.34026465028355457</v>
      </c>
    </row>
    <row r="17" spans="1:9">
      <c r="A17" s="7">
        <v>7</v>
      </c>
      <c r="B17" s="10">
        <f t="shared" si="0"/>
        <v>4</v>
      </c>
      <c r="C17" s="10">
        <f t="shared" ref="C17:C20" si="7">SUM(C16,B17)</f>
        <v>16</v>
      </c>
      <c r="D17" s="11">
        <f t="shared" si="1"/>
        <v>0.17391304347826086</v>
      </c>
      <c r="E17" s="10">
        <f t="shared" si="2"/>
        <v>28</v>
      </c>
      <c r="F17" s="15">
        <f t="shared" si="3"/>
        <v>0.73913043478260843</v>
      </c>
      <c r="G17" s="15">
        <f t="shared" si="4"/>
        <v>2.9565217391304337</v>
      </c>
      <c r="H17" s="15">
        <f t="shared" si="5"/>
        <v>0.54631379962192772</v>
      </c>
      <c r="I17" s="15">
        <f t="shared" si="6"/>
        <v>2.1852551984877109</v>
      </c>
    </row>
    <row r="18" spans="1:9">
      <c r="A18" s="7">
        <v>8</v>
      </c>
      <c r="B18" s="10">
        <f t="shared" si="0"/>
        <v>3</v>
      </c>
      <c r="C18" s="10">
        <f t="shared" si="7"/>
        <v>19</v>
      </c>
      <c r="D18" s="11">
        <f t="shared" si="1"/>
        <v>0.13043478260869565</v>
      </c>
      <c r="E18" s="10">
        <f t="shared" si="2"/>
        <v>24</v>
      </c>
      <c r="F18" s="15">
        <f t="shared" si="3"/>
        <v>1.7391304347826084</v>
      </c>
      <c r="G18" s="15">
        <f t="shared" si="4"/>
        <v>5.2173913043478253</v>
      </c>
      <c r="H18" s="15">
        <f t="shared" si="5"/>
        <v>3.0245746691871447</v>
      </c>
      <c r="I18" s="15">
        <f t="shared" si="6"/>
        <v>9.0737240075614345</v>
      </c>
    </row>
    <row r="19" spans="1:9">
      <c r="A19" s="7">
        <v>9</v>
      </c>
      <c r="B19" s="10">
        <f t="shared" si="0"/>
        <v>3</v>
      </c>
      <c r="C19" s="10">
        <f t="shared" si="7"/>
        <v>22</v>
      </c>
      <c r="D19" s="11">
        <f t="shared" si="1"/>
        <v>0.13043478260869565</v>
      </c>
      <c r="E19" s="10">
        <f t="shared" si="2"/>
        <v>27</v>
      </c>
      <c r="F19" s="15">
        <f t="shared" si="3"/>
        <v>2.7391304347826084</v>
      </c>
      <c r="G19" s="15">
        <f t="shared" si="4"/>
        <v>8.2173913043478244</v>
      </c>
      <c r="H19" s="15">
        <f t="shared" si="5"/>
        <v>7.5028355387523611</v>
      </c>
      <c r="I19" s="15">
        <f t="shared" si="6"/>
        <v>22.508506616257083</v>
      </c>
    </row>
    <row r="20" spans="1:9">
      <c r="A20" s="8">
        <v>10</v>
      </c>
      <c r="B20" s="10">
        <f t="shared" si="0"/>
        <v>1</v>
      </c>
      <c r="C20" s="10">
        <f t="shared" si="7"/>
        <v>23</v>
      </c>
      <c r="D20" s="11">
        <f t="shared" si="1"/>
        <v>4.3478260869565216E-2</v>
      </c>
      <c r="E20" s="10">
        <f t="shared" si="2"/>
        <v>10</v>
      </c>
      <c r="F20" s="15">
        <f t="shared" si="3"/>
        <v>3.7391304347826084</v>
      </c>
      <c r="G20" s="15">
        <f t="shared" si="4"/>
        <v>3.7391304347826084</v>
      </c>
      <c r="H20" s="15">
        <f t="shared" si="5"/>
        <v>13.981096408317578</v>
      </c>
      <c r="I20" s="15">
        <f t="shared" si="6"/>
        <v>13.981096408317578</v>
      </c>
    </row>
    <row r="21" spans="1:9">
      <c r="A21" s="7" t="s">
        <v>26</v>
      </c>
      <c r="B21" s="5">
        <f>SUM(B12:B20)</f>
        <v>23</v>
      </c>
      <c r="C21" s="9"/>
      <c r="D21" s="12">
        <f>SUM(D12:D20)</f>
        <v>1</v>
      </c>
      <c r="E21" s="5">
        <f>SUM(E12:E20)</f>
        <v>144</v>
      </c>
      <c r="F21" s="15"/>
      <c r="G21" s="16">
        <f>SUM(G12:G20)</f>
        <v>40.260869565217391</v>
      </c>
      <c r="H21" s="5"/>
      <c r="I21" s="16">
        <f>SUM(I12:I20)</f>
        <v>108.43478260869566</v>
      </c>
    </row>
    <row r="23" spans="1:9">
      <c r="B23" s="78" t="s">
        <v>11</v>
      </c>
      <c r="C23" s="78"/>
    </row>
    <row r="24" spans="1:9">
      <c r="B24" s="13" t="s">
        <v>12</v>
      </c>
      <c r="C24" s="14">
        <f>E21/B8</f>
        <v>6.2608695652173916</v>
      </c>
    </row>
    <row r="25" spans="1:9">
      <c r="B25" s="13" t="s">
        <v>13</v>
      </c>
      <c r="C25" s="7">
        <v>6</v>
      </c>
      <c r="D25">
        <f>(B8+1)/2</f>
        <v>12</v>
      </c>
    </row>
    <row r="26" spans="1:9">
      <c r="B26" s="13" t="s">
        <v>14</v>
      </c>
      <c r="C26" s="7">
        <v>6</v>
      </c>
    </row>
    <row r="28" spans="1:9">
      <c r="B28" s="78" t="s">
        <v>15</v>
      </c>
      <c r="C28" s="78"/>
    </row>
    <row r="29" spans="1:9">
      <c r="B29" s="13" t="s">
        <v>16</v>
      </c>
      <c r="C29" s="5">
        <f>A20-A12</f>
        <v>8</v>
      </c>
    </row>
    <row r="30" spans="1:9">
      <c r="B30" s="13" t="s">
        <v>17</v>
      </c>
      <c r="C30" s="16">
        <f>G21/B8</f>
        <v>1.7504725897920606</v>
      </c>
    </row>
    <row r="31" spans="1:9">
      <c r="B31" s="13" t="s">
        <v>18</v>
      </c>
      <c r="C31" s="16">
        <f>I21/B8</f>
        <v>4.7145557655954633</v>
      </c>
    </row>
    <row r="32" spans="1:9">
      <c r="B32" s="13" t="s">
        <v>19</v>
      </c>
      <c r="C32" s="16">
        <f>SQRT(C31)</f>
        <v>2.1713027807276126</v>
      </c>
    </row>
    <row r="33" spans="2:4">
      <c r="B33" s="13" t="s">
        <v>20</v>
      </c>
      <c r="C33" s="11">
        <f>C32/C24</f>
        <v>0.34680530525510478</v>
      </c>
    </row>
    <row r="35" spans="2:4">
      <c r="B35" s="78" t="s">
        <v>21</v>
      </c>
      <c r="C35" s="78"/>
    </row>
    <row r="36" spans="2:4">
      <c r="B36" s="13" t="s">
        <v>22</v>
      </c>
      <c r="C36" s="5">
        <v>5</v>
      </c>
      <c r="D36">
        <f>(1*$B$8)/4</f>
        <v>5.75</v>
      </c>
    </row>
    <row r="37" spans="2:4">
      <c r="B37" s="13" t="s">
        <v>23</v>
      </c>
      <c r="C37" s="5">
        <v>6</v>
      </c>
      <c r="D37">
        <f>(2*$B$8)/4</f>
        <v>11.5</v>
      </c>
    </row>
    <row r="38" spans="2:4">
      <c r="B38" s="13" t="s">
        <v>24</v>
      </c>
      <c r="C38" s="5">
        <v>8</v>
      </c>
      <c r="D38">
        <f>(3*$B$8)/4</f>
        <v>17.25</v>
      </c>
    </row>
    <row r="39" spans="2:4">
      <c r="B39" s="13" t="s">
        <v>25</v>
      </c>
      <c r="C39" s="5">
        <v>10</v>
      </c>
      <c r="D39">
        <f>(4*$B$8)/4</f>
        <v>23</v>
      </c>
    </row>
  </sheetData>
  <mergeCells count="3">
    <mergeCell ref="B23:C23"/>
    <mergeCell ref="B28:C28"/>
    <mergeCell ref="B35:C3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3CE47-BC17-4621-A595-C9688849148B}">
  <dimension ref="A1:O31"/>
  <sheetViews>
    <sheetView topLeftCell="L1" workbookViewId="0">
      <selection activeCell="O26" sqref="O26"/>
    </sheetView>
  </sheetViews>
  <sheetFormatPr baseColWidth="10" defaultRowHeight="15"/>
  <cols>
    <col min="4" max="4" width="10" customWidth="1"/>
  </cols>
  <sheetData>
    <row r="1" spans="1:13" ht="18.75">
      <c r="A1" s="32">
        <v>3</v>
      </c>
      <c r="B1" s="32">
        <v>4</v>
      </c>
      <c r="C1" s="32">
        <v>2</v>
      </c>
      <c r="D1" s="32">
        <v>1</v>
      </c>
      <c r="E1" s="32">
        <v>3</v>
      </c>
      <c r="F1" s="32">
        <v>6</v>
      </c>
      <c r="G1" s="32">
        <v>5</v>
      </c>
      <c r="H1" s="32">
        <v>2</v>
      </c>
    </row>
    <row r="2" spans="1:13" ht="18.75">
      <c r="A2" s="32">
        <v>1</v>
      </c>
      <c r="B2" s="32">
        <v>5</v>
      </c>
      <c r="C2" s="32">
        <v>4</v>
      </c>
      <c r="D2" s="32">
        <v>2</v>
      </c>
      <c r="E2" s="32">
        <v>1</v>
      </c>
      <c r="F2" s="32">
        <v>0</v>
      </c>
      <c r="G2" s="32">
        <v>1</v>
      </c>
      <c r="H2" s="32">
        <v>4</v>
      </c>
    </row>
    <row r="3" spans="1:13" ht="18.75">
      <c r="A3" s="32">
        <v>2</v>
      </c>
      <c r="B3" s="32">
        <v>1</v>
      </c>
      <c r="C3" s="32">
        <v>0</v>
      </c>
      <c r="D3" s="32">
        <v>4</v>
      </c>
      <c r="E3" s="32">
        <v>6</v>
      </c>
      <c r="F3" s="32">
        <v>5</v>
      </c>
      <c r="G3" s="32">
        <v>5</v>
      </c>
      <c r="H3" s="32">
        <v>1</v>
      </c>
    </row>
    <row r="4" spans="1:13" ht="18.75">
      <c r="A4" s="32">
        <v>3</v>
      </c>
      <c r="B4" s="32">
        <v>3</v>
      </c>
      <c r="C4" s="32">
        <v>2</v>
      </c>
      <c r="D4" s="32">
        <v>2</v>
      </c>
      <c r="E4" s="32">
        <v>1</v>
      </c>
      <c r="F4" s="32">
        <v>5</v>
      </c>
      <c r="G4" s="32">
        <v>6</v>
      </c>
      <c r="H4" s="32">
        <v>6</v>
      </c>
    </row>
    <row r="5" spans="1:13" ht="18.75">
      <c r="A5" s="32">
        <v>1</v>
      </c>
      <c r="B5" s="32">
        <v>1</v>
      </c>
      <c r="C5" s="32">
        <v>3</v>
      </c>
      <c r="D5" s="32">
        <v>5</v>
      </c>
      <c r="E5" s="32">
        <v>4</v>
      </c>
      <c r="F5" s="32">
        <v>4</v>
      </c>
      <c r="G5" s="32">
        <v>2</v>
      </c>
      <c r="H5" s="32">
        <v>0</v>
      </c>
    </row>
    <row r="6" spans="1:13" ht="18.75">
      <c r="A6" s="32">
        <v>0</v>
      </c>
      <c r="B6" s="32">
        <v>2</v>
      </c>
      <c r="C6" s="32">
        <v>1</v>
      </c>
      <c r="D6" s="32">
        <v>4</v>
      </c>
      <c r="E6" s="32">
        <v>3</v>
      </c>
      <c r="F6" s="32">
        <v>1</v>
      </c>
      <c r="G6" s="32">
        <v>5</v>
      </c>
      <c r="H6" s="32">
        <v>1</v>
      </c>
    </row>
    <row r="8" spans="1:13">
      <c r="A8" s="17" t="s">
        <v>0</v>
      </c>
      <c r="B8" s="17">
        <f>COUNT(A1:H6)</f>
        <v>48</v>
      </c>
      <c r="C8" s="20" t="s">
        <v>32</v>
      </c>
      <c r="D8" s="20" t="s">
        <v>33</v>
      </c>
      <c r="E8" s="20" t="s">
        <v>3</v>
      </c>
      <c r="F8" s="21" t="s">
        <v>34</v>
      </c>
      <c r="G8" s="20" t="s">
        <v>5</v>
      </c>
      <c r="H8" s="20" t="s">
        <v>35</v>
      </c>
      <c r="I8" s="20" t="s">
        <v>36</v>
      </c>
      <c r="J8" s="20" t="s">
        <v>37</v>
      </c>
      <c r="K8" s="20" t="s">
        <v>38</v>
      </c>
      <c r="L8" s="22" t="s">
        <v>39</v>
      </c>
      <c r="M8" s="22" t="s">
        <v>40</v>
      </c>
    </row>
    <row r="9" spans="1:13">
      <c r="C9" s="23">
        <v>0</v>
      </c>
      <c r="D9" s="23">
        <v>1</v>
      </c>
      <c r="E9" s="7" cm="1">
        <f t="array" ref="E9:E13">FREQUENCY(A1:H6,D9:D12)</f>
        <v>16</v>
      </c>
      <c r="F9" s="7">
        <f>E9</f>
        <v>16</v>
      </c>
      <c r="G9" s="33">
        <f>E9/$B$8</f>
        <v>0.33333333333333331</v>
      </c>
      <c r="H9" s="14">
        <f>(C9+D9)/2</f>
        <v>0.5</v>
      </c>
      <c r="I9" s="7">
        <f>H9*E9</f>
        <v>8</v>
      </c>
      <c r="J9" s="14">
        <f>ABS(H9-$D$16)</f>
        <v>2.25</v>
      </c>
      <c r="K9" s="14">
        <f>J9*E9</f>
        <v>36</v>
      </c>
      <c r="L9" s="14">
        <f>POWER(J9,2)</f>
        <v>5.0625</v>
      </c>
      <c r="M9" s="14">
        <f>L9*E9</f>
        <v>81</v>
      </c>
    </row>
    <row r="10" spans="1:13">
      <c r="A10" s="17" t="s">
        <v>27</v>
      </c>
      <c r="C10" s="23">
        <v>2</v>
      </c>
      <c r="D10" s="23">
        <v>3</v>
      </c>
      <c r="E10" s="7">
        <v>14</v>
      </c>
      <c r="F10" s="7">
        <f>SUM(F9,E10)</f>
        <v>30</v>
      </c>
      <c r="G10" s="33">
        <f t="shared" ref="G10:G12" si="0">E10/$B$8</f>
        <v>0.29166666666666669</v>
      </c>
      <c r="H10" s="14">
        <f t="shared" ref="H10:H12" si="1">(C10+D10)/2</f>
        <v>2.5</v>
      </c>
      <c r="I10" s="7">
        <f t="shared" ref="I10:I12" si="2">H10*E10</f>
        <v>35</v>
      </c>
      <c r="J10" s="14">
        <f t="shared" ref="J10:J12" si="3">ABS(H10-$D$16)</f>
        <v>0.25</v>
      </c>
      <c r="K10" s="14">
        <f t="shared" ref="K10:K12" si="4">J10*E10</f>
        <v>3.5</v>
      </c>
      <c r="L10" s="14">
        <f t="shared" ref="L10:L12" si="5">POWER(J10,2)</f>
        <v>6.25E-2</v>
      </c>
      <c r="M10" s="14">
        <f t="shared" ref="M10:M12" si="6">L10*E10</f>
        <v>0.875</v>
      </c>
    </row>
    <row r="11" spans="1:13">
      <c r="A11" s="17" t="s">
        <v>28</v>
      </c>
      <c r="B11" s="18">
        <f>SQRT(B8)</f>
        <v>6.9282032302755088</v>
      </c>
      <c r="C11" s="23">
        <v>4</v>
      </c>
      <c r="D11" s="23">
        <v>5</v>
      </c>
      <c r="E11" s="7">
        <v>14</v>
      </c>
      <c r="F11" s="7">
        <f t="shared" ref="F11:F12" si="7">SUM(F10,E11)</f>
        <v>44</v>
      </c>
      <c r="G11" s="33">
        <f t="shared" si="0"/>
        <v>0.29166666666666669</v>
      </c>
      <c r="H11" s="14">
        <f t="shared" si="1"/>
        <v>4.5</v>
      </c>
      <c r="I11" s="7">
        <f t="shared" si="2"/>
        <v>63</v>
      </c>
      <c r="J11" s="14">
        <f t="shared" si="3"/>
        <v>1.75</v>
      </c>
      <c r="K11" s="14">
        <f t="shared" si="4"/>
        <v>24.5</v>
      </c>
      <c r="L11" s="14">
        <f t="shared" si="5"/>
        <v>3.0625</v>
      </c>
      <c r="M11" s="14">
        <f t="shared" si="6"/>
        <v>42.875</v>
      </c>
    </row>
    <row r="12" spans="1:13">
      <c r="A12" s="17" t="s">
        <v>29</v>
      </c>
      <c r="B12" s="18">
        <f>(B14-B15)/B11</f>
        <v>0.86602540378443871</v>
      </c>
      <c r="C12" s="23">
        <v>6</v>
      </c>
      <c r="D12" s="23">
        <v>7</v>
      </c>
      <c r="E12" s="7">
        <v>4</v>
      </c>
      <c r="F12" s="7">
        <f t="shared" si="7"/>
        <v>48</v>
      </c>
      <c r="G12" s="33">
        <f t="shared" si="0"/>
        <v>8.3333333333333329E-2</v>
      </c>
      <c r="H12" s="14">
        <f t="shared" si="1"/>
        <v>6.5</v>
      </c>
      <c r="I12" s="7">
        <f t="shared" si="2"/>
        <v>26</v>
      </c>
      <c r="J12" s="14">
        <f t="shared" si="3"/>
        <v>3.75</v>
      </c>
      <c r="K12" s="14">
        <f t="shared" si="4"/>
        <v>15</v>
      </c>
      <c r="L12" s="14">
        <f t="shared" si="5"/>
        <v>14.0625</v>
      </c>
      <c r="M12" s="14">
        <f t="shared" si="6"/>
        <v>56.25</v>
      </c>
    </row>
    <row r="13" spans="1:13">
      <c r="C13" s="7"/>
      <c r="D13" s="7"/>
      <c r="E13" s="7">
        <v>0</v>
      </c>
      <c r="F13" s="7"/>
      <c r="G13" s="7"/>
      <c r="H13" s="7"/>
      <c r="I13" s="7">
        <f>SUM(I9:I12)</f>
        <v>132</v>
      </c>
      <c r="J13" s="7"/>
      <c r="K13" s="7">
        <f>SUM(K9:K12)</f>
        <v>79</v>
      </c>
      <c r="L13" s="7"/>
      <c r="M13" s="14">
        <f>SUM(M9:M12)</f>
        <v>181</v>
      </c>
    </row>
    <row r="14" spans="1:13">
      <c r="A14" s="17" t="s">
        <v>30</v>
      </c>
      <c r="B14" s="17">
        <f>MAX(A1:H6)</f>
        <v>6</v>
      </c>
    </row>
    <row r="15" spans="1:13">
      <c r="A15" s="17" t="s">
        <v>31</v>
      </c>
      <c r="B15" s="17">
        <f>MIN(A1:H6)</f>
        <v>0</v>
      </c>
      <c r="C15" s="79" t="s">
        <v>11</v>
      </c>
      <c r="D15" s="80"/>
    </row>
    <row r="16" spans="1:13">
      <c r="C16" s="20" t="s">
        <v>2</v>
      </c>
      <c r="D16" s="27">
        <f>I13/B8</f>
        <v>2.75</v>
      </c>
    </row>
    <row r="17" spans="3:15">
      <c r="C17" s="20" t="s">
        <v>41</v>
      </c>
      <c r="D17" s="28">
        <f>2+((48/2-16)/14)*1</f>
        <v>2.5714285714285712</v>
      </c>
      <c r="E17" s="17">
        <f>(B8+1)/2</f>
        <v>24.5</v>
      </c>
      <c r="F17" s="17" t="s">
        <v>51</v>
      </c>
    </row>
    <row r="18" spans="3:15">
      <c r="C18" s="20" t="s">
        <v>42</v>
      </c>
      <c r="D18" s="28">
        <f>C10+(F18/(F18+F19))*1</f>
        <v>3</v>
      </c>
      <c r="E18" s="17" t="s">
        <v>49</v>
      </c>
      <c r="F18" s="17">
        <f>E10-E9</f>
        <v>-2</v>
      </c>
      <c r="O18" s="34"/>
    </row>
    <row r="19" spans="3:15">
      <c r="C19" s="25"/>
      <c r="D19" s="25"/>
      <c r="E19" s="17" t="s">
        <v>50</v>
      </c>
      <c r="F19" s="17">
        <f>E10-E11</f>
        <v>0</v>
      </c>
    </row>
    <row r="20" spans="3:15">
      <c r="C20" s="25"/>
      <c r="D20" s="25"/>
    </row>
    <row r="21" spans="3:15">
      <c r="C21" s="81" t="s">
        <v>43</v>
      </c>
      <c r="D21" s="82"/>
    </row>
    <row r="22" spans="3:15">
      <c r="C22" s="26" t="s">
        <v>16</v>
      </c>
      <c r="D22" s="29">
        <f>B14-B15</f>
        <v>6</v>
      </c>
    </row>
    <row r="23" spans="3:15">
      <c r="C23" s="26" t="s">
        <v>44</v>
      </c>
      <c r="D23" s="30">
        <f>K13/B8</f>
        <v>1.6458333333333333</v>
      </c>
    </row>
    <row r="24" spans="3:15">
      <c r="C24" s="26" t="s">
        <v>45</v>
      </c>
      <c r="D24" s="30">
        <f>M13/B8</f>
        <v>3.7708333333333335</v>
      </c>
    </row>
    <row r="25" spans="3:15">
      <c r="C25" s="26" t="s">
        <v>46</v>
      </c>
      <c r="D25" s="30">
        <f>SQRT(D24)</f>
        <v>1.9418633662885072</v>
      </c>
    </row>
    <row r="26" spans="3:15">
      <c r="C26" s="26" t="s">
        <v>47</v>
      </c>
      <c r="D26" s="31">
        <f>D25/D16</f>
        <v>0.7061321331958208</v>
      </c>
    </row>
    <row r="27" spans="3:15">
      <c r="C27" s="9"/>
      <c r="D27" s="9"/>
    </row>
    <row r="28" spans="3:15">
      <c r="C28" s="79" t="s">
        <v>48</v>
      </c>
      <c r="D28" s="80"/>
    </row>
    <row r="29" spans="3:15">
      <c r="C29" s="19" t="s">
        <v>22</v>
      </c>
      <c r="D29" s="30">
        <f>0+((E29-0)/16)*1</f>
        <v>0.75</v>
      </c>
      <c r="E29">
        <f>(1*B8)/4</f>
        <v>12</v>
      </c>
    </row>
    <row r="30" spans="3:15">
      <c r="C30" s="19" t="s">
        <v>23</v>
      </c>
      <c r="D30" s="30">
        <f>2+((24-16)/14)*1</f>
        <v>2.5714285714285712</v>
      </c>
      <c r="E30">
        <f>(2*B8)/4</f>
        <v>24</v>
      </c>
    </row>
    <row r="31" spans="3:15">
      <c r="C31" s="19" t="s">
        <v>24</v>
      </c>
      <c r="D31" s="30">
        <f>4+((36-30)/14)*1</f>
        <v>4.4285714285714288</v>
      </c>
      <c r="E31">
        <f>(3*B8)/4</f>
        <v>36</v>
      </c>
    </row>
  </sheetData>
  <mergeCells count="3">
    <mergeCell ref="C15:D15"/>
    <mergeCell ref="C21:D21"/>
    <mergeCell ref="C28:D2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D1644-72F8-4C85-A8FE-C6EBBDCA8261}">
  <dimension ref="A1:N24"/>
  <sheetViews>
    <sheetView topLeftCell="A7" workbookViewId="0">
      <selection activeCell="B11" sqref="B11"/>
    </sheetView>
  </sheetViews>
  <sheetFormatPr baseColWidth="10" defaultRowHeight="15"/>
  <cols>
    <col min="2" max="2" width="11.85546875" bestFit="1" customWidth="1"/>
  </cols>
  <sheetData>
    <row r="1" spans="1:14" ht="15.75" thickBot="1">
      <c r="A1" s="35">
        <v>3.6</v>
      </c>
      <c r="B1" s="36">
        <v>1.9</v>
      </c>
      <c r="C1" s="36">
        <v>2.1</v>
      </c>
      <c r="D1" s="36">
        <v>0.3</v>
      </c>
      <c r="E1" s="36">
        <v>0.8</v>
      </c>
      <c r="F1" s="36">
        <v>0.2</v>
      </c>
      <c r="G1" s="36">
        <v>1</v>
      </c>
      <c r="H1" s="36">
        <v>1.4</v>
      </c>
      <c r="I1" s="36">
        <v>1.8</v>
      </c>
      <c r="J1" s="36">
        <v>1.6</v>
      </c>
    </row>
    <row r="2" spans="1:14" ht="15.75" thickBot="1">
      <c r="A2" s="37">
        <v>1.1000000000000001</v>
      </c>
      <c r="B2" s="38">
        <v>1.8</v>
      </c>
      <c r="C2" s="38">
        <v>0.3</v>
      </c>
      <c r="D2" s="38">
        <v>1.1000000000000001</v>
      </c>
      <c r="E2" s="38">
        <v>0.5</v>
      </c>
      <c r="F2" s="38">
        <v>1.2</v>
      </c>
      <c r="G2" s="38">
        <v>0.6</v>
      </c>
      <c r="H2" s="38">
        <v>1.1000000000000001</v>
      </c>
      <c r="I2" s="38">
        <v>0.8</v>
      </c>
      <c r="J2" s="38">
        <v>1.7</v>
      </c>
    </row>
    <row r="3" spans="1:14" ht="15.75" thickBot="1">
      <c r="A3" s="37">
        <v>1.4</v>
      </c>
      <c r="B3" s="38">
        <v>0.2</v>
      </c>
      <c r="C3" s="38">
        <v>1.3</v>
      </c>
      <c r="D3" s="38">
        <v>3.1</v>
      </c>
      <c r="E3" s="38">
        <v>0.4</v>
      </c>
      <c r="F3" s="38">
        <v>2.2999999999999998</v>
      </c>
      <c r="G3" s="38">
        <v>1.8</v>
      </c>
      <c r="H3" s="38">
        <v>4.5</v>
      </c>
      <c r="I3" s="38">
        <v>0.9</v>
      </c>
      <c r="J3" s="38">
        <v>0.7</v>
      </c>
    </row>
    <row r="4" spans="1:14" ht="15.75" thickBot="1">
      <c r="A4" s="37">
        <v>0.6</v>
      </c>
      <c r="B4" s="38">
        <v>2.8</v>
      </c>
      <c r="C4" s="38">
        <v>2.5</v>
      </c>
      <c r="D4" s="38">
        <v>1.1000000000000001</v>
      </c>
      <c r="E4" s="38">
        <v>0.4</v>
      </c>
      <c r="F4" s="38">
        <v>1.2</v>
      </c>
      <c r="G4" s="38">
        <v>0.4</v>
      </c>
      <c r="H4" s="38">
        <v>1.3</v>
      </c>
      <c r="I4" s="38">
        <v>0.8</v>
      </c>
      <c r="J4" s="38">
        <v>1.3</v>
      </c>
    </row>
    <row r="5" spans="1:14" ht="15.75" thickBot="1">
      <c r="A5" s="37">
        <v>1.1000000000000001</v>
      </c>
      <c r="B5" s="38">
        <v>1.2</v>
      </c>
      <c r="C5" s="38">
        <v>0.8</v>
      </c>
      <c r="D5" s="38">
        <v>1</v>
      </c>
      <c r="E5" s="38">
        <v>0.9</v>
      </c>
      <c r="F5" s="38">
        <v>0.7</v>
      </c>
      <c r="G5" s="38">
        <v>3.1</v>
      </c>
      <c r="H5" s="38">
        <v>1.7</v>
      </c>
      <c r="I5" s="38">
        <v>1.1000000000000001</v>
      </c>
      <c r="J5" s="38">
        <v>2.2000000000000002</v>
      </c>
    </row>
    <row r="6" spans="1:14" ht="15.75" thickBot="1">
      <c r="A6" s="37">
        <v>1.6</v>
      </c>
      <c r="B6" s="38">
        <v>1.9</v>
      </c>
      <c r="C6" s="38">
        <v>5.2</v>
      </c>
      <c r="D6" s="38">
        <v>0.5</v>
      </c>
      <c r="E6" s="38">
        <v>1.8</v>
      </c>
      <c r="F6" s="38">
        <v>0.3</v>
      </c>
      <c r="G6" s="38">
        <v>1.1000000000000001</v>
      </c>
      <c r="H6" s="38">
        <v>0.6</v>
      </c>
      <c r="I6" s="38">
        <v>0.7</v>
      </c>
      <c r="J6" s="38">
        <v>0.6</v>
      </c>
    </row>
    <row r="8" spans="1:14">
      <c r="A8" s="39" t="s">
        <v>0</v>
      </c>
      <c r="B8">
        <f>COUNT(A1:J6)</f>
        <v>60</v>
      </c>
      <c r="D8" s="48" t="s">
        <v>32</v>
      </c>
      <c r="E8" s="48" t="s">
        <v>33</v>
      </c>
      <c r="F8" s="48" t="s">
        <v>3</v>
      </c>
      <c r="G8" s="48" t="s">
        <v>4</v>
      </c>
      <c r="H8" s="48" t="s">
        <v>5</v>
      </c>
      <c r="I8" s="49" t="s">
        <v>35</v>
      </c>
      <c r="J8" s="48" t="s">
        <v>53</v>
      </c>
      <c r="K8" s="48" t="s">
        <v>54</v>
      </c>
      <c r="L8" s="50" t="s">
        <v>55</v>
      </c>
      <c r="M8" s="48" t="s">
        <v>56</v>
      </c>
      <c r="N8" s="48" t="s">
        <v>57</v>
      </c>
    </row>
    <row r="9" spans="1:14">
      <c r="D9" s="41">
        <v>0.2</v>
      </c>
      <c r="E9" s="41">
        <f>D9+1</f>
        <v>1.2</v>
      </c>
      <c r="F9" s="41" cm="1">
        <f t="array" ref="F9:F14">FREQUENCY(A1:J6,E9:E13)</f>
        <v>35</v>
      </c>
      <c r="G9" s="41">
        <v>35</v>
      </c>
      <c r="H9" s="42">
        <f>F9/$B$8</f>
        <v>0.58333333333333337</v>
      </c>
      <c r="I9" s="43">
        <f>(D9+E9)/2</f>
        <v>0.7</v>
      </c>
      <c r="J9" s="44">
        <f>I9*F9</f>
        <v>24.5</v>
      </c>
      <c r="K9" s="45">
        <f>ABS(I9-$H$19)</f>
        <v>0.65999999999999992</v>
      </c>
      <c r="L9" s="46">
        <f>K9*F9</f>
        <v>23.099999999999998</v>
      </c>
      <c r="M9" s="14">
        <f>POWER(K9,2)</f>
        <v>0.43559999999999988</v>
      </c>
      <c r="N9" s="14">
        <f>M9*F9</f>
        <v>15.245999999999995</v>
      </c>
    </row>
    <row r="10" spans="1:14">
      <c r="A10" t="s">
        <v>28</v>
      </c>
      <c r="B10" s="40">
        <f>SQRT(B8)</f>
        <v>7.745966692414834</v>
      </c>
      <c r="D10" s="51">
        <f>E9+0.1</f>
        <v>1.3</v>
      </c>
      <c r="E10" s="41">
        <f t="shared" ref="E10:E13" si="0">D10+1</f>
        <v>2.2999999999999998</v>
      </c>
      <c r="F10" s="51">
        <v>18</v>
      </c>
      <c r="G10" s="51">
        <f>G9+F10</f>
        <v>53</v>
      </c>
      <c r="H10" s="42">
        <f t="shared" ref="H10:H13" si="1">F10/$B$8</f>
        <v>0.3</v>
      </c>
      <c r="I10" s="43">
        <f t="shared" ref="I10:I13" si="2">(D10+E10)/2</f>
        <v>1.7999999999999998</v>
      </c>
      <c r="J10" s="44">
        <f t="shared" ref="J10:J13" si="3">I10*F10</f>
        <v>32.4</v>
      </c>
      <c r="K10" s="45">
        <f t="shared" ref="K10:K13" si="4">ABS(I10-$H$19)</f>
        <v>0.43999999999999995</v>
      </c>
      <c r="L10" s="46">
        <f t="shared" ref="L10:L13" si="5">K10*F10</f>
        <v>7.919999999999999</v>
      </c>
      <c r="M10" s="14">
        <f t="shared" ref="M10:M13" si="6">POWER(K10,2)</f>
        <v>0.19359999999999997</v>
      </c>
      <c r="N10" s="14">
        <f t="shared" ref="N10:N13" si="7">M10*F10</f>
        <v>3.4847999999999995</v>
      </c>
    </row>
    <row r="11" spans="1:14">
      <c r="A11" t="s">
        <v>52</v>
      </c>
      <c r="B11" s="40">
        <f>(B13-B14)/B10</f>
        <v>0.6454972243679028</v>
      </c>
      <c r="D11" s="51">
        <f t="shared" ref="D11:D13" si="8">E10+0.1</f>
        <v>2.4</v>
      </c>
      <c r="E11" s="41">
        <f t="shared" si="0"/>
        <v>3.4</v>
      </c>
      <c r="F11" s="52">
        <v>4</v>
      </c>
      <c r="G11" s="51">
        <f t="shared" ref="G11:G13" si="9">G10+F11</f>
        <v>57</v>
      </c>
      <c r="H11" s="42">
        <f t="shared" si="1"/>
        <v>6.6666666666666666E-2</v>
      </c>
      <c r="I11" s="43">
        <f t="shared" si="2"/>
        <v>2.9</v>
      </c>
      <c r="J11" s="44">
        <f t="shared" si="3"/>
        <v>11.6</v>
      </c>
      <c r="K11" s="45">
        <f t="shared" si="4"/>
        <v>1.54</v>
      </c>
      <c r="L11" s="46">
        <f t="shared" si="5"/>
        <v>6.16</v>
      </c>
      <c r="M11" s="14">
        <f t="shared" si="6"/>
        <v>2.3715999999999999</v>
      </c>
      <c r="N11" s="14">
        <f t="shared" si="7"/>
        <v>9.4863999999999997</v>
      </c>
    </row>
    <row r="12" spans="1:14">
      <c r="D12" s="51">
        <f t="shared" si="8"/>
        <v>3.5</v>
      </c>
      <c r="E12" s="41">
        <f t="shared" si="0"/>
        <v>4.5</v>
      </c>
      <c r="F12" s="47">
        <v>2</v>
      </c>
      <c r="G12" s="51">
        <f t="shared" si="9"/>
        <v>59</v>
      </c>
      <c r="H12" s="42">
        <f t="shared" si="1"/>
        <v>3.3333333333333333E-2</v>
      </c>
      <c r="I12" s="43">
        <f t="shared" si="2"/>
        <v>4</v>
      </c>
      <c r="J12" s="44">
        <f t="shared" si="3"/>
        <v>8</v>
      </c>
      <c r="K12" s="45">
        <f t="shared" si="4"/>
        <v>2.64</v>
      </c>
      <c r="L12" s="46">
        <f t="shared" si="5"/>
        <v>5.28</v>
      </c>
      <c r="M12" s="14">
        <f t="shared" si="6"/>
        <v>6.9696000000000007</v>
      </c>
      <c r="N12" s="14">
        <f t="shared" si="7"/>
        <v>13.939200000000001</v>
      </c>
    </row>
    <row r="13" spans="1:14">
      <c r="A13" t="s">
        <v>33</v>
      </c>
      <c r="B13">
        <f>MAX(A1:J6)</f>
        <v>5.2</v>
      </c>
      <c r="D13" s="51">
        <f t="shared" si="8"/>
        <v>4.5999999999999996</v>
      </c>
      <c r="E13" s="41">
        <f t="shared" si="0"/>
        <v>5.6</v>
      </c>
      <c r="F13" s="47">
        <v>1</v>
      </c>
      <c r="G13" s="51">
        <f t="shared" si="9"/>
        <v>60</v>
      </c>
      <c r="H13" s="42">
        <f t="shared" si="1"/>
        <v>1.6666666666666666E-2</v>
      </c>
      <c r="I13" s="43">
        <f t="shared" si="2"/>
        <v>5.0999999999999996</v>
      </c>
      <c r="J13" s="44">
        <f t="shared" si="3"/>
        <v>5.0999999999999996</v>
      </c>
      <c r="K13" s="45">
        <f t="shared" si="4"/>
        <v>3.7399999999999998</v>
      </c>
      <c r="L13" s="46">
        <f t="shared" si="5"/>
        <v>3.7399999999999998</v>
      </c>
      <c r="M13" s="14">
        <f t="shared" si="6"/>
        <v>13.987599999999999</v>
      </c>
      <c r="N13" s="14">
        <f t="shared" si="7"/>
        <v>13.987599999999999</v>
      </c>
    </row>
    <row r="14" spans="1:14">
      <c r="A14" t="s">
        <v>32</v>
      </c>
      <c r="B14">
        <f>MIN(A1:J6)</f>
        <v>0.2</v>
      </c>
      <c r="D14" s="51"/>
      <c r="E14" s="41"/>
      <c r="F14" s="41">
        <v>0</v>
      </c>
      <c r="G14" s="51"/>
      <c r="H14" s="42"/>
      <c r="I14" s="43"/>
      <c r="J14" s="44"/>
      <c r="K14" s="45"/>
      <c r="L14" s="46"/>
      <c r="M14" s="14"/>
      <c r="N14" s="14"/>
    </row>
    <row r="15" spans="1:14">
      <c r="D15" s="9"/>
      <c r="E15" s="9"/>
      <c r="F15" s="9">
        <f>SUM(_xlfn.ANCHORARRAY(F9))</f>
        <v>60</v>
      </c>
      <c r="G15" s="9"/>
      <c r="H15" s="9"/>
      <c r="I15" s="9"/>
      <c r="J15" s="57">
        <f>SUM(J9:J13)</f>
        <v>81.599999999999994</v>
      </c>
      <c r="K15" s="9"/>
      <c r="L15" s="61">
        <f>SUM(L9:L13)</f>
        <v>46.199999999999996</v>
      </c>
      <c r="M15" s="9"/>
      <c r="N15" s="62">
        <f>SUM(N9:N13)</f>
        <v>56.143999999999998</v>
      </c>
    </row>
    <row r="16" spans="1:14">
      <c r="D16" s="9"/>
      <c r="E16" s="9"/>
      <c r="F16" s="9"/>
      <c r="G16" s="9"/>
      <c r="H16" s="9"/>
      <c r="I16" s="9"/>
      <c r="J16" s="57"/>
      <c r="K16" s="9"/>
      <c r="L16" s="9"/>
      <c r="M16" s="9"/>
      <c r="N16" s="9"/>
    </row>
    <row r="18" spans="4:12">
      <c r="D18" s="83" t="s">
        <v>43</v>
      </c>
      <c r="E18" s="83"/>
      <c r="G18" s="84" t="s">
        <v>11</v>
      </c>
      <c r="H18" s="85"/>
      <c r="J18" s="83" t="s">
        <v>48</v>
      </c>
      <c r="K18" s="83"/>
    </row>
    <row r="19" spans="4:12">
      <c r="D19" s="54" t="s">
        <v>16</v>
      </c>
      <c r="E19" s="7">
        <f>B13-B14</f>
        <v>5</v>
      </c>
      <c r="G19" s="54" t="s">
        <v>2</v>
      </c>
      <c r="H19" s="46">
        <f>J15/B8</f>
        <v>1.3599999999999999</v>
      </c>
      <c r="J19" s="56" t="s">
        <v>22</v>
      </c>
      <c r="K19" s="14">
        <f>D9+(L19-0)/F9*1</f>
        <v>0.62857142857142856</v>
      </c>
      <c r="L19">
        <f>(1*F15)/4</f>
        <v>15</v>
      </c>
    </row>
    <row r="20" spans="4:12">
      <c r="D20" s="54" t="s">
        <v>44</v>
      </c>
      <c r="E20" s="46">
        <f>L15/F15</f>
        <v>0.76999999999999991</v>
      </c>
      <c r="G20" s="54" t="s">
        <v>13</v>
      </c>
      <c r="H20" s="58">
        <f>D9+(((F15/2)-0)/F9)*1</f>
        <v>1.0571428571428572</v>
      </c>
      <c r="I20">
        <f>(B8+1)/2</f>
        <v>30.5</v>
      </c>
      <c r="J20" s="56" t="s">
        <v>23</v>
      </c>
      <c r="K20" s="28">
        <f>D9+(L20-0)/F9*1</f>
        <v>1.0571428571428572</v>
      </c>
      <c r="L20">
        <f>(2*F15)/4</f>
        <v>30</v>
      </c>
    </row>
    <row r="21" spans="4:12">
      <c r="D21" s="54" t="s">
        <v>45</v>
      </c>
      <c r="E21" s="46">
        <f>N15/F15</f>
        <v>0.93573333333333331</v>
      </c>
      <c r="G21" s="54" t="s">
        <v>14</v>
      </c>
      <c r="H21" s="59">
        <f>D9+(H22/(H22+H23))*1</f>
        <v>0.87307692307692308</v>
      </c>
      <c r="J21" s="56" t="s">
        <v>24</v>
      </c>
      <c r="K21" s="46">
        <f>D10+(L21-G9)/F10*1</f>
        <v>1.8555555555555556</v>
      </c>
      <c r="L21">
        <f>(3*F15)/4</f>
        <v>45</v>
      </c>
    </row>
    <row r="22" spans="4:12">
      <c r="D22" s="54" t="s">
        <v>46</v>
      </c>
      <c r="E22" s="46">
        <f>SQRT(E21)</f>
        <v>0.96733310360668068</v>
      </c>
      <c r="G22" s="55" t="s">
        <v>58</v>
      </c>
      <c r="H22" s="41">
        <f>F9-0</f>
        <v>35</v>
      </c>
      <c r="K22" s="60"/>
    </row>
    <row r="23" spans="4:12">
      <c r="D23" s="54" t="s">
        <v>47</v>
      </c>
      <c r="E23" s="53">
        <f>E22/H19</f>
        <v>0.71127434088726527</v>
      </c>
      <c r="G23" s="55" t="s">
        <v>59</v>
      </c>
      <c r="H23" s="41">
        <f>F9-F10</f>
        <v>17</v>
      </c>
    </row>
    <row r="24" spans="4:12">
      <c r="H24" s="60"/>
    </row>
  </sheetData>
  <mergeCells count="3">
    <mergeCell ref="D18:E18"/>
    <mergeCell ref="G18:H18"/>
    <mergeCell ref="J18:K1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46AD-E7D0-49A6-9308-2070CDA15CCB}">
  <dimension ref="A1:K31"/>
  <sheetViews>
    <sheetView topLeftCell="A17" workbookViewId="0">
      <selection activeCell="G52" sqref="G52"/>
    </sheetView>
  </sheetViews>
  <sheetFormatPr baseColWidth="10" defaultRowHeight="15"/>
  <sheetData>
    <row r="1" spans="1:11" ht="15.75" thickBot="1">
      <c r="A1" s="63">
        <v>23</v>
      </c>
      <c r="B1" s="64">
        <v>34</v>
      </c>
      <c r="C1" s="64">
        <v>21</v>
      </c>
      <c r="D1" s="64">
        <v>41</v>
      </c>
      <c r="E1" s="64">
        <v>42</v>
      </c>
      <c r="F1" s="64">
        <v>35</v>
      </c>
      <c r="G1" s="64">
        <v>32</v>
      </c>
      <c r="H1" s="64">
        <v>22</v>
      </c>
      <c r="I1" s="64">
        <v>36</v>
      </c>
      <c r="J1" s="64">
        <v>27</v>
      </c>
      <c r="K1" s="64">
        <v>20</v>
      </c>
    </row>
    <row r="2" spans="1:11" ht="15.75" thickBot="1">
      <c r="A2" s="65">
        <v>19</v>
      </c>
      <c r="B2" s="66">
        <v>31</v>
      </c>
      <c r="C2" s="66">
        <v>39</v>
      </c>
      <c r="D2" s="66">
        <v>38</v>
      </c>
      <c r="E2" s="66">
        <v>41</v>
      </c>
      <c r="F2" s="66">
        <v>26</v>
      </c>
      <c r="G2" s="66">
        <v>24</v>
      </c>
      <c r="H2" s="66">
        <v>31</v>
      </c>
      <c r="I2" s="66">
        <v>27</v>
      </c>
      <c r="J2" s="66">
        <v>30</v>
      </c>
      <c r="K2" s="66">
        <v>33</v>
      </c>
    </row>
    <row r="3" spans="1:11" ht="15.75" thickBot="1">
      <c r="A3" s="65">
        <v>23</v>
      </c>
      <c r="B3" s="66">
        <v>32</v>
      </c>
      <c r="C3" s="66">
        <v>40</v>
      </c>
      <c r="D3" s="66">
        <v>34</v>
      </c>
      <c r="E3" s="66">
        <v>25</v>
      </c>
      <c r="F3" s="66">
        <v>28</v>
      </c>
      <c r="G3" s="66">
        <v>29</v>
      </c>
      <c r="H3" s="66">
        <v>40</v>
      </c>
      <c r="I3" s="66">
        <v>30</v>
      </c>
      <c r="J3" s="66">
        <v>22</v>
      </c>
      <c r="K3" s="66">
        <v>24</v>
      </c>
    </row>
    <row r="4" spans="1:11" ht="15.75" thickBot="1">
      <c r="A4" s="65">
        <v>26</v>
      </c>
      <c r="B4" s="66">
        <v>36</v>
      </c>
      <c r="C4" s="66">
        <v>38</v>
      </c>
      <c r="D4" s="66">
        <v>21</v>
      </c>
      <c r="E4" s="66">
        <v>39</v>
      </c>
      <c r="F4" s="66">
        <v>22</v>
      </c>
      <c r="G4" s="66">
        <v>33</v>
      </c>
      <c r="H4" s="66">
        <v>23</v>
      </c>
      <c r="I4" s="66">
        <v>35</v>
      </c>
      <c r="J4" s="66">
        <v>32</v>
      </c>
      <c r="K4" s="66">
        <v>28</v>
      </c>
    </row>
    <row r="5" spans="1:11" ht="15.75" thickBot="1">
      <c r="A5" s="65">
        <v>27</v>
      </c>
      <c r="B5" s="66">
        <v>26</v>
      </c>
      <c r="C5" s="66">
        <v>24</v>
      </c>
      <c r="D5" s="66">
        <v>32</v>
      </c>
      <c r="E5" s="66">
        <v>37</v>
      </c>
      <c r="F5" s="66">
        <v>39</v>
      </c>
      <c r="G5" s="66">
        <v>32</v>
      </c>
      <c r="H5" s="66">
        <v>25</v>
      </c>
      <c r="I5" s="66">
        <v>24</v>
      </c>
      <c r="J5" s="66">
        <v>35</v>
      </c>
      <c r="K5" s="66">
        <v>26</v>
      </c>
    </row>
    <row r="7" spans="1:11">
      <c r="A7" t="s">
        <v>60</v>
      </c>
      <c r="B7">
        <f>COUNT(A1:K5)</f>
        <v>55</v>
      </c>
    </row>
    <row r="9" spans="1:11">
      <c r="A9" t="s">
        <v>28</v>
      </c>
      <c r="B9" s="40">
        <f>SQRT(B7)</f>
        <v>7.416198487095663</v>
      </c>
    </row>
    <row r="10" spans="1:11">
      <c r="A10" t="s">
        <v>61</v>
      </c>
      <c r="B10" s="40">
        <f>(B11-B12)/B9</f>
        <v>3.1013193673309134</v>
      </c>
    </row>
    <row r="11" spans="1:11">
      <c r="A11" t="s">
        <v>33</v>
      </c>
      <c r="B11">
        <f>MAX(A1:K5)</f>
        <v>42</v>
      </c>
    </row>
    <row r="12" spans="1:11">
      <c r="A12" t="s">
        <v>32</v>
      </c>
      <c r="B12">
        <f>MIN(A1:K5)</f>
        <v>19</v>
      </c>
    </row>
    <row r="14" spans="1:11">
      <c r="A14" s="67" t="s">
        <v>32</v>
      </c>
      <c r="B14" s="67" t="s">
        <v>33</v>
      </c>
      <c r="C14" s="67" t="s">
        <v>3</v>
      </c>
      <c r="D14" s="24" t="s">
        <v>34</v>
      </c>
      <c r="E14" s="67" t="s">
        <v>5</v>
      </c>
      <c r="F14" s="67" t="s">
        <v>35</v>
      </c>
      <c r="G14" s="67" t="s">
        <v>36</v>
      </c>
      <c r="H14" s="67" t="s">
        <v>37</v>
      </c>
      <c r="I14" s="67" t="s">
        <v>38</v>
      </c>
      <c r="J14" s="19" t="s">
        <v>39</v>
      </c>
      <c r="K14" s="19" t="s">
        <v>40</v>
      </c>
    </row>
    <row r="15" spans="1:11">
      <c r="A15" s="7">
        <v>19</v>
      </c>
      <c r="B15" s="7">
        <v>21</v>
      </c>
      <c r="C15" s="7" cm="1">
        <f t="array" ref="C15:C23">FREQUENCY(A1:K5,B15:B22)</f>
        <v>4</v>
      </c>
      <c r="D15" s="7">
        <f>C15</f>
        <v>4</v>
      </c>
      <c r="E15" s="68">
        <f>C15/55</f>
        <v>7.2727272727272724E-2</v>
      </c>
      <c r="F15" s="7">
        <f>(A15+B15)/2</f>
        <v>20</v>
      </c>
      <c r="G15" s="7">
        <f>F15*C15</f>
        <v>80</v>
      </c>
      <c r="H15" s="14">
        <f>ABS(F15-$B$27)</f>
        <v>10.09090909090909</v>
      </c>
      <c r="I15" s="14">
        <f>H15*C15</f>
        <v>40.36363636363636</v>
      </c>
      <c r="J15" s="14">
        <f>POWER(H15,2)</f>
        <v>101.82644628099172</v>
      </c>
      <c r="K15" s="14">
        <f>J15*C15</f>
        <v>407.30578512396687</v>
      </c>
    </row>
    <row r="16" spans="1:11">
      <c r="A16" s="7">
        <f>A15+3</f>
        <v>22</v>
      </c>
      <c r="B16" s="7">
        <f>B15+3</f>
        <v>24</v>
      </c>
      <c r="C16" s="7">
        <v>10</v>
      </c>
      <c r="D16" s="7">
        <f>D15+C16</f>
        <v>14</v>
      </c>
      <c r="E16" s="68">
        <f t="shared" ref="E16:E22" si="0">C16/55</f>
        <v>0.18181818181818182</v>
      </c>
      <c r="F16" s="7">
        <f t="shared" ref="F16:F22" si="1">(A16+B16)/2</f>
        <v>23</v>
      </c>
      <c r="G16" s="7">
        <f t="shared" ref="G16:G22" si="2">F16*C16</f>
        <v>230</v>
      </c>
      <c r="H16" s="14">
        <f t="shared" ref="H16:H22" si="3">ABS(F16-$B$27)</f>
        <v>7.0909090909090899</v>
      </c>
      <c r="I16" s="14">
        <f t="shared" ref="I16:I22" si="4">H16*C16</f>
        <v>70.909090909090907</v>
      </c>
      <c r="J16" s="14">
        <f t="shared" ref="J16:J22" si="5">POWER(H16,2)</f>
        <v>50.280991735537178</v>
      </c>
      <c r="K16" s="14">
        <f t="shared" ref="K16:K22" si="6">J16*C16</f>
        <v>502.80991735537179</v>
      </c>
    </row>
    <row r="17" spans="1:11">
      <c r="A17" s="7">
        <f t="shared" ref="A17:A21" si="7">A16+3</f>
        <v>25</v>
      </c>
      <c r="B17" s="7">
        <f t="shared" ref="B17:B21" si="8">B16+3</f>
        <v>27</v>
      </c>
      <c r="C17" s="7">
        <v>9</v>
      </c>
      <c r="D17" s="7">
        <f t="shared" ref="D17:D22" si="9">D16+C17</f>
        <v>23</v>
      </c>
      <c r="E17" s="68">
        <f t="shared" si="0"/>
        <v>0.16363636363636364</v>
      </c>
      <c r="F17" s="7">
        <f t="shared" si="1"/>
        <v>26</v>
      </c>
      <c r="G17" s="7">
        <f t="shared" si="2"/>
        <v>234</v>
      </c>
      <c r="H17" s="14">
        <f t="shared" si="3"/>
        <v>4.0909090909090899</v>
      </c>
      <c r="I17" s="14">
        <f t="shared" si="4"/>
        <v>36.818181818181813</v>
      </c>
      <c r="J17" s="14">
        <f t="shared" si="5"/>
        <v>16.735537190082638</v>
      </c>
      <c r="K17" s="14">
        <f t="shared" si="6"/>
        <v>150.61983471074376</v>
      </c>
    </row>
    <row r="18" spans="1:11">
      <c r="A18" s="7">
        <f t="shared" si="7"/>
        <v>28</v>
      </c>
      <c r="B18" s="7">
        <f t="shared" si="8"/>
        <v>30</v>
      </c>
      <c r="C18" s="7">
        <v>5</v>
      </c>
      <c r="D18" s="7">
        <f t="shared" si="9"/>
        <v>28</v>
      </c>
      <c r="E18" s="68">
        <f t="shared" si="0"/>
        <v>9.0909090909090912E-2</v>
      </c>
      <c r="F18" s="7">
        <f t="shared" si="1"/>
        <v>29</v>
      </c>
      <c r="G18" s="7">
        <f t="shared" si="2"/>
        <v>145</v>
      </c>
      <c r="H18" s="14">
        <f t="shared" si="3"/>
        <v>1.0909090909090899</v>
      </c>
      <c r="I18" s="14">
        <f t="shared" si="4"/>
        <v>5.4545454545454497</v>
      </c>
      <c r="J18" s="14">
        <f t="shared" si="5"/>
        <v>1.190082644628097</v>
      </c>
      <c r="K18" s="14">
        <f t="shared" si="6"/>
        <v>5.9504132231404849</v>
      </c>
    </row>
    <row r="19" spans="1:11">
      <c r="A19" s="7">
        <f t="shared" si="7"/>
        <v>31</v>
      </c>
      <c r="B19" s="7">
        <f t="shared" si="8"/>
        <v>33</v>
      </c>
      <c r="C19" s="7">
        <v>9</v>
      </c>
      <c r="D19" s="7">
        <f t="shared" si="9"/>
        <v>37</v>
      </c>
      <c r="E19" s="68">
        <f t="shared" si="0"/>
        <v>0.16363636363636364</v>
      </c>
      <c r="F19" s="7">
        <f t="shared" si="1"/>
        <v>32</v>
      </c>
      <c r="G19" s="7">
        <f t="shared" si="2"/>
        <v>288</v>
      </c>
      <c r="H19" s="14">
        <f t="shared" si="3"/>
        <v>1.9090909090909101</v>
      </c>
      <c r="I19" s="14">
        <f t="shared" si="4"/>
        <v>17.181818181818191</v>
      </c>
      <c r="J19" s="14">
        <f t="shared" si="5"/>
        <v>3.6446280991735573</v>
      </c>
      <c r="K19" s="14">
        <f t="shared" si="6"/>
        <v>32.801652892562018</v>
      </c>
    </row>
    <row r="20" spans="1:11">
      <c r="A20" s="7">
        <f t="shared" si="7"/>
        <v>34</v>
      </c>
      <c r="B20" s="7">
        <f t="shared" si="8"/>
        <v>36</v>
      </c>
      <c r="C20" s="7">
        <v>7</v>
      </c>
      <c r="D20" s="7">
        <f t="shared" si="9"/>
        <v>44</v>
      </c>
      <c r="E20" s="68">
        <f t="shared" si="0"/>
        <v>0.12727272727272726</v>
      </c>
      <c r="F20" s="7">
        <f t="shared" si="1"/>
        <v>35</v>
      </c>
      <c r="G20" s="7">
        <f t="shared" si="2"/>
        <v>245</v>
      </c>
      <c r="H20" s="14">
        <f t="shared" si="3"/>
        <v>4.9090909090909101</v>
      </c>
      <c r="I20" s="14">
        <f t="shared" si="4"/>
        <v>34.363636363636374</v>
      </c>
      <c r="J20" s="14">
        <f t="shared" si="5"/>
        <v>24.099173553719019</v>
      </c>
      <c r="K20" s="14">
        <f t="shared" si="6"/>
        <v>168.69421487603313</v>
      </c>
    </row>
    <row r="21" spans="1:11">
      <c r="A21" s="7">
        <f t="shared" si="7"/>
        <v>37</v>
      </c>
      <c r="B21" s="7">
        <f t="shared" si="8"/>
        <v>39</v>
      </c>
      <c r="C21" s="7">
        <v>6</v>
      </c>
      <c r="D21" s="7">
        <f t="shared" si="9"/>
        <v>50</v>
      </c>
      <c r="E21" s="68">
        <f t="shared" si="0"/>
        <v>0.10909090909090909</v>
      </c>
      <c r="F21" s="7">
        <f t="shared" si="1"/>
        <v>38</v>
      </c>
      <c r="G21" s="7">
        <f t="shared" si="2"/>
        <v>228</v>
      </c>
      <c r="H21" s="14">
        <f t="shared" si="3"/>
        <v>7.9090909090909101</v>
      </c>
      <c r="I21" s="14">
        <f t="shared" si="4"/>
        <v>47.45454545454546</v>
      </c>
      <c r="J21" s="14">
        <f t="shared" si="5"/>
        <v>62.55371900826448</v>
      </c>
      <c r="K21" s="14">
        <f t="shared" si="6"/>
        <v>375.32231404958691</v>
      </c>
    </row>
    <row r="22" spans="1:11">
      <c r="A22" s="7">
        <f>A21+3</f>
        <v>40</v>
      </c>
      <c r="B22" s="7">
        <f>B21+3</f>
        <v>42</v>
      </c>
      <c r="C22" s="7">
        <v>5</v>
      </c>
      <c r="D22" s="7">
        <f t="shared" si="9"/>
        <v>55</v>
      </c>
      <c r="E22" s="68">
        <f t="shared" si="0"/>
        <v>9.0909090909090912E-2</v>
      </c>
      <c r="F22" s="7">
        <f t="shared" si="1"/>
        <v>41</v>
      </c>
      <c r="G22" s="7">
        <f t="shared" si="2"/>
        <v>205</v>
      </c>
      <c r="H22" s="14">
        <f t="shared" si="3"/>
        <v>10.90909090909091</v>
      </c>
      <c r="I22" s="14">
        <f t="shared" si="4"/>
        <v>54.545454545454547</v>
      </c>
      <c r="J22" s="14">
        <f t="shared" si="5"/>
        <v>119.00826446280993</v>
      </c>
      <c r="K22" s="14">
        <f t="shared" si="6"/>
        <v>595.04132231404969</v>
      </c>
    </row>
    <row r="23" spans="1:11">
      <c r="A23" s="7"/>
      <c r="B23" s="7"/>
      <c r="C23" s="7">
        <v>0</v>
      </c>
      <c r="D23" s="7"/>
      <c r="E23" s="7"/>
      <c r="F23" s="7"/>
      <c r="G23" s="7"/>
      <c r="H23" s="7"/>
      <c r="I23" s="7"/>
      <c r="J23" s="7"/>
      <c r="K23" s="7"/>
    </row>
    <row r="24" spans="1:11">
      <c r="A24" s="7"/>
      <c r="B24" s="7"/>
      <c r="C24" s="7">
        <f>SUM(C15:C22)</f>
        <v>55</v>
      </c>
      <c r="D24" s="7"/>
      <c r="E24" s="7"/>
      <c r="F24" s="7"/>
      <c r="G24" s="7">
        <f>SUM(G15:G22)</f>
        <v>1655</v>
      </c>
      <c r="H24" s="7"/>
      <c r="I24" s="14">
        <f>SUM(I15:I22)</f>
        <v>307.09090909090907</v>
      </c>
      <c r="J24" s="7"/>
      <c r="K24" s="14">
        <f>SUM(K15:K22)</f>
        <v>2238.545454545455</v>
      </c>
    </row>
    <row r="26" spans="1:11">
      <c r="A26" s="79" t="s">
        <v>11</v>
      </c>
      <c r="B26" s="80"/>
      <c r="D26" s="79" t="s">
        <v>43</v>
      </c>
      <c r="E26" s="80"/>
      <c r="G26" s="79" t="s">
        <v>48</v>
      </c>
      <c r="H26" s="80"/>
    </row>
    <row r="27" spans="1:11">
      <c r="A27" s="20" t="s">
        <v>2</v>
      </c>
      <c r="B27" s="28">
        <f>G24/B7</f>
        <v>30.09090909090909</v>
      </c>
      <c r="D27" s="19" t="s">
        <v>16</v>
      </c>
      <c r="E27" s="29">
        <f>B11-B12</f>
        <v>23</v>
      </c>
      <c r="G27" s="19" t="s">
        <v>22</v>
      </c>
      <c r="H27" s="30">
        <f>22+((I27-D15)/C16)*3</f>
        <v>24.925000000000001</v>
      </c>
      <c r="I27">
        <f>(1*55)/4</f>
        <v>13.75</v>
      </c>
    </row>
    <row r="28" spans="1:11">
      <c r="A28" s="20" t="s">
        <v>41</v>
      </c>
      <c r="B28" s="28">
        <f>A18+(((B7/2)-D17)/C18)*3</f>
        <v>30.7</v>
      </c>
      <c r="C28">
        <f>(B7+1)/2</f>
        <v>28</v>
      </c>
      <c r="D28" s="19" t="s">
        <v>44</v>
      </c>
      <c r="E28" s="30">
        <f>I24/55</f>
        <v>5.5834710743801645</v>
      </c>
      <c r="G28" s="19" t="s">
        <v>23</v>
      </c>
      <c r="H28" s="30">
        <f>28+((I28-D17)/C18)*3</f>
        <v>30.7</v>
      </c>
      <c r="I28">
        <f>(2*55)/4</f>
        <v>27.5</v>
      </c>
    </row>
    <row r="29" spans="1:11">
      <c r="A29" s="69" t="s">
        <v>42</v>
      </c>
      <c r="B29" s="28">
        <f>A18+(B30/(B30+B31))*3</f>
        <v>29.5</v>
      </c>
      <c r="D29" s="19" t="s">
        <v>45</v>
      </c>
      <c r="E29" s="30">
        <f>K24/55</f>
        <v>40.700826446280999</v>
      </c>
      <c r="G29" s="19" t="s">
        <v>24</v>
      </c>
      <c r="H29" s="30">
        <f>34+((I29-D19)/C20)*3</f>
        <v>35.821428571428569</v>
      </c>
      <c r="I29">
        <f>(3*55)/4</f>
        <v>41.25</v>
      </c>
    </row>
    <row r="30" spans="1:11">
      <c r="A30" s="20" t="s">
        <v>62</v>
      </c>
      <c r="B30" s="5">
        <f>C18-C17</f>
        <v>-4</v>
      </c>
      <c r="D30" s="19" t="s">
        <v>46</v>
      </c>
      <c r="E30" s="30">
        <f>SQRT(E29)</f>
        <v>6.3797199347840499</v>
      </c>
    </row>
    <row r="31" spans="1:11">
      <c r="A31" s="20" t="s">
        <v>50</v>
      </c>
      <c r="B31" s="5">
        <f>C18-C19</f>
        <v>-4</v>
      </c>
      <c r="D31" s="19" t="s">
        <v>47</v>
      </c>
      <c r="E31" s="31">
        <f>E30/B27</f>
        <v>0.21201486188104093</v>
      </c>
    </row>
  </sheetData>
  <mergeCells count="3">
    <mergeCell ref="A26:B26"/>
    <mergeCell ref="D26:E26"/>
    <mergeCell ref="G26:H2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30AE-327D-4B76-8120-A3BB33B5BEF1}">
  <dimension ref="A1:L22"/>
  <sheetViews>
    <sheetView workbookViewId="0">
      <selection activeCell="F15" sqref="F15"/>
    </sheetView>
  </sheetViews>
  <sheetFormatPr baseColWidth="10" defaultRowHeight="15"/>
  <cols>
    <col min="7" max="7" width="11.85546875" bestFit="1" customWidth="1"/>
  </cols>
  <sheetData>
    <row r="1" spans="2:12" ht="15.75" thickBot="1"/>
    <row r="2" spans="2:12">
      <c r="B2" s="71" t="s">
        <v>32</v>
      </c>
      <c r="C2" s="72" t="s">
        <v>33</v>
      </c>
      <c r="D2" s="72" t="s">
        <v>3</v>
      </c>
      <c r="E2" s="73" t="s">
        <v>34</v>
      </c>
      <c r="F2" s="74" t="s">
        <v>5</v>
      </c>
      <c r="G2" s="74" t="s">
        <v>35</v>
      </c>
      <c r="H2" s="74" t="s">
        <v>36</v>
      </c>
      <c r="I2" s="74" t="s">
        <v>37</v>
      </c>
      <c r="J2" s="74" t="s">
        <v>38</v>
      </c>
      <c r="K2" s="75" t="s">
        <v>39</v>
      </c>
      <c r="L2" s="75" t="s">
        <v>40</v>
      </c>
    </row>
    <row r="3" spans="2:12">
      <c r="B3" s="76">
        <v>690</v>
      </c>
      <c r="C3" s="76">
        <v>740</v>
      </c>
      <c r="D3" s="76">
        <v>2</v>
      </c>
      <c r="E3" s="9">
        <f>D3</f>
        <v>2</v>
      </c>
      <c r="F3" s="77">
        <f>D3/50</f>
        <v>0.04</v>
      </c>
      <c r="G3" s="9">
        <f>(B3+C3)/2</f>
        <v>715</v>
      </c>
      <c r="H3" s="9">
        <f>G3*D3</f>
        <v>1430</v>
      </c>
      <c r="I3" s="9">
        <f>ABS(G3-$C$18)</f>
        <v>148</v>
      </c>
      <c r="J3" s="9">
        <f>I3*D3</f>
        <v>296</v>
      </c>
      <c r="K3" s="9">
        <f>POWER(I3,2)</f>
        <v>21904</v>
      </c>
      <c r="L3" s="9">
        <f>K3*D3</f>
        <v>43808</v>
      </c>
    </row>
    <row r="4" spans="2:12">
      <c r="B4" s="76">
        <v>740</v>
      </c>
      <c r="C4" s="76">
        <v>790</v>
      </c>
      <c r="D4" s="76">
        <v>7</v>
      </c>
      <c r="E4" s="9">
        <f>E3+D4</f>
        <v>9</v>
      </c>
      <c r="F4" s="77">
        <f t="shared" ref="F4:F10" si="0">D4/50</f>
        <v>0.14000000000000001</v>
      </c>
      <c r="G4" s="9">
        <f t="shared" ref="G4:G10" si="1">(B4+C4)/2</f>
        <v>765</v>
      </c>
      <c r="H4" s="9">
        <f t="shared" ref="H4:H10" si="2">G4*D4</f>
        <v>5355</v>
      </c>
      <c r="I4" s="9">
        <f t="shared" ref="I4:I10" si="3">ABS(G4-$C$18)</f>
        <v>98</v>
      </c>
      <c r="J4" s="9">
        <f t="shared" ref="J4:J10" si="4">I4*D4</f>
        <v>686</v>
      </c>
      <c r="K4" s="9">
        <f t="shared" ref="K4:K10" si="5">POWER(I4,2)</f>
        <v>9604</v>
      </c>
      <c r="L4" s="9">
        <f t="shared" ref="L4:L10" si="6">K4*D4</f>
        <v>67228</v>
      </c>
    </row>
    <row r="5" spans="2:12">
      <c r="B5" s="76">
        <v>790</v>
      </c>
      <c r="C5" s="76">
        <v>840</v>
      </c>
      <c r="D5" s="76">
        <v>10</v>
      </c>
      <c r="E5" s="9">
        <f t="shared" ref="E5:E10" si="7">E4+D5</f>
        <v>19</v>
      </c>
      <c r="F5" s="77">
        <f t="shared" si="0"/>
        <v>0.2</v>
      </c>
      <c r="G5" s="9">
        <f t="shared" si="1"/>
        <v>815</v>
      </c>
      <c r="H5" s="9">
        <f t="shared" si="2"/>
        <v>8150</v>
      </c>
      <c r="I5" s="9">
        <f t="shared" si="3"/>
        <v>48</v>
      </c>
      <c r="J5" s="9">
        <f t="shared" si="4"/>
        <v>480</v>
      </c>
      <c r="K5" s="9">
        <f t="shared" si="5"/>
        <v>2304</v>
      </c>
      <c r="L5" s="9">
        <f t="shared" si="6"/>
        <v>23040</v>
      </c>
    </row>
    <row r="6" spans="2:12">
      <c r="B6" s="76">
        <v>840</v>
      </c>
      <c r="C6" s="76">
        <v>890</v>
      </c>
      <c r="D6" s="76">
        <v>15</v>
      </c>
      <c r="E6" s="9">
        <f t="shared" si="7"/>
        <v>34</v>
      </c>
      <c r="F6" s="77">
        <f t="shared" si="0"/>
        <v>0.3</v>
      </c>
      <c r="G6" s="9">
        <f t="shared" si="1"/>
        <v>865</v>
      </c>
      <c r="H6" s="9">
        <f t="shared" si="2"/>
        <v>12975</v>
      </c>
      <c r="I6" s="9">
        <f t="shared" si="3"/>
        <v>2</v>
      </c>
      <c r="J6" s="9">
        <f t="shared" si="4"/>
        <v>30</v>
      </c>
      <c r="K6" s="9">
        <f t="shared" si="5"/>
        <v>4</v>
      </c>
      <c r="L6" s="9">
        <f t="shared" si="6"/>
        <v>60</v>
      </c>
    </row>
    <row r="7" spans="2:12">
      <c r="B7" s="76">
        <v>890</v>
      </c>
      <c r="C7" s="76">
        <v>940</v>
      </c>
      <c r="D7" s="76">
        <v>9</v>
      </c>
      <c r="E7" s="9">
        <f t="shared" si="7"/>
        <v>43</v>
      </c>
      <c r="F7" s="77">
        <f t="shared" si="0"/>
        <v>0.18</v>
      </c>
      <c r="G7" s="9">
        <f t="shared" si="1"/>
        <v>915</v>
      </c>
      <c r="H7" s="9">
        <f t="shared" si="2"/>
        <v>8235</v>
      </c>
      <c r="I7" s="9">
        <f t="shared" si="3"/>
        <v>52</v>
      </c>
      <c r="J7" s="9">
        <f t="shared" si="4"/>
        <v>468</v>
      </c>
      <c r="K7" s="9">
        <f t="shared" si="5"/>
        <v>2704</v>
      </c>
      <c r="L7" s="9">
        <f t="shared" si="6"/>
        <v>24336</v>
      </c>
    </row>
    <row r="8" spans="2:12">
      <c r="B8" s="76">
        <v>940</v>
      </c>
      <c r="C8" s="76">
        <v>990</v>
      </c>
      <c r="D8" s="76">
        <v>3</v>
      </c>
      <c r="E8" s="9">
        <f t="shared" si="7"/>
        <v>46</v>
      </c>
      <c r="F8" s="77">
        <f t="shared" si="0"/>
        <v>0.06</v>
      </c>
      <c r="G8" s="9">
        <f t="shared" si="1"/>
        <v>965</v>
      </c>
      <c r="H8" s="9">
        <f t="shared" si="2"/>
        <v>2895</v>
      </c>
      <c r="I8" s="9">
        <f t="shared" si="3"/>
        <v>102</v>
      </c>
      <c r="J8" s="9">
        <f t="shared" si="4"/>
        <v>306</v>
      </c>
      <c r="K8" s="9">
        <f t="shared" si="5"/>
        <v>10404</v>
      </c>
      <c r="L8" s="9">
        <f t="shared" si="6"/>
        <v>31212</v>
      </c>
    </row>
    <row r="9" spans="2:12">
      <c r="B9" s="76">
        <v>990</v>
      </c>
      <c r="C9" s="76">
        <v>1040</v>
      </c>
      <c r="D9" s="76">
        <v>3</v>
      </c>
      <c r="E9" s="9">
        <f t="shared" si="7"/>
        <v>49</v>
      </c>
      <c r="F9" s="77">
        <f t="shared" si="0"/>
        <v>0.06</v>
      </c>
      <c r="G9" s="9">
        <f t="shared" si="1"/>
        <v>1015</v>
      </c>
      <c r="H9" s="9">
        <f t="shared" si="2"/>
        <v>3045</v>
      </c>
      <c r="I9" s="9">
        <f t="shared" si="3"/>
        <v>152</v>
      </c>
      <c r="J9" s="9">
        <f t="shared" si="4"/>
        <v>456</v>
      </c>
      <c r="K9" s="9">
        <f t="shared" si="5"/>
        <v>23104</v>
      </c>
      <c r="L9" s="9">
        <f t="shared" si="6"/>
        <v>69312</v>
      </c>
    </row>
    <row r="10" spans="2:12">
      <c r="B10" s="76">
        <v>1040</v>
      </c>
      <c r="C10" s="76">
        <v>1090</v>
      </c>
      <c r="D10" s="76">
        <v>1</v>
      </c>
      <c r="E10" s="9">
        <f t="shared" si="7"/>
        <v>50</v>
      </c>
      <c r="F10" s="77">
        <f t="shared" si="0"/>
        <v>0.02</v>
      </c>
      <c r="G10" s="9">
        <f t="shared" si="1"/>
        <v>1065</v>
      </c>
      <c r="H10" s="9">
        <f t="shared" si="2"/>
        <v>1065</v>
      </c>
      <c r="I10" s="9">
        <f t="shared" si="3"/>
        <v>202</v>
      </c>
      <c r="J10" s="9">
        <f t="shared" si="4"/>
        <v>202</v>
      </c>
      <c r="K10" s="9">
        <f t="shared" si="5"/>
        <v>40804</v>
      </c>
      <c r="L10" s="9">
        <f t="shared" si="6"/>
        <v>40804</v>
      </c>
    </row>
    <row r="11" spans="2:12">
      <c r="B11" s="9"/>
      <c r="C11" s="9"/>
      <c r="D11" s="9">
        <f>SUM(D3:D10)</f>
        <v>50</v>
      </c>
      <c r="E11" s="9"/>
      <c r="F11" s="9"/>
      <c r="G11" s="9"/>
      <c r="H11" s="9">
        <f>SUM(H3:H10)</f>
        <v>43150</v>
      </c>
      <c r="I11" s="9"/>
      <c r="J11" s="9">
        <f>SUM(J3:J10)</f>
        <v>2924</v>
      </c>
      <c r="K11" s="9"/>
      <c r="L11" s="9">
        <f>SUM(L3:L10)</f>
        <v>299800</v>
      </c>
    </row>
    <row r="12" spans="2:12">
      <c r="B12" t="s">
        <v>29</v>
      </c>
      <c r="C12">
        <v>50</v>
      </c>
    </row>
    <row r="13" spans="2:12">
      <c r="B13" t="s">
        <v>31</v>
      </c>
      <c r="C13" s="70">
        <v>690</v>
      </c>
    </row>
    <row r="14" spans="2:12">
      <c r="B14" t="s">
        <v>63</v>
      </c>
      <c r="C14" s="40">
        <f>SQRT(50)</f>
        <v>7.0710678118654755</v>
      </c>
    </row>
    <row r="15" spans="2:12">
      <c r="B15" t="s">
        <v>64</v>
      </c>
      <c r="C15" s="40"/>
      <c r="D15">
        <v>1090</v>
      </c>
    </row>
    <row r="17" spans="1:10">
      <c r="B17" s="86" t="s">
        <v>11</v>
      </c>
      <c r="C17" s="87"/>
      <c r="E17" s="86" t="s">
        <v>43</v>
      </c>
      <c r="F17" s="87"/>
      <c r="H17" s="86" t="s">
        <v>48</v>
      </c>
      <c r="I17" s="87"/>
    </row>
    <row r="18" spans="1:10">
      <c r="B18" s="20" t="s">
        <v>2</v>
      </c>
      <c r="C18" s="28">
        <f>H11/D11</f>
        <v>863</v>
      </c>
      <c r="E18" s="22" t="s">
        <v>16</v>
      </c>
      <c r="F18" s="29">
        <f>1090-C13</f>
        <v>400</v>
      </c>
      <c r="H18" s="22" t="s">
        <v>22</v>
      </c>
      <c r="I18" s="28">
        <f>B5+((J18-E4)/D5)*50</f>
        <v>807.5</v>
      </c>
      <c r="J18">
        <f>(1*50)/4</f>
        <v>12.5</v>
      </c>
    </row>
    <row r="19" spans="1:10">
      <c r="A19">
        <f>(D11+1)/2</f>
        <v>25.5</v>
      </c>
      <c r="B19" s="20" t="s">
        <v>41</v>
      </c>
      <c r="C19" s="28">
        <f>B6+(((D11/2)-E5)/D6)*C12</f>
        <v>860</v>
      </c>
      <c r="E19" s="22" t="s">
        <v>44</v>
      </c>
      <c r="F19" s="30">
        <f>J11/D11</f>
        <v>58.48</v>
      </c>
      <c r="H19" s="22" t="s">
        <v>23</v>
      </c>
      <c r="I19" s="28">
        <f>B6+((J19-E5)/D6)*50</f>
        <v>860</v>
      </c>
      <c r="J19">
        <f>(2*50)/4</f>
        <v>25</v>
      </c>
    </row>
    <row r="20" spans="1:10">
      <c r="B20" s="69" t="s">
        <v>42</v>
      </c>
      <c r="C20" s="28">
        <f>B6+(C21/(C21+C22))*C12</f>
        <v>862.72727272727275</v>
      </c>
      <c r="E20" s="22" t="s">
        <v>45</v>
      </c>
      <c r="F20" s="29">
        <f>L11/50</f>
        <v>5996</v>
      </c>
      <c r="H20" s="22" t="s">
        <v>24</v>
      </c>
      <c r="I20" s="28">
        <f>B7+((J20-E6)/D7)*50</f>
        <v>909.44444444444446</v>
      </c>
      <c r="J20">
        <f>(3*50)/4</f>
        <v>37.5</v>
      </c>
    </row>
    <row r="21" spans="1:10">
      <c r="B21" s="20" t="s">
        <v>62</v>
      </c>
      <c r="C21" s="5">
        <f>D6-D5</f>
        <v>5</v>
      </c>
      <c r="E21" s="22" t="s">
        <v>46</v>
      </c>
      <c r="F21" s="30">
        <f>SQRT(F20)</f>
        <v>77.433842730423763</v>
      </c>
      <c r="H21" s="22" t="s">
        <v>75</v>
      </c>
      <c r="I21" s="14">
        <f>B6+((J21-E5)/D6)*50</f>
        <v>890</v>
      </c>
      <c r="J21">
        <f>(68*50)/100</f>
        <v>34</v>
      </c>
    </row>
    <row r="22" spans="1:10">
      <c r="B22" s="20" t="s">
        <v>50</v>
      </c>
      <c r="C22" s="5">
        <f>D6-D7</f>
        <v>6</v>
      </c>
      <c r="E22" s="22" t="s">
        <v>47</v>
      </c>
      <c r="F22" s="31">
        <f>F21/C18</f>
        <v>8.9726353105937157E-2</v>
      </c>
    </row>
  </sheetData>
  <mergeCells count="3">
    <mergeCell ref="B17:C17"/>
    <mergeCell ref="E17:F17"/>
    <mergeCell ref="H17:I1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AA61-AC5C-4E1C-9FEB-4E8DFAD59FB7}">
  <dimension ref="A2:L28"/>
  <sheetViews>
    <sheetView workbookViewId="0">
      <selection activeCell="L31" sqref="L31"/>
    </sheetView>
  </sheetViews>
  <sheetFormatPr baseColWidth="10" defaultRowHeight="15"/>
  <sheetData>
    <row r="2" spans="2:12">
      <c r="G2" t="s">
        <v>28</v>
      </c>
      <c r="H2">
        <f>SQRT(D21)</f>
        <v>10</v>
      </c>
    </row>
    <row r="3" spans="2:12">
      <c r="G3" t="s">
        <v>61</v>
      </c>
      <c r="H3">
        <v>3</v>
      </c>
    </row>
    <row r="5" spans="2:12">
      <c r="G5" t="s">
        <v>65</v>
      </c>
      <c r="H5">
        <v>75</v>
      </c>
    </row>
    <row r="6" spans="2:12">
      <c r="G6" t="s">
        <v>66</v>
      </c>
      <c r="H6">
        <v>60</v>
      </c>
    </row>
    <row r="14" spans="2:12" ht="15.75" thickBot="1"/>
    <row r="15" spans="2:12">
      <c r="B15" s="71" t="s">
        <v>32</v>
      </c>
      <c r="C15" s="72" t="s">
        <v>33</v>
      </c>
      <c r="D15" s="72" t="s">
        <v>3</v>
      </c>
      <c r="E15" s="73" t="s">
        <v>34</v>
      </c>
      <c r="F15" s="74" t="s">
        <v>5</v>
      </c>
      <c r="G15" s="74" t="s">
        <v>35</v>
      </c>
      <c r="H15" s="74" t="s">
        <v>36</v>
      </c>
      <c r="I15" s="74" t="s">
        <v>37</v>
      </c>
      <c r="J15" s="74" t="s">
        <v>38</v>
      </c>
      <c r="K15" s="75" t="s">
        <v>39</v>
      </c>
      <c r="L15" s="75" t="s">
        <v>40</v>
      </c>
    </row>
    <row r="16" spans="2:12">
      <c r="B16" s="7">
        <v>60</v>
      </c>
      <c r="C16" s="7">
        <v>63</v>
      </c>
      <c r="D16" s="7">
        <v>5</v>
      </c>
      <c r="E16" s="7">
        <f>D16</f>
        <v>5</v>
      </c>
      <c r="F16" s="68">
        <f>D16/$D$21</f>
        <v>0.05</v>
      </c>
      <c r="G16" s="7">
        <f>(B16+C16)/2</f>
        <v>61.5</v>
      </c>
      <c r="H16" s="7">
        <f>G16*D16</f>
        <v>307.5</v>
      </c>
      <c r="I16" s="7">
        <f>ABS(G16-$C$24)</f>
        <v>6.4500000000000028</v>
      </c>
      <c r="J16" s="7">
        <f>I16*D16</f>
        <v>32.250000000000014</v>
      </c>
      <c r="K16" s="7">
        <f>POWER(I16,2)</f>
        <v>41.602500000000035</v>
      </c>
      <c r="L16" s="7">
        <f>K16*D16</f>
        <v>208.01250000000016</v>
      </c>
    </row>
    <row r="17" spans="1:12">
      <c r="B17" s="7">
        <v>63</v>
      </c>
      <c r="C17" s="7">
        <v>66</v>
      </c>
      <c r="D17" s="7">
        <v>18</v>
      </c>
      <c r="E17" s="7">
        <f>E16+D17</f>
        <v>23</v>
      </c>
      <c r="F17" s="68">
        <f t="shared" ref="F17:F20" si="0">D17/$D$21</f>
        <v>0.18</v>
      </c>
      <c r="G17" s="7">
        <f t="shared" ref="G17:G20" si="1">(B17+C17)/2</f>
        <v>64.5</v>
      </c>
      <c r="H17" s="7">
        <f t="shared" ref="H17:H20" si="2">G17*D17</f>
        <v>1161</v>
      </c>
      <c r="I17" s="7">
        <f t="shared" ref="I17:I20" si="3">ABS(G17-$C$24)</f>
        <v>3.4500000000000028</v>
      </c>
      <c r="J17" s="7">
        <f t="shared" ref="J17:J20" si="4">I17*D17</f>
        <v>62.100000000000051</v>
      </c>
      <c r="K17" s="7">
        <f>POWER(I17,2)</f>
        <v>11.902500000000019</v>
      </c>
      <c r="L17" s="7">
        <f t="shared" ref="L17:L20" si="5">K17*D17</f>
        <v>214.24500000000035</v>
      </c>
    </row>
    <row r="18" spans="1:12">
      <c r="B18" s="7">
        <v>66</v>
      </c>
      <c r="C18" s="7">
        <v>69</v>
      </c>
      <c r="D18" s="7">
        <v>42</v>
      </c>
      <c r="E18" s="7">
        <f t="shared" ref="E18:E20" si="6">E17+D18</f>
        <v>65</v>
      </c>
      <c r="F18" s="68">
        <f t="shared" si="0"/>
        <v>0.42</v>
      </c>
      <c r="G18" s="7">
        <f t="shared" si="1"/>
        <v>67.5</v>
      </c>
      <c r="H18" s="7">
        <f t="shared" si="2"/>
        <v>2835</v>
      </c>
      <c r="I18" s="7">
        <f t="shared" si="3"/>
        <v>0.45000000000000284</v>
      </c>
      <c r="J18" s="7">
        <f t="shared" si="4"/>
        <v>18.900000000000119</v>
      </c>
      <c r="K18" s="7">
        <f>POWER(I18,2)</f>
        <v>0.20250000000000257</v>
      </c>
      <c r="L18" s="7">
        <f t="shared" si="5"/>
        <v>8.5050000000001074</v>
      </c>
    </row>
    <row r="19" spans="1:12">
      <c r="B19" s="7">
        <v>69</v>
      </c>
      <c r="C19" s="7">
        <v>72</v>
      </c>
      <c r="D19" s="7">
        <v>27</v>
      </c>
      <c r="E19" s="7">
        <f t="shared" si="6"/>
        <v>92</v>
      </c>
      <c r="F19" s="68">
        <f t="shared" si="0"/>
        <v>0.27</v>
      </c>
      <c r="G19" s="7">
        <f t="shared" si="1"/>
        <v>70.5</v>
      </c>
      <c r="H19" s="7">
        <f t="shared" si="2"/>
        <v>1903.5</v>
      </c>
      <c r="I19" s="7">
        <f t="shared" si="3"/>
        <v>2.5499999999999972</v>
      </c>
      <c r="J19" s="7">
        <f t="shared" si="4"/>
        <v>68.849999999999923</v>
      </c>
      <c r="K19" s="7">
        <f>POWER(I19,2)</f>
        <v>6.5024999999999853</v>
      </c>
      <c r="L19" s="7">
        <f t="shared" si="5"/>
        <v>175.5674999999996</v>
      </c>
    </row>
    <row r="20" spans="1:12">
      <c r="B20" s="7">
        <v>72</v>
      </c>
      <c r="C20" s="7">
        <v>75</v>
      </c>
      <c r="D20" s="7">
        <v>8</v>
      </c>
      <c r="E20" s="7">
        <f t="shared" si="6"/>
        <v>100</v>
      </c>
      <c r="F20" s="68">
        <f t="shared" si="0"/>
        <v>0.08</v>
      </c>
      <c r="G20" s="7">
        <f t="shared" si="1"/>
        <v>73.5</v>
      </c>
      <c r="H20" s="7">
        <f t="shared" si="2"/>
        <v>588</v>
      </c>
      <c r="I20" s="7">
        <f t="shared" si="3"/>
        <v>5.5499999999999972</v>
      </c>
      <c r="J20" s="7">
        <f t="shared" si="4"/>
        <v>44.399999999999977</v>
      </c>
      <c r="K20" s="7">
        <f>POWER(I20,2)</f>
        <v>30.80249999999997</v>
      </c>
      <c r="L20" s="7">
        <f t="shared" si="5"/>
        <v>246.41999999999976</v>
      </c>
    </row>
    <row r="21" spans="1:12">
      <c r="B21" s="9"/>
      <c r="C21" s="9"/>
      <c r="D21" s="7">
        <f>SUM(D16:D20)</f>
        <v>100</v>
      </c>
      <c r="E21" s="9"/>
      <c r="F21" s="9"/>
      <c r="G21" s="9"/>
      <c r="H21" s="8">
        <f>SUM(H16:H20)</f>
        <v>6795</v>
      </c>
      <c r="I21" s="9"/>
      <c r="J21" s="7">
        <f>SUM(J16:J20)</f>
        <v>226.50000000000009</v>
      </c>
      <c r="K21" s="9"/>
      <c r="L21" s="7">
        <f>SUM(L16:L20)</f>
        <v>852.74999999999989</v>
      </c>
    </row>
    <row r="23" spans="1:12">
      <c r="B23" s="86" t="s">
        <v>11</v>
      </c>
      <c r="C23" s="87"/>
      <c r="E23" s="86" t="s">
        <v>43</v>
      </c>
      <c r="F23" s="87"/>
      <c r="H23" s="86" t="s">
        <v>48</v>
      </c>
      <c r="I23" s="87"/>
    </row>
    <row r="24" spans="1:12">
      <c r="B24" s="20" t="s">
        <v>2</v>
      </c>
      <c r="C24" s="28">
        <f>H21/D21</f>
        <v>67.95</v>
      </c>
      <c r="E24" s="22" t="s">
        <v>16</v>
      </c>
      <c r="F24" s="29">
        <f>H5-H6</f>
        <v>15</v>
      </c>
      <c r="H24" s="22" t="s">
        <v>22</v>
      </c>
      <c r="I24" s="28">
        <f>66+((25-E17)/D18)*3</f>
        <v>66.142857142857139</v>
      </c>
      <c r="J24">
        <f>(1*100)/4</f>
        <v>25</v>
      </c>
    </row>
    <row r="25" spans="1:12">
      <c r="A25">
        <f>(D21+1)/2</f>
        <v>50.5</v>
      </c>
      <c r="B25" s="20" t="s">
        <v>41</v>
      </c>
      <c r="C25" s="28">
        <f>B18+((100/2-E17)/D18)*3</f>
        <v>67.928571428571431</v>
      </c>
      <c r="E25" s="22" t="s">
        <v>44</v>
      </c>
      <c r="F25" s="30">
        <f>J21/100</f>
        <v>2.265000000000001</v>
      </c>
      <c r="H25" s="22" t="s">
        <v>23</v>
      </c>
      <c r="I25" s="28">
        <f>B18+((50-E17)/D18)*3</f>
        <v>67.928571428571431</v>
      </c>
      <c r="J25">
        <f>(2*100)/4</f>
        <v>50</v>
      </c>
    </row>
    <row r="26" spans="1:12">
      <c r="B26" s="69" t="s">
        <v>42</v>
      </c>
      <c r="C26" s="28">
        <f>B18+(C27/(C27+C28))*3</f>
        <v>67.84615384615384</v>
      </c>
      <c r="E26" s="22" t="s">
        <v>45</v>
      </c>
      <c r="F26" s="30">
        <f>L21/100</f>
        <v>8.5274999999999981</v>
      </c>
      <c r="H26" s="22" t="s">
        <v>24</v>
      </c>
      <c r="I26" s="28">
        <f>B19+((75-E18)/D19)*3</f>
        <v>70.111111111111114</v>
      </c>
      <c r="J26">
        <f>(3*100)/4</f>
        <v>75</v>
      </c>
    </row>
    <row r="27" spans="1:12">
      <c r="B27" s="20" t="s">
        <v>62</v>
      </c>
      <c r="C27" s="5">
        <f>D18-D17</f>
        <v>24</v>
      </c>
      <c r="E27" s="22" t="s">
        <v>46</v>
      </c>
      <c r="F27" s="30">
        <f>SQRT(F26)</f>
        <v>2.9201883500897674</v>
      </c>
    </row>
    <row r="28" spans="1:12">
      <c r="B28" s="20" t="s">
        <v>50</v>
      </c>
      <c r="C28" s="5">
        <f>D18-D19</f>
        <v>15</v>
      </c>
      <c r="E28" s="22" t="s">
        <v>47</v>
      </c>
      <c r="F28" s="31">
        <f>F27/C24</f>
        <v>4.2975545991019388E-2</v>
      </c>
    </row>
  </sheetData>
  <mergeCells count="3">
    <mergeCell ref="B23:C23"/>
    <mergeCell ref="E23:F23"/>
    <mergeCell ref="H23:I2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A4B3-8552-4CC2-99A8-E1E5BCC8C93E}">
  <dimension ref="A4:L34"/>
  <sheetViews>
    <sheetView workbookViewId="0">
      <selection activeCell="C30" sqref="C30"/>
    </sheetView>
  </sheetViews>
  <sheetFormatPr baseColWidth="10" defaultRowHeight="15"/>
  <sheetData>
    <row r="4" spans="9:10">
      <c r="I4" s="17" t="s">
        <v>61</v>
      </c>
      <c r="J4" s="17">
        <v>4</v>
      </c>
    </row>
    <row r="5" spans="9:10">
      <c r="I5" s="17" t="s">
        <v>28</v>
      </c>
      <c r="J5" s="18">
        <f>SQRT(J10)</f>
        <v>3.1622776601683795</v>
      </c>
    </row>
    <row r="6" spans="9:10">
      <c r="I6" s="17" t="s">
        <v>65</v>
      </c>
      <c r="J6" s="17">
        <v>49</v>
      </c>
    </row>
    <row r="7" spans="9:10">
      <c r="I7" s="17" t="s">
        <v>66</v>
      </c>
      <c r="J7" s="17">
        <v>20</v>
      </c>
    </row>
    <row r="8" spans="9:10">
      <c r="I8" s="17"/>
      <c r="J8" s="17"/>
    </row>
    <row r="9" spans="9:10">
      <c r="I9" s="17"/>
      <c r="J9" s="17"/>
    </row>
    <row r="10" spans="9:10">
      <c r="I10" s="17" t="s">
        <v>0</v>
      </c>
      <c r="J10" s="17">
        <f>D27</f>
        <v>10</v>
      </c>
    </row>
    <row r="20" spans="1:12">
      <c r="B20" s="20" t="s">
        <v>32</v>
      </c>
      <c r="C20" s="20" t="s">
        <v>33</v>
      </c>
      <c r="D20" s="20" t="s">
        <v>3</v>
      </c>
      <c r="E20" s="20" t="s">
        <v>34</v>
      </c>
      <c r="F20" s="20" t="s">
        <v>5</v>
      </c>
      <c r="G20" s="20" t="s">
        <v>35</v>
      </c>
      <c r="H20" s="20" t="s">
        <v>36</v>
      </c>
      <c r="I20" s="20" t="s">
        <v>37</v>
      </c>
      <c r="J20" s="20" t="s">
        <v>38</v>
      </c>
      <c r="K20" s="20" t="s">
        <v>39</v>
      </c>
      <c r="L20" s="20" t="s">
        <v>40</v>
      </c>
    </row>
    <row r="21" spans="1:12">
      <c r="B21" s="7">
        <v>20</v>
      </c>
      <c r="C21" s="7">
        <v>24</v>
      </c>
      <c r="D21" s="7">
        <v>2</v>
      </c>
      <c r="E21" s="7">
        <v>2</v>
      </c>
      <c r="F21" s="68">
        <f>D21/$D$27</f>
        <v>0.2</v>
      </c>
      <c r="G21" s="7">
        <f>(B21+C21)/2</f>
        <v>22</v>
      </c>
      <c r="H21" s="7">
        <f>G21*D21</f>
        <v>44</v>
      </c>
      <c r="I21" s="7">
        <f>ABS(G21-$C$30)</f>
        <v>11</v>
      </c>
      <c r="J21" s="7">
        <f>I21*D21</f>
        <v>22</v>
      </c>
      <c r="K21" s="7">
        <f>POWER(I21,2)</f>
        <v>121</v>
      </c>
      <c r="L21" s="7">
        <f>K21*D21</f>
        <v>242</v>
      </c>
    </row>
    <row r="22" spans="1:12">
      <c r="B22" s="7">
        <v>25</v>
      </c>
      <c r="C22" s="7">
        <v>29</v>
      </c>
      <c r="D22" s="7">
        <v>2</v>
      </c>
      <c r="E22" s="7">
        <v>4</v>
      </c>
      <c r="F22" s="68">
        <f t="shared" ref="F22:F26" si="0">D22/$D$27</f>
        <v>0.2</v>
      </c>
      <c r="G22" s="7">
        <f t="shared" ref="G22:G26" si="1">(B22+C22)/2</f>
        <v>27</v>
      </c>
      <c r="H22" s="7">
        <f t="shared" ref="H22:H26" si="2">G22*D22</f>
        <v>54</v>
      </c>
      <c r="I22" s="7">
        <f t="shared" ref="I22:I26" si="3">ABS(G22-$C$30)</f>
        <v>6</v>
      </c>
      <c r="J22" s="7">
        <f t="shared" ref="J22:J26" si="4">I22*D22</f>
        <v>12</v>
      </c>
      <c r="K22" s="7">
        <f t="shared" ref="K22:K26" si="5">POWER(I22,2)</f>
        <v>36</v>
      </c>
      <c r="L22" s="7">
        <f t="shared" ref="L22:L26" si="6">K22*D22</f>
        <v>72</v>
      </c>
    </row>
    <row r="23" spans="1:12">
      <c r="B23" s="7">
        <v>30</v>
      </c>
      <c r="C23" s="7">
        <v>34</v>
      </c>
      <c r="D23" s="7">
        <v>1</v>
      </c>
      <c r="E23" s="7">
        <v>5</v>
      </c>
      <c r="F23" s="68">
        <f t="shared" si="0"/>
        <v>0.1</v>
      </c>
      <c r="G23" s="7">
        <f t="shared" si="1"/>
        <v>32</v>
      </c>
      <c r="H23" s="7">
        <f t="shared" si="2"/>
        <v>32</v>
      </c>
      <c r="I23" s="7">
        <f t="shared" si="3"/>
        <v>1</v>
      </c>
      <c r="J23" s="7">
        <f t="shared" si="4"/>
        <v>1</v>
      </c>
      <c r="K23" s="7">
        <f t="shared" si="5"/>
        <v>1</v>
      </c>
      <c r="L23" s="7">
        <f t="shared" si="6"/>
        <v>1</v>
      </c>
    </row>
    <row r="24" spans="1:12">
      <c r="B24" s="7">
        <v>35</v>
      </c>
      <c r="C24" s="7">
        <v>39</v>
      </c>
      <c r="D24" s="7">
        <v>3</v>
      </c>
      <c r="E24" s="7">
        <v>8</v>
      </c>
      <c r="F24" s="68">
        <f t="shared" si="0"/>
        <v>0.3</v>
      </c>
      <c r="G24" s="7">
        <f t="shared" si="1"/>
        <v>37</v>
      </c>
      <c r="H24" s="7">
        <f t="shared" si="2"/>
        <v>111</v>
      </c>
      <c r="I24" s="7">
        <f t="shared" si="3"/>
        <v>4</v>
      </c>
      <c r="J24" s="7">
        <f t="shared" si="4"/>
        <v>12</v>
      </c>
      <c r="K24" s="7">
        <f t="shared" si="5"/>
        <v>16</v>
      </c>
      <c r="L24" s="7">
        <f t="shared" si="6"/>
        <v>48</v>
      </c>
    </row>
    <row r="25" spans="1:12">
      <c r="B25" s="7">
        <v>40</v>
      </c>
      <c r="C25" s="7">
        <v>44</v>
      </c>
      <c r="D25" s="7">
        <v>1</v>
      </c>
      <c r="E25" s="7">
        <v>9</v>
      </c>
      <c r="F25" s="68">
        <f t="shared" si="0"/>
        <v>0.1</v>
      </c>
      <c r="G25" s="7">
        <f t="shared" si="1"/>
        <v>42</v>
      </c>
      <c r="H25" s="7">
        <f t="shared" si="2"/>
        <v>42</v>
      </c>
      <c r="I25" s="7">
        <f t="shared" si="3"/>
        <v>9</v>
      </c>
      <c r="J25" s="7">
        <f t="shared" si="4"/>
        <v>9</v>
      </c>
      <c r="K25" s="7">
        <f t="shared" si="5"/>
        <v>81</v>
      </c>
      <c r="L25" s="7">
        <f t="shared" si="6"/>
        <v>81</v>
      </c>
    </row>
    <row r="26" spans="1:12">
      <c r="B26" s="7">
        <v>45</v>
      </c>
      <c r="C26" s="7">
        <v>49</v>
      </c>
      <c r="D26" s="7">
        <v>1</v>
      </c>
      <c r="E26" s="7">
        <v>10</v>
      </c>
      <c r="F26" s="68">
        <f t="shared" si="0"/>
        <v>0.1</v>
      </c>
      <c r="G26" s="7">
        <f t="shared" si="1"/>
        <v>47</v>
      </c>
      <c r="H26" s="7">
        <f t="shared" si="2"/>
        <v>47</v>
      </c>
      <c r="I26" s="7">
        <f t="shared" si="3"/>
        <v>14</v>
      </c>
      <c r="J26" s="7">
        <f t="shared" si="4"/>
        <v>14</v>
      </c>
      <c r="K26" s="7">
        <f t="shared" si="5"/>
        <v>196</v>
      </c>
      <c r="L26" s="7">
        <f t="shared" si="6"/>
        <v>196</v>
      </c>
    </row>
    <row r="27" spans="1:12">
      <c r="B27" s="7"/>
      <c r="C27" s="7"/>
      <c r="D27" s="7">
        <f>SUM(D21:D26)</f>
        <v>10</v>
      </c>
      <c r="E27" s="7"/>
      <c r="F27" s="7"/>
      <c r="G27" s="7"/>
      <c r="H27" s="7">
        <f>SUM(H21:H26)</f>
        <v>330</v>
      </c>
      <c r="I27" s="7"/>
      <c r="J27" s="7">
        <f>SUM(J21:J26)</f>
        <v>70</v>
      </c>
      <c r="K27" s="7"/>
      <c r="L27" s="7">
        <f>SUM(L21:L26)</f>
        <v>640</v>
      </c>
    </row>
    <row r="29" spans="1:12">
      <c r="B29" s="86" t="s">
        <v>11</v>
      </c>
      <c r="C29" s="87"/>
      <c r="E29" s="86" t="s">
        <v>43</v>
      </c>
      <c r="F29" s="87"/>
      <c r="H29" s="86" t="s">
        <v>48</v>
      </c>
      <c r="I29" s="87"/>
    </row>
    <row r="30" spans="1:12">
      <c r="B30" s="20" t="s">
        <v>2</v>
      </c>
      <c r="C30" s="28">
        <f>H27/D27</f>
        <v>33</v>
      </c>
      <c r="E30" s="22" t="s">
        <v>16</v>
      </c>
      <c r="F30" s="29">
        <f>J6-J7</f>
        <v>29</v>
      </c>
      <c r="H30" s="22" t="s">
        <v>22</v>
      </c>
      <c r="I30" s="30">
        <f>B22+((J30-E21)/D22)*4</f>
        <v>26</v>
      </c>
      <c r="J30">
        <f>(1*D27)/4</f>
        <v>2.5</v>
      </c>
    </row>
    <row r="31" spans="1:12">
      <c r="A31">
        <f>11/2</f>
        <v>5.5</v>
      </c>
      <c r="B31" s="20" t="s">
        <v>41</v>
      </c>
      <c r="C31" s="28">
        <f>B24+((5-E23)/D24)*4</f>
        <v>35</v>
      </c>
      <c r="E31" s="22" t="s">
        <v>44</v>
      </c>
      <c r="F31" s="30">
        <f>J27/D27</f>
        <v>7</v>
      </c>
      <c r="H31" s="22" t="s">
        <v>23</v>
      </c>
      <c r="I31" s="30">
        <f>B23+((J31-E22)/D23)*4</f>
        <v>34</v>
      </c>
      <c r="J31">
        <f>(2*D27)/4</f>
        <v>5</v>
      </c>
    </row>
    <row r="32" spans="1:12">
      <c r="B32" s="20" t="s">
        <v>42</v>
      </c>
      <c r="C32" s="28">
        <f>B24+(C33/(C33+C34))*4</f>
        <v>37</v>
      </c>
      <c r="E32" s="22" t="s">
        <v>45</v>
      </c>
      <c r="F32" s="29">
        <f>L27/D27</f>
        <v>64</v>
      </c>
      <c r="H32" s="22" t="s">
        <v>24</v>
      </c>
      <c r="I32" s="30">
        <f>B24+((J32-E23)/D24)*4</f>
        <v>38.333333333333336</v>
      </c>
      <c r="J32">
        <f>(3*D27)/4</f>
        <v>7.5</v>
      </c>
    </row>
    <row r="33" spans="2:6">
      <c r="B33" s="20" t="s">
        <v>67</v>
      </c>
      <c r="C33" s="28">
        <f>D24-D23</f>
        <v>2</v>
      </c>
      <c r="E33" s="22" t="s">
        <v>46</v>
      </c>
      <c r="F33" s="30">
        <f>SQRT(F32)</f>
        <v>8</v>
      </c>
    </row>
    <row r="34" spans="2:6">
      <c r="B34" s="20" t="s">
        <v>68</v>
      </c>
      <c r="C34" s="28">
        <f>D24-D25</f>
        <v>2</v>
      </c>
      <c r="E34" s="22" t="s">
        <v>47</v>
      </c>
      <c r="F34" s="31">
        <f>F33/D27</f>
        <v>0.8</v>
      </c>
    </row>
  </sheetData>
  <mergeCells count="3">
    <mergeCell ref="B29:C29"/>
    <mergeCell ref="E29:F29"/>
    <mergeCell ref="H29:I29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26A8E-42F6-4F49-A59D-37A9BB0993E7}">
  <dimension ref="B2:I12"/>
  <sheetViews>
    <sheetView workbookViewId="0">
      <selection activeCell="H34" sqref="H34"/>
    </sheetView>
  </sheetViews>
  <sheetFormatPr baseColWidth="10" defaultRowHeight="15"/>
  <cols>
    <col min="2" max="2" width="14" customWidth="1"/>
    <col min="4" max="4" width="13.7109375" customWidth="1"/>
    <col min="5" max="5" width="13.85546875" customWidth="1"/>
  </cols>
  <sheetData>
    <row r="2" spans="2:9">
      <c r="B2" s="26" t="s">
        <v>70</v>
      </c>
      <c r="C2" s="26" t="s">
        <v>71</v>
      </c>
      <c r="D2" s="26" t="s">
        <v>69</v>
      </c>
      <c r="E2" s="26" t="s">
        <v>73</v>
      </c>
      <c r="F2" s="26" t="s">
        <v>72</v>
      </c>
      <c r="G2" s="26" t="s">
        <v>70</v>
      </c>
      <c r="H2" s="26" t="s">
        <v>70</v>
      </c>
      <c r="I2" s="26" t="s">
        <v>70</v>
      </c>
    </row>
    <row r="3" spans="2:9">
      <c r="B3" s="26" t="s">
        <v>71</v>
      </c>
      <c r="C3" s="26" t="s">
        <v>69</v>
      </c>
      <c r="D3" s="26" t="s">
        <v>73</v>
      </c>
      <c r="E3" s="26" t="s">
        <v>72</v>
      </c>
      <c r="F3" s="26" t="s">
        <v>70</v>
      </c>
      <c r="G3" s="26" t="s">
        <v>72</v>
      </c>
      <c r="H3" s="26" t="s">
        <v>70</v>
      </c>
      <c r="I3" s="26" t="s">
        <v>69</v>
      </c>
    </row>
    <row r="4" spans="2:9">
      <c r="B4" s="26" t="s">
        <v>73</v>
      </c>
      <c r="C4" s="26" t="s">
        <v>71</v>
      </c>
      <c r="D4" s="26" t="s">
        <v>69</v>
      </c>
      <c r="E4" s="26" t="s">
        <v>71</v>
      </c>
      <c r="F4" s="26" t="s">
        <v>69</v>
      </c>
      <c r="G4" s="26"/>
      <c r="H4" s="26"/>
      <c r="I4" s="26"/>
    </row>
    <row r="6" spans="2:9">
      <c r="B6" s="67" t="s">
        <v>2</v>
      </c>
      <c r="C6" s="67" t="s">
        <v>3</v>
      </c>
      <c r="D6" s="67" t="s">
        <v>34</v>
      </c>
      <c r="E6" s="67" t="s">
        <v>5</v>
      </c>
      <c r="F6" s="67" t="s">
        <v>74</v>
      </c>
      <c r="H6" s="86" t="s">
        <v>11</v>
      </c>
      <c r="I6" s="87"/>
    </row>
    <row r="7" spans="2:9">
      <c r="B7" s="89" t="s">
        <v>70</v>
      </c>
      <c r="C7" s="5">
        <f>COUNTIFS($B$2:$I$4,B7)</f>
        <v>6</v>
      </c>
      <c r="D7" s="5">
        <f>C7</f>
        <v>6</v>
      </c>
      <c r="E7" s="11">
        <f>C7/$C$12</f>
        <v>0.2857142857142857</v>
      </c>
      <c r="F7" s="88">
        <f>E7</f>
        <v>0.2857142857142857</v>
      </c>
      <c r="H7" s="20" t="s">
        <v>2</v>
      </c>
      <c r="I7" s="28"/>
    </row>
    <row r="8" spans="2:9">
      <c r="B8" s="90" t="s">
        <v>71</v>
      </c>
      <c r="C8" s="5">
        <f t="shared" ref="C8:C11" si="0">COUNTIFS($B$2:$I$4,B8)</f>
        <v>4</v>
      </c>
      <c r="D8" s="5">
        <f>D7+C8</f>
        <v>10</v>
      </c>
      <c r="E8" s="11">
        <f t="shared" ref="E8:E10" si="1">C8/$C$12</f>
        <v>0.19047619047619047</v>
      </c>
      <c r="F8" s="88">
        <f>F7+E8</f>
        <v>0.47619047619047616</v>
      </c>
      <c r="H8" s="20" t="s">
        <v>41</v>
      </c>
      <c r="I8" s="28"/>
    </row>
    <row r="9" spans="2:9">
      <c r="B9" s="90" t="s">
        <v>69</v>
      </c>
      <c r="C9" s="5">
        <f t="shared" si="0"/>
        <v>5</v>
      </c>
      <c r="D9" s="5">
        <f t="shared" ref="D9:D11" si="2">D8+C9</f>
        <v>15</v>
      </c>
      <c r="E9" s="11">
        <f t="shared" si="1"/>
        <v>0.23809523809523808</v>
      </c>
      <c r="F9" s="88">
        <f t="shared" ref="F9:F11" si="3">F8+E9</f>
        <v>0.71428571428571419</v>
      </c>
      <c r="H9" s="20" t="s">
        <v>42</v>
      </c>
      <c r="I9" s="28"/>
    </row>
    <row r="10" spans="2:9">
      <c r="B10" s="90" t="s">
        <v>73</v>
      </c>
      <c r="C10" s="5">
        <f t="shared" si="0"/>
        <v>3</v>
      </c>
      <c r="D10" s="5">
        <f t="shared" si="2"/>
        <v>18</v>
      </c>
      <c r="E10" s="11">
        <f t="shared" si="1"/>
        <v>0.14285714285714285</v>
      </c>
      <c r="F10" s="88">
        <f t="shared" si="3"/>
        <v>0.85714285714285698</v>
      </c>
      <c r="H10" s="20" t="s">
        <v>67</v>
      </c>
      <c r="I10" s="28"/>
    </row>
    <row r="11" spans="2:9">
      <c r="B11" s="90" t="s">
        <v>72</v>
      </c>
      <c r="C11" s="5">
        <f t="shared" si="0"/>
        <v>3</v>
      </c>
      <c r="D11" s="5">
        <f t="shared" si="2"/>
        <v>21</v>
      </c>
      <c r="E11" s="11">
        <f>C11/$C$12</f>
        <v>0.14285714285714285</v>
      </c>
      <c r="F11" s="88">
        <f t="shared" si="3"/>
        <v>0.99999999999999978</v>
      </c>
      <c r="H11" s="20" t="s">
        <v>68</v>
      </c>
      <c r="I11" s="28"/>
    </row>
    <row r="12" spans="2:9">
      <c r="B12" s="25" t="s">
        <v>0</v>
      </c>
      <c r="C12" s="5">
        <f>SUM(C7:C11)</f>
        <v>21</v>
      </c>
      <c r="D12" s="5"/>
      <c r="E12" s="11"/>
      <c r="F12" s="88"/>
    </row>
  </sheetData>
  <mergeCells count="1">
    <mergeCell ref="H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2021-09-23T01:30:51Z</dcterms:created>
  <dcterms:modified xsi:type="dcterms:W3CDTF">2021-09-28T03:25:46Z</dcterms:modified>
</cp:coreProperties>
</file>