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Jose\IEs 21\Probabilidad y estadistica\Trabajo practico n2\"/>
    </mc:Choice>
  </mc:AlternateContent>
  <xr:revisionPtr revIDLastSave="0" documentId="13_ncr:1_{F9C2F380-B84F-4C47-9F39-55DA21B6A598}" xr6:coauthVersionLast="47" xr6:coauthVersionMax="47" xr10:uidLastSave="{00000000-0000-0000-0000-000000000000}"/>
  <bookViews>
    <workbookView xWindow="7545" yWindow="690" windowWidth="21600" windowHeight="11385" firstSheet="1" activeTab="1" xr2:uid="{0FBDCA92-C7AB-467D-8D02-3935283778A3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2" l="1"/>
  <c r="J15" i="2"/>
  <c r="F15" i="2"/>
  <c r="C18" i="2"/>
  <c r="C17" i="2"/>
  <c r="C16" i="2"/>
  <c r="G3" i="2"/>
  <c r="F3" i="2"/>
  <c r="F23" i="3"/>
  <c r="F24" i="3" s="1"/>
  <c r="F25" i="3" s="1"/>
  <c r="F26" i="3" s="1"/>
  <c r="F27" i="3" s="1"/>
  <c r="F28" i="3" s="1"/>
  <c r="F29" i="3" s="1"/>
  <c r="F30" i="3" s="1"/>
  <c r="F22" i="3"/>
  <c r="F21" i="3"/>
  <c r="E31" i="3"/>
  <c r="E22" i="3"/>
  <c r="E23" i="3"/>
  <c r="E24" i="3"/>
  <c r="E25" i="3"/>
  <c r="E26" i="3"/>
  <c r="E27" i="3"/>
  <c r="E28" i="3"/>
  <c r="E29" i="3"/>
  <c r="E30" i="3"/>
  <c r="E21" i="3"/>
  <c r="D23" i="3"/>
  <c r="D24" i="3" s="1"/>
  <c r="D25" i="3" s="1"/>
  <c r="D26" i="3" s="1"/>
  <c r="D27" i="3" s="1"/>
  <c r="D28" i="3" s="1"/>
  <c r="D29" i="3" s="1"/>
  <c r="D30" i="3" s="1"/>
  <c r="D22" i="3"/>
  <c r="D21" i="3"/>
  <c r="C31" i="3"/>
  <c r="I16" i="2"/>
  <c r="I17" i="2"/>
  <c r="J17" i="2"/>
  <c r="J16" i="2"/>
  <c r="C19" i="2"/>
  <c r="H7" i="2"/>
  <c r="H3" i="2"/>
  <c r="G4" i="2"/>
  <c r="H4" i="2" s="1"/>
  <c r="G5" i="2"/>
  <c r="H5" i="2" s="1"/>
  <c r="G6" i="2"/>
  <c r="H6" i="2" s="1"/>
  <c r="G7" i="2"/>
  <c r="F4" i="2"/>
  <c r="F5" i="2"/>
  <c r="F6" i="2"/>
  <c r="F7" i="2"/>
  <c r="C11" i="2"/>
  <c r="E5" i="2"/>
  <c r="E6" i="2"/>
  <c r="E7" i="2"/>
  <c r="E4" i="2"/>
  <c r="B14" i="1"/>
  <c r="B13" i="1"/>
  <c r="D10" i="1"/>
  <c r="E10" i="1" s="1"/>
  <c r="E9" i="1"/>
  <c r="I9" i="1" s="1"/>
  <c r="B8" i="1"/>
  <c r="I20" i="1" s="1"/>
  <c r="H8" i="2" l="1"/>
  <c r="C15" i="2" s="1"/>
  <c r="I7" i="2" s="1"/>
  <c r="I6" i="2"/>
  <c r="I3" i="2"/>
  <c r="K3" i="2" s="1"/>
  <c r="L3" i="2" s="1"/>
  <c r="I5" i="2"/>
  <c r="D11" i="1"/>
  <c r="B10" i="1"/>
  <c r="B11" i="1" s="1"/>
  <c r="E19" i="1"/>
  <c r="I10" i="1"/>
  <c r="I4" i="2" l="1"/>
  <c r="J3" i="2"/>
  <c r="K6" i="2"/>
  <c r="L6" i="2" s="1"/>
  <c r="J6" i="2"/>
  <c r="K5" i="2"/>
  <c r="L5" i="2" s="1"/>
  <c r="J5" i="2"/>
  <c r="K4" i="2"/>
  <c r="L4" i="2" s="1"/>
  <c r="J4" i="2"/>
  <c r="J8" i="2" s="1"/>
  <c r="F16" i="2" s="1"/>
  <c r="K7" i="2"/>
  <c r="L7" i="2" s="1"/>
  <c r="L8" i="2" s="1"/>
  <c r="F17" i="2" s="1"/>
  <c r="F18" i="2" s="1"/>
  <c r="F19" i="2" s="1"/>
  <c r="J7" i="2"/>
  <c r="E11" i="1"/>
  <c r="D12" i="1" l="1"/>
  <c r="I11" i="1"/>
  <c r="E12" i="1" l="1"/>
  <c r="D13" i="1" l="1"/>
  <c r="I12" i="1"/>
  <c r="E13" i="1" l="1"/>
  <c r="F9" i="1" s="1" a="1"/>
  <c r="J12" i="1" s="1"/>
  <c r="H10" i="1" l="1"/>
  <c r="F9" i="1"/>
  <c r="G10" i="1"/>
  <c r="G11" i="1" s="1"/>
  <c r="G12" i="1" s="1"/>
  <c r="G13" i="1" s="1"/>
  <c r="H12" i="1"/>
  <c r="H11" i="1"/>
  <c r="H13" i="1"/>
  <c r="J10" i="1"/>
  <c r="J11" i="1"/>
  <c r="I13" i="1"/>
  <c r="J13" i="1" l="1"/>
  <c r="H23" i="1"/>
  <c r="H22" i="1"/>
  <c r="H21" i="1" s="1"/>
  <c r="F15" i="1"/>
  <c r="H9" i="1"/>
  <c r="J9" i="1"/>
  <c r="J15" i="1" s="1"/>
  <c r="H19" i="1" s="1"/>
  <c r="K9" i="1" l="1"/>
  <c r="K10" i="1"/>
  <c r="K11" i="1"/>
  <c r="K12" i="1"/>
  <c r="L19" i="1"/>
  <c r="K19" i="1" s="1"/>
  <c r="L20" i="1"/>
  <c r="K20" i="1" s="1"/>
  <c r="L21" i="1"/>
  <c r="K21" i="1" s="1"/>
  <c r="H20" i="1"/>
  <c r="K13" i="1"/>
  <c r="L13" i="1" l="1"/>
  <c r="M13" i="1"/>
  <c r="N13" i="1" s="1"/>
  <c r="M12" i="1"/>
  <c r="N12" i="1" s="1"/>
  <c r="L12" i="1"/>
  <c r="M11" i="1"/>
  <c r="N11" i="1" s="1"/>
  <c r="L11" i="1"/>
  <c r="L10" i="1"/>
  <c r="M10" i="1"/>
  <c r="N10" i="1" s="1"/>
  <c r="M9" i="1"/>
  <c r="N9" i="1" s="1"/>
  <c r="N15" i="1" s="1"/>
  <c r="E21" i="1" s="1"/>
  <c r="E22" i="1" s="1"/>
  <c r="E23" i="1" s="1"/>
  <c r="L9" i="1"/>
  <c r="L15" i="1" s="1"/>
  <c r="E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<sst xmlns="http://schemas.openxmlformats.org/spreadsheetml/2006/main" count="236" uniqueCount="193">
  <si>
    <t>n=</t>
  </si>
  <si>
    <t>LI</t>
  </si>
  <si>
    <t>LS</t>
  </si>
  <si>
    <t>f</t>
  </si>
  <si>
    <t>Fa</t>
  </si>
  <si>
    <t>fr</t>
  </si>
  <si>
    <t>Xma</t>
  </si>
  <si>
    <t>Xma*f</t>
  </si>
  <si>
    <t>|Xma-X|</t>
  </si>
  <si>
    <t>|Xma-X|*f</t>
  </si>
  <si>
    <t>(Xma-X)2</t>
  </si>
  <si>
    <t>(Xma-X)2 *f</t>
  </si>
  <si>
    <t>z=</t>
  </si>
  <si>
    <t>a=</t>
  </si>
  <si>
    <t>MD</t>
  </si>
  <si>
    <t>MTC</t>
  </si>
  <si>
    <t>MP</t>
  </si>
  <si>
    <t>RANGO</t>
  </si>
  <si>
    <t>X</t>
  </si>
  <si>
    <t>Q1</t>
  </si>
  <si>
    <t>DM</t>
  </si>
  <si>
    <t>MEDIANA</t>
  </si>
  <si>
    <t>Q2</t>
  </si>
  <si>
    <t>VAR</t>
  </si>
  <si>
    <t>MODA</t>
  </si>
  <si>
    <t>Q3</t>
  </si>
  <si>
    <t>DS</t>
  </si>
  <si>
    <t>d1=</t>
  </si>
  <si>
    <t>CV</t>
  </si>
  <si>
    <t>d2=</t>
  </si>
  <si>
    <t>FA</t>
  </si>
  <si>
    <t>(Xma *f)</t>
  </si>
  <si>
    <t>|Xma - X|</t>
  </si>
  <si>
    <t>|Xma - X|*f</t>
  </si>
  <si>
    <t>(Xma - X)2</t>
  </si>
  <si>
    <t>(Xma - X)2*f</t>
  </si>
  <si>
    <t>A =</t>
  </si>
  <si>
    <t>LI =</t>
  </si>
  <si>
    <t xml:space="preserve">z = </t>
  </si>
  <si>
    <t xml:space="preserve">LS = </t>
  </si>
  <si>
    <t>Me</t>
  </si>
  <si>
    <t>Mo</t>
  </si>
  <si>
    <t>d1 =</t>
  </si>
  <si>
    <t>d2 =</t>
  </si>
  <si>
    <t>frA</t>
  </si>
  <si>
    <t>Mexico</t>
  </si>
  <si>
    <t>Colombia</t>
  </si>
  <si>
    <t>España</t>
  </si>
  <si>
    <t>Peru</t>
  </si>
  <si>
    <t>Argentina</t>
  </si>
  <si>
    <t>Chile</t>
  </si>
  <si>
    <t>Ecuador</t>
  </si>
  <si>
    <t>Venezuela</t>
  </si>
  <si>
    <t>Guatemala</t>
  </si>
  <si>
    <t>Costa rica</t>
  </si>
  <si>
    <t>C</t>
  </si>
  <si>
    <t>M</t>
  </si>
  <si>
    <t>NC</t>
  </si>
  <si>
    <t>H</t>
  </si>
  <si>
    <t>La probabilidad de que tomando uno al azar no haya contratado viaje por internet es de :</t>
  </si>
  <si>
    <t>P (NC) = 60/200 = 0,3 = 30%</t>
  </si>
  <si>
    <t>Probabilidad de que sea mujer y que haya contratado viaje por internet :</t>
  </si>
  <si>
    <t>P ( M ∩ C ) = 56/200 = 0,28 = 28%</t>
  </si>
  <si>
    <t>Probabilidad de que sea hombre y que contrate viaje por internet :</t>
  </si>
  <si>
    <t>P ( H ∩ C ) = 84/200 = 0,42 = 42%</t>
  </si>
  <si>
    <t>V</t>
  </si>
  <si>
    <t>Z</t>
  </si>
  <si>
    <t>D</t>
  </si>
  <si>
    <t>AD</t>
  </si>
  <si>
    <t>P (M) = 17/30 = 0.5666 = 56.66%</t>
  </si>
  <si>
    <t>P (H/D) = 13/30 / 13/30 = 13/13 = 1</t>
  </si>
  <si>
    <t>P (H U AD) = 13/30 + 7/30 - 5/30 = 0.5 = 50%</t>
  </si>
  <si>
    <t>P (M ∩ Z) = 10/30 = 0.3333 = 33.33%</t>
  </si>
  <si>
    <t>P (Z / H) = 10/30 / 13/30 = 10/13 = 0.7692 = 76.92%</t>
  </si>
  <si>
    <t>P (D/M) = 13/30 / 17/30 = 13/17 = 0.7647 = 76.47%</t>
  </si>
  <si>
    <t>P (H U M) = 13/30 + 17/30 - 0 = 30/30 = 1</t>
  </si>
  <si>
    <t>P (AD U M) = 7/30 + 17/30 - 2/30 = 22/30 = 0.7333 = 73.33%</t>
  </si>
  <si>
    <t>P ( M U H ) = 17/30 + 13/30 - 0 = 30/30 = 1</t>
  </si>
  <si>
    <t>P ( Z U M) = 10/30 + 17/30 - 7/30 = 20/30 = 0.6666 = 66.66%</t>
  </si>
  <si>
    <t>a) Si una persona tiene 6 chaquetas y 10 pantalones se puede vestir de :</t>
  </si>
  <si>
    <t>6x10 = 60</t>
  </si>
  <si>
    <t>Se puede vestir de 60 formas diferentes</t>
  </si>
  <si>
    <t>b) Lo puede hacer de 105 formas diferentes. C= 15! /(15-2)! 2!</t>
  </si>
  <si>
    <t>c) Puede hacer 210 señales diferentes. C(10,4) = 210</t>
  </si>
  <si>
    <t>d) Se pueden sentar de 18 formas diferentes.  3*6 = 18</t>
  </si>
  <si>
    <t>e) Se pueden cubrir de 90 formas diferentes. V(10,2) = 10!/(10-2)! = 90</t>
  </si>
  <si>
    <t>a) 1) n=7</t>
  </si>
  <si>
    <t>k = 0</t>
  </si>
  <si>
    <t>p = 0.3</t>
  </si>
  <si>
    <t>q = 0.7</t>
  </si>
  <si>
    <t>7!</t>
  </si>
  <si>
    <t>0! (7 - 0)! = 1</t>
  </si>
  <si>
    <t>P(x = 0) = 1 (0.3^0) . (0.7 ^ 7) = 0.0823543 = 8.23%</t>
  </si>
  <si>
    <t>2)</t>
  </si>
  <si>
    <t>2) n = 7</t>
  </si>
  <si>
    <t>k = 7</t>
  </si>
  <si>
    <t>7! (7 - 7)! = 1</t>
  </si>
  <si>
    <t>P(x= 7) = 1 (0.3^7) . (0.7^0) = 0.0002187 = 0.02%</t>
  </si>
  <si>
    <t>3)</t>
  </si>
  <si>
    <t>P(x = 2) = 21 (0.3^2) . (0.7^5) = 0.3176523 = 31,76%</t>
  </si>
  <si>
    <t>P(x = 1) = 7 (0.3^1) . (0.7^6) = 0.2471 = 24,71%</t>
  </si>
  <si>
    <t>Total =  56.47%</t>
  </si>
  <si>
    <t>4)</t>
  </si>
  <si>
    <t>P(x = 3) = 35 (0.3^3) (0.7^4) = 0.2268945 = 22,68%</t>
  </si>
  <si>
    <t>Total = 79,15%</t>
  </si>
  <si>
    <t>b)</t>
  </si>
  <si>
    <t>p = 0.5</t>
  </si>
  <si>
    <t>q= 0.5</t>
  </si>
  <si>
    <t>n = 4</t>
  </si>
  <si>
    <t>x = 3</t>
  </si>
  <si>
    <t xml:space="preserve">p(3) = </t>
  </si>
  <si>
    <t>4!</t>
  </si>
  <si>
    <t>3! (4-3)!  (0.5)^3 (0.5)^4-3</t>
  </si>
  <si>
    <t>4.3! (0.5)^3 (0.5)^ 4-3</t>
  </si>
  <si>
    <t>3!</t>
  </si>
  <si>
    <t>4(0.5) ^ 3 (0.5)^1 = 0.25 = 25%</t>
  </si>
  <si>
    <t>c) 1)</t>
  </si>
  <si>
    <t>n = 9</t>
  </si>
  <si>
    <t>k = 5</t>
  </si>
  <si>
    <t>q = 0.5</t>
  </si>
  <si>
    <t>p(x=k) (10/5) (.5)^5 (.5)^5</t>
  </si>
  <si>
    <t>p(x=5) = 0.2461 = 24,61%</t>
  </si>
  <si>
    <t>d)</t>
  </si>
  <si>
    <t>n= 60</t>
  </si>
  <si>
    <t>p= 0.01</t>
  </si>
  <si>
    <t>q= 0.99</t>
  </si>
  <si>
    <t>ʎ = n*p = 60 *0.01 = 0.60</t>
  </si>
  <si>
    <t>e = 2.7182</t>
  </si>
  <si>
    <t>1 -</t>
  </si>
  <si>
    <t xml:space="preserve">x = 3 </t>
  </si>
  <si>
    <t>P(3) = 0.6 ^3* 2.7182^0.60/3! = 0.02 = 2%</t>
  </si>
  <si>
    <t>2-</t>
  </si>
  <si>
    <t>x = 0</t>
  </si>
  <si>
    <t>p(0) = 0.6 ^ 0 * 2.7182 ^ 0.6 / 0! = 0.55 = 55%</t>
  </si>
  <si>
    <t>3- Encontremos mas de 4</t>
  </si>
  <si>
    <t>p(1,2,3,4) = 0.329 + 0.099 + 0.02 + 0.003 = 0.451 entonces, Probabilidad de que sean mas de 4 = 1- 0.451 = 0.549 = 54,9%</t>
  </si>
  <si>
    <t>4-</t>
  </si>
  <si>
    <t>((5nCr0) * (500-5) nCr (60-0))/500nCr60 = 0.5262</t>
  </si>
  <si>
    <t>((5nCr1) * (500-5) nCr (60-1))/500nCr60 = 0.3621</t>
  </si>
  <si>
    <t>((5nCr2) * (500-5) nCr (60-2))/500nCr60 = 0.0978</t>
  </si>
  <si>
    <t xml:space="preserve">Total = 0.9861 = 98,61% </t>
  </si>
  <si>
    <t>1 - 0.9861</t>
  </si>
  <si>
    <t>e) 1)</t>
  </si>
  <si>
    <t>1-</t>
  </si>
  <si>
    <t>((7C2).(33C8))/(40C10) = 0,343 = 34,3%</t>
  </si>
  <si>
    <t>((7C0).(33C10))/(40C10) = 0,109 = 10,9%</t>
  </si>
  <si>
    <t>3-</t>
  </si>
  <si>
    <t>((7C7).(33C3))/(40C10) = 0,000006 = 0.0006%</t>
  </si>
  <si>
    <t>((7C1).(33C9))/(40C10) = 0.3184 = 31,84%</t>
  </si>
  <si>
    <t>Total = 0.6614 = 66,14%</t>
  </si>
  <si>
    <t>5-</t>
  </si>
  <si>
    <t>f) 1)</t>
  </si>
  <si>
    <t>x = 0,1,2,3, etc</t>
  </si>
  <si>
    <t>ʎ = 6</t>
  </si>
  <si>
    <t>e = 2.718</t>
  </si>
  <si>
    <t>p(4,6) = (2.718) ^6 6^4 =</t>
  </si>
  <si>
    <t>(0.00248) (1296)/ 24 = 0.13392 = 13,39%</t>
  </si>
  <si>
    <t>ʎ = 12</t>
  </si>
  <si>
    <t>p(4,6) = (12) ^10 (2.718) ^ 12 / 10!</t>
  </si>
  <si>
    <t>(61917364) ^ 10(0.000006151) / 3628800</t>
  </si>
  <si>
    <t>0.104953 = 10,49%</t>
  </si>
  <si>
    <t>0.00247 = 0,24%</t>
  </si>
  <si>
    <t>g)</t>
  </si>
  <si>
    <t>n = 180</t>
  </si>
  <si>
    <t>p = 0.02</t>
  </si>
  <si>
    <t>q = 0.98</t>
  </si>
  <si>
    <t>x = 4</t>
  </si>
  <si>
    <t>180 nCr 4*(0,02^4) * (0,98^180-4) = 0,193 = 19,3%</t>
  </si>
  <si>
    <t>a)</t>
  </si>
  <si>
    <t>p(21≤X ≤ 27) = p (21-23) / 5 ≤ Z ≤ (75-70) / 5</t>
  </si>
  <si>
    <t>P (0.64 ≤ Z ≤ 0.8)</t>
  </si>
  <si>
    <t>P (Z ≤ 0.8) - P (Z ≥ 0.4)</t>
  </si>
  <si>
    <t>P (Z ≤ 0.8) - (1 - P(Z ≤0.4))</t>
  </si>
  <si>
    <t>P(Z≤0.8) = 0.7881 y P (Z≤0.4 ) = 0.6554</t>
  </si>
  <si>
    <t>30. p (21 ≤ X ≤ 27 ) = 30 . P(21-23)/5 ≤ Z ≤ (27-23)/5</t>
  </si>
  <si>
    <t>(30)(0.7881 - (1 - 0.6554))</t>
  </si>
  <si>
    <t>(30)(0.4435)</t>
  </si>
  <si>
    <t>13,27%</t>
  </si>
  <si>
    <t>En la temporada solamente 13 dias llegaran a temperaturas entre 21 y 27 grados.</t>
  </si>
  <si>
    <t>p[60 ≤ X ≤ 75] = p(60 - 70)/3 ≤ Z ≤ (75-70)/3</t>
  </si>
  <si>
    <t>p(-3.33 ≤ Z ≤ 1.67) = p (Z ≤1.67) - [1- p (Z ≤ 3.33)] =</t>
  </si>
  <si>
    <t>0.9525 - (1 - 0.9996) = 0.9521.5 = 476</t>
  </si>
  <si>
    <t>b) Entre  60kg y  75kg</t>
  </si>
  <si>
    <t>Mas de 90kg</t>
  </si>
  <si>
    <t>p(X &gt; 90) = p (Z &gt; 90 -70/3) = p(Z &gt; 6.67) =</t>
  </si>
  <si>
    <t>1 - p (Z&lt;6.67 ) = 1 - 1 = 0.5 = 0</t>
  </si>
  <si>
    <t>Menos de 64kg</t>
  </si>
  <si>
    <t>p(x &lt; 64) = p( Z&lt;64-70/3) = p(Z = &lt; 2) = 1 - p (Z ≤2) =</t>
  </si>
  <si>
    <t>1 - 0.7772 = 0.02128.5 = 11</t>
  </si>
  <si>
    <t>61kg</t>
  </si>
  <si>
    <t>p(x&lt;64) = p(Z &lt; 64-70/3) = p(Z = -2) = 0.5 = 0</t>
  </si>
  <si>
    <t>64kg o menos</t>
  </si>
  <si>
    <t>p(x ≤ 64) = p(x &lt;64) =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</si>
</sst>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 "/>
    </font>
    <font>
      <b/>
      <sz val="11"/>
      <color theme="1"/>
      <name val="Calibri "/>
    </font>
    <font>
      <sz val="11"/>
      <color theme="1"/>
      <name val="Calibri 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9E2F3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9">
    <xf numFmtId="0" fontId="0" fillId="0" borderId="0" xfId="0"/>
    <xf numFmtId="0" fontId="4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justify"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6" borderId="5" xfId="2" applyFont="1" applyFill="1" applyBorder="1" applyAlignment="1">
      <alignment horizontal="center" vertical="center"/>
    </xf>
    <xf numFmtId="0" fontId="4" fillId="6" borderId="5" xfId="3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165" fontId="4" fillId="0" borderId="6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166" fontId="4" fillId="0" borderId="5" xfId="0" applyNumberFormat="1" applyFont="1" applyBorder="1" applyAlignment="1">
      <alignment horizontal="center"/>
    </xf>
    <xf numFmtId="166" fontId="0" fillId="0" borderId="0" xfId="0" applyNumberFormat="1"/>
    <xf numFmtId="0" fontId="0" fillId="0" borderId="5" xfId="0" applyBorder="1"/>
    <xf numFmtId="165" fontId="0" fillId="0" borderId="5" xfId="0" applyNumberFormat="1" applyBorder="1"/>
    <xf numFmtId="2" fontId="0" fillId="0" borderId="5" xfId="0" applyNumberFormat="1" applyBorder="1"/>
    <xf numFmtId="166" fontId="0" fillId="0" borderId="5" xfId="0" applyNumberFormat="1" applyBorder="1"/>
    <xf numFmtId="0" fontId="4" fillId="7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7" borderId="5" xfId="0" applyFont="1" applyFill="1" applyBorder="1"/>
    <xf numFmtId="2" fontId="4" fillId="6" borderId="5" xfId="3" applyNumberFormat="1" applyFont="1" applyFill="1" applyBorder="1" applyAlignment="1">
      <alignment horizontal="center"/>
    </xf>
    <xf numFmtId="166" fontId="4" fillId="6" borderId="5" xfId="0" applyNumberFormat="1" applyFont="1" applyFill="1" applyBorder="1" applyAlignment="1">
      <alignment horizontal="center"/>
    </xf>
    <xf numFmtId="2" fontId="4" fillId="6" borderId="5" xfId="2" applyNumberFormat="1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 vertical="center"/>
    </xf>
    <xf numFmtId="0" fontId="4" fillId="0" borderId="0" xfId="0" applyFont="1"/>
    <xf numFmtId="164" fontId="4" fillId="6" borderId="5" xfId="1" applyNumberFormat="1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2" xfId="0" applyFill="1" applyBorder="1"/>
    <xf numFmtId="0" fontId="7" fillId="0" borderId="5" xfId="0" applyFont="1" applyBorder="1" applyAlignment="1">
      <alignment horizontal="center" vertical="center" wrapText="1"/>
    </xf>
    <xf numFmtId="9" fontId="0" fillId="0" borderId="5" xfId="1" applyFont="1" applyBorder="1"/>
    <xf numFmtId="0" fontId="0" fillId="0" borderId="0" xfId="0" applyBorder="1"/>
    <xf numFmtId="0" fontId="8" fillId="0" borderId="0" xfId="0" applyFont="1" applyAlignment="1">
      <alignment horizontal="right"/>
    </xf>
    <xf numFmtId="0" fontId="4" fillId="4" borderId="5" xfId="0" applyFont="1" applyFill="1" applyBorder="1" applyAlignment="1">
      <alignment horizontal="center"/>
    </xf>
    <xf numFmtId="0" fontId="4" fillId="4" borderId="5" xfId="0" applyFont="1" applyFill="1" applyBorder="1"/>
    <xf numFmtId="0" fontId="0" fillId="6" borderId="5" xfId="0" applyFill="1" applyBorder="1" applyAlignment="1">
      <alignment horizontal="center"/>
    </xf>
    <xf numFmtId="166" fontId="0" fillId="6" borderId="5" xfId="0" applyNumberForma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10" fontId="0" fillId="6" borderId="5" xfId="1" applyNumberFormat="1" applyFont="1" applyFill="1" applyBorder="1" applyAlignment="1">
      <alignment horizontal="center"/>
    </xf>
    <xf numFmtId="1" fontId="0" fillId="0" borderId="0" xfId="0" applyNumberFormat="1"/>
    <xf numFmtId="0" fontId="4" fillId="4" borderId="12" xfId="0" applyFont="1" applyFill="1" applyBorder="1"/>
    <xf numFmtId="0" fontId="4" fillId="6" borderId="13" xfId="0" applyFont="1" applyFill="1" applyBorder="1"/>
    <xf numFmtId="166" fontId="4" fillId="0" borderId="13" xfId="0" applyNumberFormat="1" applyFont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8" borderId="14" xfId="0" applyFill="1" applyBorder="1"/>
    <xf numFmtId="10" fontId="0" fillId="0" borderId="5" xfId="1" applyNumberFormat="1" applyFont="1" applyBorder="1" applyAlignment="1">
      <alignment horizontal="center"/>
    </xf>
    <xf numFmtId="10" fontId="0" fillId="6" borderId="5" xfId="0" applyNumberFormat="1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/>
    <xf numFmtId="0" fontId="0" fillId="0" borderId="12" xfId="0" applyBorder="1" applyAlignment="1">
      <alignment horizontal="center"/>
    </xf>
    <xf numFmtId="10" fontId="0" fillId="0" borderId="5" xfId="0" applyNumberFormat="1" applyBorder="1"/>
    <xf numFmtId="0" fontId="9" fillId="0" borderId="15" xfId="0" applyFont="1" applyBorder="1" applyAlignment="1">
      <alignment horizontal="center" vertical="center" wrapText="1"/>
    </xf>
    <xf numFmtId="0" fontId="9" fillId="9" borderId="16" xfId="0" applyFont="1" applyFill="1" applyBorder="1" applyAlignment="1">
      <alignment horizontal="center" vertical="center" wrapText="1"/>
    </xf>
    <xf numFmtId="0" fontId="9" fillId="9" borderId="17" xfId="0" applyFont="1" applyFill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9" borderId="18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horizontal="center" vertical="center" wrapText="1"/>
    </xf>
    <xf numFmtId="0" fontId="9" fillId="10" borderId="20" xfId="0" applyFont="1" applyFill="1" applyBorder="1" applyAlignment="1">
      <alignment horizontal="center" vertical="center" wrapText="1"/>
    </xf>
    <xf numFmtId="0" fontId="10" fillId="11" borderId="20" xfId="0" applyFont="1" applyFill="1" applyBorder="1" applyAlignment="1">
      <alignment horizontal="center" vertical="center" wrapText="1"/>
    </xf>
    <xf numFmtId="0" fontId="12" fillId="9" borderId="16" xfId="0" applyFont="1" applyFill="1" applyBorder="1" applyAlignment="1">
      <alignment horizontal="center" vertical="center" wrapText="1"/>
    </xf>
    <xf numFmtId="0" fontId="12" fillId="9" borderId="17" xfId="0" applyFont="1" applyFill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2" fillId="9" borderId="18" xfId="0" applyFont="1" applyFill="1" applyBorder="1" applyAlignment="1">
      <alignment horizontal="center" vertical="center" wrapText="1"/>
    </xf>
    <xf numFmtId="0" fontId="12" fillId="12" borderId="18" xfId="0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13" fillId="0" borderId="0" xfId="0" applyFont="1"/>
    <xf numFmtId="0" fontId="14" fillId="0" borderId="0" xfId="0" applyFont="1"/>
    <xf numFmtId="10" fontId="0" fillId="0" borderId="0" xfId="0" applyNumberFormat="1"/>
    <xf numFmtId="0" fontId="9" fillId="0" borderId="0" xfId="0" applyFont="1"/>
  </cellXfs>
  <cellStyles count="4">
    <cellStyle name="Bueno" xfId="2" builtinId="26"/>
    <cellStyle name="Neutral" xfId="3" builtinId="2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Histograma de frecuencias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[1]Hoja3!$D$9:$E$13</c:f>
              <c:multiLvlStrCache>
                <c:ptCount val="5"/>
                <c:lvl>
                  <c:pt idx="0">
                    <c:v>1.2</c:v>
                  </c:pt>
                  <c:pt idx="1">
                    <c:v>2.3</c:v>
                  </c:pt>
                  <c:pt idx="2">
                    <c:v>3.4</c:v>
                  </c:pt>
                  <c:pt idx="3">
                    <c:v>4.5</c:v>
                  </c:pt>
                  <c:pt idx="4">
                    <c:v>5.6</c:v>
                  </c:pt>
                </c:lvl>
                <c:lvl>
                  <c:pt idx="0">
                    <c:v>0.2</c:v>
                  </c:pt>
                  <c:pt idx="1">
                    <c:v>1.3</c:v>
                  </c:pt>
                  <c:pt idx="2">
                    <c:v>2.4</c:v>
                  </c:pt>
                  <c:pt idx="3">
                    <c:v>3.5</c:v>
                  </c:pt>
                  <c:pt idx="4">
                    <c:v>4.6</c:v>
                  </c:pt>
                </c:lvl>
              </c:multiLvlStrCache>
            </c:multiLvlStrRef>
          </c:cat>
          <c:val>
            <c:numRef>
              <c:f>[1]Hoja3!$F$9:$F$14</c:f>
              <c:numCache>
                <c:formatCode>General</c:formatCode>
                <c:ptCount val="6"/>
                <c:pt idx="0">
                  <c:v>35</c:v>
                </c:pt>
                <c:pt idx="1">
                  <c:v>18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BC-43A4-8218-C9D2D1E96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924156816"/>
        <c:axId val="924158480"/>
      </c:barChart>
      <c:lineChart>
        <c:grouping val="standard"/>
        <c:varyColors val="0"/>
        <c:ser>
          <c:idx val="1"/>
          <c:order val="1"/>
          <c:tx>
            <c:v>Poligono de frecuencias absolutas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[1]Hoja3!$F$9:$F$14</c:f>
              <c:numCache>
                <c:formatCode>General</c:formatCode>
                <c:ptCount val="6"/>
                <c:pt idx="0">
                  <c:v>35</c:v>
                </c:pt>
                <c:pt idx="1">
                  <c:v>18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BC-43A4-8218-C9D2D1E96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4156816"/>
        <c:axId val="924158480"/>
      </c:lineChart>
      <c:catAx>
        <c:axId val="92415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158480"/>
        <c:crosses val="autoZero"/>
        <c:auto val="1"/>
        <c:lblAlgn val="ctr"/>
        <c:lblOffset val="100"/>
        <c:noMultiLvlLbl val="0"/>
      </c:catAx>
      <c:valAx>
        <c:axId val="92415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15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Histograma de frecuencias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solidFill>
                <a:schemeClr val="tx1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Hoja2!$B$3:$C$7</c:f>
              <c:multiLvlStrCache>
                <c:ptCount val="5"/>
                <c:lvl>
                  <c:pt idx="0">
                    <c:v>99</c:v>
                  </c:pt>
                  <c:pt idx="1">
                    <c:v>149</c:v>
                  </c:pt>
                  <c:pt idx="2">
                    <c:v>199</c:v>
                  </c:pt>
                  <c:pt idx="3">
                    <c:v>249</c:v>
                  </c:pt>
                  <c:pt idx="4">
                    <c:v>300</c:v>
                  </c:pt>
                </c:lvl>
                <c:lvl>
                  <c:pt idx="0">
                    <c:v>50</c:v>
                  </c:pt>
                  <c:pt idx="1">
                    <c:v>100</c:v>
                  </c:pt>
                  <c:pt idx="2">
                    <c:v>150</c:v>
                  </c:pt>
                  <c:pt idx="3">
                    <c:v>200</c:v>
                  </c:pt>
                  <c:pt idx="4">
                    <c:v>250</c:v>
                  </c:pt>
                </c:lvl>
              </c:multiLvlStrCache>
            </c:multiLvlStrRef>
          </c:cat>
          <c:val>
            <c:numRef>
              <c:f>Hoja2!$D$3:$D$7</c:f>
              <c:numCache>
                <c:formatCode>General</c:formatCode>
                <c:ptCount val="5"/>
                <c:pt idx="0">
                  <c:v>6</c:v>
                </c:pt>
                <c:pt idx="1">
                  <c:v>12</c:v>
                </c:pt>
                <c:pt idx="2">
                  <c:v>15</c:v>
                </c:pt>
                <c:pt idx="3">
                  <c:v>10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7F-4EC9-B92B-2DB93A87F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14042927"/>
        <c:axId val="1011821423"/>
      </c:barChart>
      <c:lineChart>
        <c:grouping val="standard"/>
        <c:varyColors val="0"/>
        <c:ser>
          <c:idx val="1"/>
          <c:order val="1"/>
          <c:tx>
            <c:v>Poligono de frecuencias absolutas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Hoja2!$B$3:$C$7</c:f>
              <c:multiLvlStrCache>
                <c:ptCount val="5"/>
                <c:lvl>
                  <c:pt idx="0">
                    <c:v>99</c:v>
                  </c:pt>
                  <c:pt idx="1">
                    <c:v>149</c:v>
                  </c:pt>
                  <c:pt idx="2">
                    <c:v>199</c:v>
                  </c:pt>
                  <c:pt idx="3">
                    <c:v>249</c:v>
                  </c:pt>
                  <c:pt idx="4">
                    <c:v>300</c:v>
                  </c:pt>
                </c:lvl>
                <c:lvl>
                  <c:pt idx="0">
                    <c:v>50</c:v>
                  </c:pt>
                  <c:pt idx="1">
                    <c:v>100</c:v>
                  </c:pt>
                  <c:pt idx="2">
                    <c:v>150</c:v>
                  </c:pt>
                  <c:pt idx="3">
                    <c:v>200</c:v>
                  </c:pt>
                  <c:pt idx="4">
                    <c:v>250</c:v>
                  </c:pt>
                </c:lvl>
              </c:multiLvlStrCache>
            </c:multiLvlStrRef>
          </c:cat>
          <c:val>
            <c:numRef>
              <c:f>Hoja2!$D$3:$D$7</c:f>
              <c:numCache>
                <c:formatCode>General</c:formatCode>
                <c:ptCount val="5"/>
                <c:pt idx="0">
                  <c:v>6</c:v>
                </c:pt>
                <c:pt idx="1">
                  <c:v>12</c:v>
                </c:pt>
                <c:pt idx="2">
                  <c:v>15</c:v>
                </c:pt>
                <c:pt idx="3">
                  <c:v>10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7F-4EC9-B92B-2DB93A87F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4042927"/>
        <c:axId val="1011821423"/>
      </c:lineChart>
      <c:catAx>
        <c:axId val="1014042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821423"/>
        <c:crosses val="autoZero"/>
        <c:auto val="1"/>
        <c:lblAlgn val="ctr"/>
        <c:lblOffset val="100"/>
        <c:noMultiLvlLbl val="0"/>
      </c:catAx>
      <c:valAx>
        <c:axId val="101182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042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238125</xdr:colOff>
      <xdr:row>1</xdr:row>
      <xdr:rowOff>4762</xdr:rowOff>
    </xdr:from>
    <xdr:to>
      <xdr:col>20</xdr:col>
      <xdr:colOff>238125</xdr:colOff>
      <xdr:row>15</xdr:row>
      <xdr:rowOff>33337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0C71B5F-4514-4BC2-964F-A663C156FB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1</xdr:colOff>
      <xdr:row>24</xdr:row>
      <xdr:rowOff>142874</xdr:rowOff>
    </xdr:from>
    <xdr:ext cx="7591424" cy="3019425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4FF54703-A72A-442F-84AA-F337A1DFDB34}"/>
            </a:ext>
          </a:extLst>
        </xdr:cNvPr>
        <xdr:cNvSpPr txBox="1"/>
      </xdr:nvSpPr>
      <xdr:spPr>
        <a:xfrm>
          <a:off x="762001" y="4772024"/>
          <a:ext cx="7591424" cy="3019425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es-E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Cordoba, 5 de nov de 2021</a:t>
          </a:r>
          <a:endParaRPr lang="en-US">
            <a:effectLst/>
          </a:endParaRPr>
        </a:p>
        <a:p>
          <a:pPr algn="l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traves de los datos obtenidos podemos decir que:</a:t>
          </a:r>
        </a:p>
        <a:p>
          <a:pPr algn="l"/>
          <a:endParaRPr lang="en-US" sz="1100" b="1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 variable a analizar es cuantitativa y continua.</a:t>
          </a:r>
        </a:p>
        <a:p>
          <a:pPr algn="l"/>
          <a:endParaRPr lang="en-US">
            <a:effectLst/>
          </a:endParaRPr>
        </a:p>
        <a:p>
          <a:pPr algn="l"/>
          <a:r>
            <a:rPr lang="es-E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</a:t>
          </a:r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promedio la cantidad de minutos requeridos para atender a un cliente es de 1,36.</a:t>
          </a:r>
        </a:p>
        <a:p>
          <a:pPr algn="l"/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 50% se atiende a los clientes menos de 1.06 minutos y el resto mas de 1.06. Pero mayormente se necesitan aproximadamente</a:t>
          </a:r>
        </a:p>
        <a:p>
          <a:pPr algn="l"/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0.87 minutos.</a:t>
          </a:r>
        </a:p>
        <a:p>
          <a:pPr algn="l"/>
          <a:endParaRPr lang="en-US">
            <a:effectLst/>
          </a:endParaRPr>
        </a:p>
        <a:p>
          <a:pPr algn="l"/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Para el análisis de los datos se define un rango de 5(se analizan los valores entre 0.2 y 5.2)</a:t>
          </a:r>
        </a:p>
        <a:p>
          <a:pPr algn="l"/>
          <a:endParaRPr lang="en-US">
            <a:effectLst/>
          </a:endParaRPr>
        </a:p>
        <a:p>
          <a:pPr algn="l"/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Los minutos se alejan de los valores centrales en aproximadamente 0,77 y 0,97.</a:t>
          </a:r>
        </a:p>
        <a:p>
          <a:pPr algn="l"/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 general, serían 0.94 aproximadamente los minutos que no se ajustan a los valores medios. </a:t>
          </a:r>
          <a:endParaRPr lang="en-US">
            <a:effectLst/>
          </a:endParaRPr>
        </a:p>
        <a:p>
          <a:pPr algn="l"/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 conclusión se puede afirmar que los datos analizados son del tipo heterogeneo y que el 71,1 % de los minutos</a:t>
          </a:r>
        </a:p>
        <a:p>
          <a:pPr algn="l"/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están alejados de los valores centrales. </a:t>
          </a:r>
          <a:endParaRPr lang="en-US">
            <a:effectLst/>
          </a:endParaRPr>
        </a:p>
        <a:p>
          <a:pPr algn="l"/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Además, el 25% requieren menos de 0.629 minutos; el 50%  menos de 1,057 y por ùltimo el 75% requieren menos de </a:t>
          </a:r>
        </a:p>
        <a:p>
          <a:pPr algn="l"/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1.86 minutos.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</xdr:row>
      <xdr:rowOff>4762</xdr:rowOff>
    </xdr:from>
    <xdr:to>
      <xdr:col>19</xdr:col>
      <xdr:colOff>9525</xdr:colOff>
      <xdr:row>15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47321EA-7F54-4579-A7EF-17AF943E6C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28575</xdr:colOff>
      <xdr:row>21</xdr:row>
      <xdr:rowOff>142875</xdr:rowOff>
    </xdr:from>
    <xdr:ext cx="184731" cy="26456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AC4491DC-7E6C-486D-AF87-E310BFBC12DD}"/>
            </a:ext>
          </a:extLst>
        </xdr:cNvPr>
        <xdr:cNvSpPr txBox="1"/>
      </xdr:nvSpPr>
      <xdr:spPr>
        <a:xfrm>
          <a:off x="790575" y="4152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4917</xdr:colOff>
      <xdr:row>21</xdr:row>
      <xdr:rowOff>180975</xdr:rowOff>
    </xdr:from>
    <xdr:ext cx="11096820" cy="2331279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C773F661-2787-46D7-9D43-ED00D381D195}"/>
            </a:ext>
          </a:extLst>
        </xdr:cNvPr>
        <xdr:cNvSpPr txBox="1"/>
      </xdr:nvSpPr>
      <xdr:spPr>
        <a:xfrm>
          <a:off x="766917" y="4572000"/>
          <a:ext cx="11096820" cy="2331279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es-E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Cordoba, 5 de nov de 2021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traves de los datos obtenidos podemos decir que:</a:t>
          </a:r>
        </a:p>
        <a:p>
          <a:endParaRPr lang="en-US" sz="1100" b="1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</a:t>
          </a:r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promedio el minimo que estan dispuestos las empresas a invertir es de 175.</a:t>
          </a:r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 50% de empresas estarian dispuestas a invertir un minimo de 173.333 y el resto mas de esto. Pero mayormente 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 inversion es de aproximadamente 168.750</a:t>
          </a:r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Para el análisis de los datos se</a:t>
          </a:r>
          <a:r>
            <a:rPr lang="es-ES" sz="1100" b="1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define un rango de 250(se analizan los valores entre 50 y 300).</a:t>
          </a:r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Las inversiones se alejan de los valores centrales en aproximadamente 48 y 60,828.</a:t>
          </a:r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 general, serían 3700 aproximadamente las inversiones que no se ajustan a los valores medios. </a:t>
          </a:r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 conclusión se puede afirmar que los datos analizados son del tipo heterogeneo y el 34,76 % de las inversiones</a:t>
          </a:r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están alejadas de los valores centrales. </a:t>
          </a:r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Además, el 25% invierten menos de 127,083; el 50%  menos de 173,333 y por ùltimo el 75% menos de </a:t>
          </a:r>
          <a:endParaRPr lang="en-US">
            <a:effectLst/>
          </a:endParaRPr>
        </a:p>
        <a:p>
          <a:r>
            <a:rPr lang="es-E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222,500. </a:t>
          </a:r>
          <a:endParaRPr lang="en-US">
            <a:effectLst/>
          </a:endParaRPr>
        </a:p>
        <a:p>
          <a:r>
            <a:rPr lang="en-US" sz="1100" b="1"/>
            <a:t>La</a:t>
          </a:r>
          <a:r>
            <a:rPr lang="en-US" sz="1100" b="1" baseline="0"/>
            <a:t> cantidad de empresas que mas han invertido son 7</a:t>
          </a:r>
          <a:r>
            <a:rPr lang="en-US" sz="1100" b="1"/>
            <a:t>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95250</xdr:colOff>
      <xdr:row>18</xdr:row>
      <xdr:rowOff>85725</xdr:rowOff>
    </xdr:to>
    <xdr:pic>
      <xdr:nvPicPr>
        <xdr:cNvPr id="2" name="Imagen 1" descr="GRÁFICOS ESTADISTICOS - Tutorial de funciones en Excel">
          <a:extLst>
            <a:ext uri="{FF2B5EF4-FFF2-40B4-BE49-F238E27FC236}">
              <a16:creationId xmlns:a16="http://schemas.microsoft.com/office/drawing/2014/main" id="{D7296CDC-8C89-4ED0-BAAC-85ED79949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0500"/>
          <a:ext cx="4667250" cy="3324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171449</xdr:colOff>
      <xdr:row>32</xdr:row>
      <xdr:rowOff>100013</xdr:rowOff>
    </xdr:from>
    <xdr:to>
      <xdr:col>9</xdr:col>
      <xdr:colOff>638174</xdr:colOff>
      <xdr:row>40</xdr:row>
      <xdr:rowOff>66675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6BB8A8DB-9385-4BB9-861C-04CE7F46C059}"/>
            </a:ext>
          </a:extLst>
        </xdr:cNvPr>
        <xdr:cNvSpPr txBox="1"/>
      </xdr:nvSpPr>
      <xdr:spPr>
        <a:xfrm>
          <a:off x="933449" y="6196013"/>
          <a:ext cx="6562725" cy="1490662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Cordoba, 5 de nov de 2021</a:t>
          </a:r>
        </a:p>
        <a:p>
          <a:pPr algn="r"/>
          <a:endParaRPr lang="en-US">
            <a:effectLst/>
          </a:endParaRPr>
        </a:p>
        <a:p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 siguiente grafico que representa las 100 ventas por lotes de ropa deportiva realizadas a los distintos países por una fábrica textil de nombre conocido,</a:t>
          </a:r>
          <a:r>
            <a:rPr lang="es-E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traves de los datos obtenidos podemos decir que:</a:t>
          </a:r>
        </a:p>
        <a:p>
          <a:endParaRPr lang="en-US">
            <a:effectLst/>
          </a:endParaRPr>
        </a:p>
        <a:p>
          <a:r>
            <a:rPr lang="en-US" b="1">
              <a:effectLst/>
            </a:rPr>
            <a:t>La</a:t>
          </a:r>
          <a:r>
            <a:rPr lang="en-US" b="1" baseline="0">
              <a:effectLst/>
            </a:rPr>
            <a:t> mayoria de las ventas se realizaron en Mexico con un 22% respectivamente.</a:t>
          </a:r>
        </a:p>
        <a:p>
          <a:r>
            <a:rPr lang="en-US" b="1" baseline="0">
              <a:effectLst/>
            </a:rPr>
            <a:t>Las mayores ventas fueron realizadas en Mexico como principal vendedor y seguida por Colombia y España.</a:t>
          </a:r>
        </a:p>
        <a:p>
          <a:r>
            <a:rPr lang="en-US" b="1" baseline="0">
              <a:effectLst/>
            </a:rPr>
            <a:t>Los paises donde menos ventas se realizaron son Guatemala y Venezuela con un 1%.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/Desktop/Jose/IEs%2021/Probabilidad%20y%20estadistica/Trabajo%20Practico%20n1/BOSCHERO%20JOSE%20-%20TURNO%20MA&#209;ANA%20-%20INFORMATICA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  <sheetName val="Hoja4"/>
      <sheetName val="Hoja5"/>
      <sheetName val="Hoja6"/>
      <sheetName val="Hoja7"/>
      <sheetName val="Hoja8"/>
    </sheetNames>
    <sheetDataSet>
      <sheetData sheetId="0"/>
      <sheetData sheetId="1"/>
      <sheetData sheetId="2">
        <row r="9">
          <cell r="D9">
            <v>0.2</v>
          </cell>
          <cell r="E9">
            <v>1.2</v>
          </cell>
          <cell r="F9">
            <v>35</v>
          </cell>
        </row>
        <row r="10">
          <cell r="D10">
            <v>1.3</v>
          </cell>
          <cell r="E10">
            <v>2.2999999999999998</v>
          </cell>
          <cell r="F10">
            <v>18</v>
          </cell>
        </row>
        <row r="11">
          <cell r="D11">
            <v>2.4</v>
          </cell>
          <cell r="E11">
            <v>3.4</v>
          </cell>
          <cell r="F11">
            <v>4</v>
          </cell>
        </row>
        <row r="12">
          <cell r="D12">
            <v>3.5</v>
          </cell>
          <cell r="E12">
            <v>4.5</v>
          </cell>
          <cell r="F12">
            <v>2</v>
          </cell>
        </row>
        <row r="13">
          <cell r="D13">
            <v>4.5999999999999996</v>
          </cell>
          <cell r="E13">
            <v>5.6</v>
          </cell>
          <cell r="F13">
            <v>1</v>
          </cell>
        </row>
        <row r="14">
          <cell r="F14">
            <v>0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4787-1920-48A8-8D39-CE9D5C7DEBAE}">
  <dimension ref="A1:N24"/>
  <sheetViews>
    <sheetView workbookViewId="0">
      <selection activeCell="G9" sqref="G9"/>
    </sheetView>
  </sheetViews>
  <sheetFormatPr baseColWidth="10" defaultRowHeight="15"/>
  <sheetData>
    <row r="1" spans="1:14" ht="15.75" thickBot="1">
      <c r="A1" s="1">
        <v>3.6</v>
      </c>
      <c r="B1" s="2">
        <v>1.9</v>
      </c>
      <c r="C1" s="2">
        <v>2.1</v>
      </c>
      <c r="D1" s="2">
        <v>0.3</v>
      </c>
      <c r="E1" s="2">
        <v>0.8</v>
      </c>
      <c r="F1" s="2">
        <v>0.2</v>
      </c>
      <c r="G1" s="2">
        <v>1</v>
      </c>
      <c r="H1" s="2">
        <v>1.4</v>
      </c>
      <c r="I1" s="2">
        <v>1.8</v>
      </c>
      <c r="J1" s="2">
        <v>1.6</v>
      </c>
    </row>
    <row r="2" spans="1:14" ht="15.75" thickBot="1">
      <c r="A2" s="3">
        <v>1.1000000000000001</v>
      </c>
      <c r="B2" s="4">
        <v>1.8</v>
      </c>
      <c r="C2" s="4">
        <v>0.3</v>
      </c>
      <c r="D2" s="4">
        <v>1.1000000000000001</v>
      </c>
      <c r="E2" s="4">
        <v>0.5</v>
      </c>
      <c r="F2" s="4">
        <v>1.2</v>
      </c>
      <c r="G2" s="4">
        <v>0.6</v>
      </c>
      <c r="H2" s="4">
        <v>1.1000000000000001</v>
      </c>
      <c r="I2" s="4">
        <v>0.8</v>
      </c>
      <c r="J2" s="4">
        <v>1.7</v>
      </c>
    </row>
    <row r="3" spans="1:14" ht="15.75" thickBot="1">
      <c r="A3" s="3">
        <v>1.4</v>
      </c>
      <c r="B3" s="4">
        <v>0.2</v>
      </c>
      <c r="C3" s="4">
        <v>1.3</v>
      </c>
      <c r="D3" s="4">
        <v>3.1</v>
      </c>
      <c r="E3" s="4">
        <v>0.4</v>
      </c>
      <c r="F3" s="4">
        <v>2.2999999999999998</v>
      </c>
      <c r="G3" s="4">
        <v>1.8</v>
      </c>
      <c r="H3" s="4">
        <v>4.5</v>
      </c>
      <c r="I3" s="4">
        <v>0.9</v>
      </c>
      <c r="J3" s="4">
        <v>0.7</v>
      </c>
    </row>
    <row r="4" spans="1:14" ht="15.75" thickBot="1">
      <c r="A4" s="3">
        <v>0.6</v>
      </c>
      <c r="B4" s="4">
        <v>2.8</v>
      </c>
      <c r="C4" s="4">
        <v>2.5</v>
      </c>
      <c r="D4" s="4">
        <v>1.1000000000000001</v>
      </c>
      <c r="E4" s="4">
        <v>0.4</v>
      </c>
      <c r="F4" s="4">
        <v>1.2</v>
      </c>
      <c r="G4" s="4">
        <v>0.4</v>
      </c>
      <c r="H4" s="4">
        <v>1.3</v>
      </c>
      <c r="I4" s="4">
        <v>0.8</v>
      </c>
      <c r="J4" s="4">
        <v>1.3</v>
      </c>
    </row>
    <row r="5" spans="1:14" ht="15.75" thickBot="1">
      <c r="A5" s="3">
        <v>1.1000000000000001</v>
      </c>
      <c r="B5" s="4">
        <v>1.2</v>
      </c>
      <c r="C5" s="4">
        <v>0.8</v>
      </c>
      <c r="D5" s="4">
        <v>1</v>
      </c>
      <c r="E5" s="4">
        <v>0.9</v>
      </c>
      <c r="F5" s="4">
        <v>0.7</v>
      </c>
      <c r="G5" s="4">
        <v>3.1</v>
      </c>
      <c r="H5" s="4">
        <v>1.7</v>
      </c>
      <c r="I5" s="4">
        <v>1.1000000000000001</v>
      </c>
      <c r="J5" s="4">
        <v>2.2000000000000002</v>
      </c>
    </row>
    <row r="6" spans="1:14" ht="15.75" thickBot="1">
      <c r="A6" s="3">
        <v>1.6</v>
      </c>
      <c r="B6" s="4">
        <v>1.9</v>
      </c>
      <c r="C6" s="4">
        <v>5.2</v>
      </c>
      <c r="D6" s="4">
        <v>0.5</v>
      </c>
      <c r="E6" s="4">
        <v>1.8</v>
      </c>
      <c r="F6" s="4">
        <v>0.3</v>
      </c>
      <c r="G6" s="4">
        <v>1.1000000000000001</v>
      </c>
      <c r="H6" s="4">
        <v>0.6</v>
      </c>
      <c r="I6" s="4">
        <v>0.7</v>
      </c>
      <c r="J6" s="4">
        <v>0.6</v>
      </c>
    </row>
    <row r="8" spans="1:14">
      <c r="A8" s="5" t="s">
        <v>0</v>
      </c>
      <c r="B8">
        <f>COUNT(A1:J6)</f>
        <v>60</v>
      </c>
      <c r="D8" s="6" t="s">
        <v>1</v>
      </c>
      <c r="E8" s="6" t="s">
        <v>2</v>
      </c>
      <c r="F8" s="6" t="s">
        <v>3</v>
      </c>
      <c r="G8" s="6" t="s">
        <v>4</v>
      </c>
      <c r="H8" s="6" t="s">
        <v>5</v>
      </c>
      <c r="I8" s="7" t="s">
        <v>6</v>
      </c>
      <c r="J8" s="6" t="s">
        <v>7</v>
      </c>
      <c r="K8" s="6" t="s">
        <v>8</v>
      </c>
      <c r="L8" s="8" t="s">
        <v>9</v>
      </c>
      <c r="M8" s="6" t="s">
        <v>10</v>
      </c>
      <c r="N8" s="6" t="s">
        <v>11</v>
      </c>
    </row>
    <row r="9" spans="1:14">
      <c r="D9" s="9">
        <v>0.2</v>
      </c>
      <c r="E9" s="9">
        <f>D9+1</f>
        <v>1.2</v>
      </c>
      <c r="F9" s="9" cm="1">
        <f t="array" ref="F9:F14">FREQUENCY(A1:J6,E9:E13)</f>
        <v>35</v>
      </c>
      <c r="G9" s="9">
        <v>35</v>
      </c>
      <c r="H9" s="13">
        <f>F9/$B$8</f>
        <v>0.58333333333333337</v>
      </c>
      <c r="I9" s="14">
        <f>(D9+E9)/2</f>
        <v>0.7</v>
      </c>
      <c r="J9" s="15">
        <f>I9*F9</f>
        <v>24.5</v>
      </c>
      <c r="K9" s="16">
        <f>ABS(I9-$H$19)</f>
        <v>0.65999999999999992</v>
      </c>
      <c r="L9" s="17">
        <f>K9*F9</f>
        <v>23.099999999999998</v>
      </c>
      <c r="M9" s="18">
        <f>POWER(K9,2)</f>
        <v>0.43559999999999988</v>
      </c>
      <c r="N9" s="18">
        <f>M9*F9</f>
        <v>15.245999999999995</v>
      </c>
    </row>
    <row r="10" spans="1:14">
      <c r="A10" t="s">
        <v>12</v>
      </c>
      <c r="B10" s="19">
        <f>SQRT(B8)</f>
        <v>7.745966692414834</v>
      </c>
      <c r="D10" s="10">
        <f>E9+0.1</f>
        <v>1.3</v>
      </c>
      <c r="E10" s="9">
        <f t="shared" ref="E10:E13" si="0">D10+1</f>
        <v>2.2999999999999998</v>
      </c>
      <c r="F10" s="10">
        <v>18</v>
      </c>
      <c r="G10" s="10">
        <f>G9+F10</f>
        <v>53</v>
      </c>
      <c r="H10" s="13">
        <f t="shared" ref="H10:H13" si="1">F10/$B$8</f>
        <v>0.3</v>
      </c>
      <c r="I10" s="14">
        <f t="shared" ref="I10:I13" si="2">(D10+E10)/2</f>
        <v>1.7999999999999998</v>
      </c>
      <c r="J10" s="15">
        <f t="shared" ref="J10:J13" si="3">I10*F10</f>
        <v>32.4</v>
      </c>
      <c r="K10" s="16">
        <f t="shared" ref="K10:K13" si="4">ABS(I10-$H$19)</f>
        <v>0.43999999999999995</v>
      </c>
      <c r="L10" s="17">
        <f t="shared" ref="L10:L13" si="5">K10*F10</f>
        <v>7.919999999999999</v>
      </c>
      <c r="M10" s="18">
        <f t="shared" ref="M10:M13" si="6">POWER(K10,2)</f>
        <v>0.19359999999999997</v>
      </c>
      <c r="N10" s="18">
        <f t="shared" ref="N10:N13" si="7">M10*F10</f>
        <v>3.4847999999999995</v>
      </c>
    </row>
    <row r="11" spans="1:14">
      <c r="A11" t="s">
        <v>13</v>
      </c>
      <c r="B11" s="19">
        <f>(B13-B14)/B10</f>
        <v>0.6454972243679028</v>
      </c>
      <c r="D11" s="10">
        <f t="shared" ref="D11:D13" si="8">E10+0.1</f>
        <v>2.4</v>
      </c>
      <c r="E11" s="9">
        <f t="shared" si="0"/>
        <v>3.4</v>
      </c>
      <c r="F11" s="11">
        <v>4</v>
      </c>
      <c r="G11" s="10">
        <f t="shared" ref="G11:G13" si="9">G10+F11</f>
        <v>57</v>
      </c>
      <c r="H11" s="13">
        <f t="shared" si="1"/>
        <v>6.6666666666666666E-2</v>
      </c>
      <c r="I11" s="14">
        <f t="shared" si="2"/>
        <v>2.9</v>
      </c>
      <c r="J11" s="15">
        <f t="shared" si="3"/>
        <v>11.6</v>
      </c>
      <c r="K11" s="16">
        <f t="shared" si="4"/>
        <v>1.54</v>
      </c>
      <c r="L11" s="17">
        <f t="shared" si="5"/>
        <v>6.16</v>
      </c>
      <c r="M11" s="18">
        <f t="shared" si="6"/>
        <v>2.3715999999999999</v>
      </c>
      <c r="N11" s="18">
        <f t="shared" si="7"/>
        <v>9.4863999999999997</v>
      </c>
    </row>
    <row r="12" spans="1:14">
      <c r="D12" s="10">
        <f t="shared" si="8"/>
        <v>3.5</v>
      </c>
      <c r="E12" s="9">
        <f t="shared" si="0"/>
        <v>4.5</v>
      </c>
      <c r="F12" s="12">
        <v>2</v>
      </c>
      <c r="G12" s="10">
        <f t="shared" si="9"/>
        <v>59</v>
      </c>
      <c r="H12" s="13">
        <f t="shared" si="1"/>
        <v>3.3333333333333333E-2</v>
      </c>
      <c r="I12" s="14">
        <f t="shared" si="2"/>
        <v>4</v>
      </c>
      <c r="J12" s="15">
        <f t="shared" si="3"/>
        <v>8</v>
      </c>
      <c r="K12" s="16">
        <f t="shared" si="4"/>
        <v>2.64</v>
      </c>
      <c r="L12" s="17">
        <f t="shared" si="5"/>
        <v>5.28</v>
      </c>
      <c r="M12" s="18">
        <f t="shared" si="6"/>
        <v>6.9696000000000007</v>
      </c>
      <c r="N12" s="18">
        <f t="shared" si="7"/>
        <v>13.939200000000001</v>
      </c>
    </row>
    <row r="13" spans="1:14">
      <c r="A13" t="s">
        <v>2</v>
      </c>
      <c r="B13">
        <f>MAX(A1:J6)</f>
        <v>5.2</v>
      </c>
      <c r="D13" s="10">
        <f t="shared" si="8"/>
        <v>4.5999999999999996</v>
      </c>
      <c r="E13" s="9">
        <f t="shared" si="0"/>
        <v>5.6</v>
      </c>
      <c r="F13" s="12">
        <v>1</v>
      </c>
      <c r="G13" s="10">
        <f t="shared" si="9"/>
        <v>60</v>
      </c>
      <c r="H13" s="13">
        <f t="shared" si="1"/>
        <v>1.6666666666666666E-2</v>
      </c>
      <c r="I13" s="14">
        <f t="shared" si="2"/>
        <v>5.0999999999999996</v>
      </c>
      <c r="J13" s="15">
        <f t="shared" si="3"/>
        <v>5.0999999999999996</v>
      </c>
      <c r="K13" s="16">
        <f t="shared" si="4"/>
        <v>3.7399999999999998</v>
      </c>
      <c r="L13" s="17">
        <f t="shared" si="5"/>
        <v>3.7399999999999998</v>
      </c>
      <c r="M13" s="18">
        <f t="shared" si="6"/>
        <v>13.987599999999999</v>
      </c>
      <c r="N13" s="18">
        <f t="shared" si="7"/>
        <v>13.987599999999999</v>
      </c>
    </row>
    <row r="14" spans="1:14">
      <c r="A14" t="s">
        <v>1</v>
      </c>
      <c r="B14">
        <f>MIN(A1:J6)</f>
        <v>0.2</v>
      </c>
      <c r="D14" s="10"/>
      <c r="E14" s="9"/>
      <c r="F14" s="9">
        <v>0</v>
      </c>
      <c r="G14" s="10"/>
      <c r="H14" s="13"/>
      <c r="I14" s="14"/>
      <c r="J14" s="15"/>
      <c r="K14" s="16"/>
      <c r="L14" s="17"/>
      <c r="M14" s="18"/>
      <c r="N14" s="18"/>
    </row>
    <row r="15" spans="1:14">
      <c r="D15" s="20"/>
      <c r="E15" s="20"/>
      <c r="F15" s="20">
        <f>SUM(_xlfn.ANCHORARRAY(F9))</f>
        <v>60</v>
      </c>
      <c r="G15" s="20"/>
      <c r="H15" s="20"/>
      <c r="I15" s="20"/>
      <c r="J15" s="21">
        <f>SUM(J9:J13)</f>
        <v>81.599999999999994</v>
      </c>
      <c r="K15" s="20"/>
      <c r="L15" s="22">
        <f>SUM(L9:L13)</f>
        <v>46.199999999999996</v>
      </c>
      <c r="M15" s="20"/>
      <c r="N15" s="23">
        <f>SUM(N9:N13)</f>
        <v>56.143999999999998</v>
      </c>
    </row>
    <row r="16" spans="1:14">
      <c r="D16" s="20"/>
      <c r="E16" s="20"/>
      <c r="F16" s="20"/>
      <c r="G16" s="20"/>
      <c r="H16" s="20"/>
      <c r="I16" s="20"/>
      <c r="J16" s="21"/>
      <c r="K16" s="20"/>
      <c r="L16" s="20"/>
      <c r="M16" s="20"/>
      <c r="N16" s="20"/>
    </row>
    <row r="18" spans="4:12">
      <c r="D18" s="80" t="s">
        <v>14</v>
      </c>
      <c r="E18" s="80"/>
      <c r="G18" s="81" t="s">
        <v>15</v>
      </c>
      <c r="H18" s="82"/>
      <c r="J18" s="80" t="s">
        <v>16</v>
      </c>
      <c r="K18" s="80"/>
    </row>
    <row r="19" spans="4:12">
      <c r="D19" s="24" t="s">
        <v>17</v>
      </c>
      <c r="E19" s="25">
        <f>B13-B14</f>
        <v>5</v>
      </c>
      <c r="G19" s="24" t="s">
        <v>18</v>
      </c>
      <c r="H19" s="17">
        <f>J15/B8</f>
        <v>1.3599999999999999</v>
      </c>
      <c r="J19" s="26" t="s">
        <v>19</v>
      </c>
      <c r="K19" s="18">
        <f>D9+(L19-0)/F9*1</f>
        <v>0.62857142857142856</v>
      </c>
      <c r="L19">
        <f>(1*F15)/4</f>
        <v>15</v>
      </c>
    </row>
    <row r="20" spans="4:12">
      <c r="D20" s="24" t="s">
        <v>20</v>
      </c>
      <c r="E20" s="17">
        <f>L15/F15</f>
        <v>0.76999999999999991</v>
      </c>
      <c r="G20" s="24" t="s">
        <v>21</v>
      </c>
      <c r="H20" s="27">
        <f>D9+(((F15/2)-0)/F9)*1</f>
        <v>1.0571428571428572</v>
      </c>
      <c r="I20">
        <f>(B8+1)/2</f>
        <v>30.5</v>
      </c>
      <c r="J20" s="26" t="s">
        <v>22</v>
      </c>
      <c r="K20" s="28">
        <f>D9+(L20-0)/F9*1</f>
        <v>1.0571428571428572</v>
      </c>
      <c r="L20">
        <f>(2*F15)/4</f>
        <v>30</v>
      </c>
    </row>
    <row r="21" spans="4:12">
      <c r="D21" s="24" t="s">
        <v>23</v>
      </c>
      <c r="E21" s="17">
        <f>N15/F15</f>
        <v>0.93573333333333331</v>
      </c>
      <c r="G21" s="24" t="s">
        <v>24</v>
      </c>
      <c r="H21" s="29">
        <f>D9+(H22/(H22+H23))*1</f>
        <v>0.87307692307692308</v>
      </c>
      <c r="J21" s="26" t="s">
        <v>25</v>
      </c>
      <c r="K21" s="17">
        <f>D10+(L21-G9)/F10*1</f>
        <v>1.8555555555555556</v>
      </c>
      <c r="L21">
        <f>(3*F15)/4</f>
        <v>45</v>
      </c>
    </row>
    <row r="22" spans="4:12">
      <c r="D22" s="24" t="s">
        <v>26</v>
      </c>
      <c r="E22" s="17">
        <f>SQRT(E21)</f>
        <v>0.96733310360668068</v>
      </c>
      <c r="G22" s="30" t="s">
        <v>27</v>
      </c>
      <c r="H22" s="9">
        <f>F9-0</f>
        <v>35</v>
      </c>
      <c r="K22" s="31"/>
    </row>
    <row r="23" spans="4:12">
      <c r="D23" s="24" t="s">
        <v>28</v>
      </c>
      <c r="E23" s="32">
        <f>E22/H19</f>
        <v>0.71127434088726527</v>
      </c>
      <c r="G23" s="30" t="s">
        <v>29</v>
      </c>
      <c r="H23" s="9">
        <f>F9-F10</f>
        <v>17</v>
      </c>
    </row>
    <row r="24" spans="4:12">
      <c r="H24" s="31"/>
    </row>
  </sheetData>
  <mergeCells count="3">
    <mergeCell ref="D18:E18"/>
    <mergeCell ref="G18:H18"/>
    <mergeCell ref="J18:K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604E4-00EC-4181-90B9-8AB9558BD2DD}">
  <dimension ref="B1:L19"/>
  <sheetViews>
    <sheetView tabSelected="1" topLeftCell="G1" workbookViewId="0">
      <selection activeCell="J16" sqref="J16"/>
    </sheetView>
  </sheetViews>
  <sheetFormatPr baseColWidth="10" defaultRowHeight="15"/>
  <sheetData>
    <row r="1" spans="2:12" ht="15.75" thickBot="1"/>
    <row r="2" spans="2:12">
      <c r="B2" s="33" t="s">
        <v>1</v>
      </c>
      <c r="C2" s="34" t="s">
        <v>2</v>
      </c>
      <c r="D2" s="34" t="s">
        <v>3</v>
      </c>
      <c r="E2" s="35" t="s">
        <v>30</v>
      </c>
      <c r="F2" s="36" t="s">
        <v>5</v>
      </c>
      <c r="G2" s="36" t="s">
        <v>6</v>
      </c>
      <c r="H2" s="36" t="s">
        <v>31</v>
      </c>
      <c r="I2" s="36" t="s">
        <v>32</v>
      </c>
      <c r="J2" s="36" t="s">
        <v>33</v>
      </c>
      <c r="K2" s="37" t="s">
        <v>34</v>
      </c>
      <c r="L2" s="37" t="s">
        <v>35</v>
      </c>
    </row>
    <row r="3" spans="2:12">
      <c r="B3" s="38">
        <v>50</v>
      </c>
      <c r="C3" s="38">
        <v>99</v>
      </c>
      <c r="D3" s="38">
        <v>6</v>
      </c>
      <c r="E3" s="20">
        <v>6</v>
      </c>
      <c r="F3" s="39">
        <f>D3/50</f>
        <v>0.12</v>
      </c>
      <c r="G3" s="20">
        <f>(B3+C3)/2</f>
        <v>74.5</v>
      </c>
      <c r="H3" s="20">
        <f>G3*D3</f>
        <v>447</v>
      </c>
      <c r="I3" s="20">
        <f>ABS(G3-$C$15)</f>
        <v>100.07</v>
      </c>
      <c r="J3" s="20">
        <f>I3*D3</f>
        <v>600.41999999999996</v>
      </c>
      <c r="K3" s="20">
        <f>POWER(I3,2)</f>
        <v>10014.004899999998</v>
      </c>
      <c r="L3" s="20">
        <f>K3*D3</f>
        <v>60084.029399999985</v>
      </c>
    </row>
    <row r="4" spans="2:12">
      <c r="B4" s="38">
        <v>100</v>
      </c>
      <c r="C4" s="38">
        <v>149</v>
      </c>
      <c r="D4" s="38">
        <v>12</v>
      </c>
      <c r="E4" s="20">
        <f>E3+D4</f>
        <v>18</v>
      </c>
      <c r="F4" s="39">
        <f t="shared" ref="F4:F7" si="0">D4/50</f>
        <v>0.24</v>
      </c>
      <c r="G4" s="20">
        <f t="shared" ref="G4:G7" si="1">(B4+C4)/2</f>
        <v>124.5</v>
      </c>
      <c r="H4" s="20">
        <f t="shared" ref="H4:H7" si="2">G4*D4</f>
        <v>1494</v>
      </c>
      <c r="I4" s="20">
        <f t="shared" ref="I4:I7" si="3">ABS(G4-$C$15)</f>
        <v>50.069999999999993</v>
      </c>
      <c r="J4" s="20">
        <f t="shared" ref="J4:J7" si="4">I4*D4</f>
        <v>600.83999999999992</v>
      </c>
      <c r="K4" s="20">
        <f t="shared" ref="K4:K7" si="5">POWER(I4,2)</f>
        <v>2507.0048999999995</v>
      </c>
      <c r="L4" s="20">
        <f t="shared" ref="L4:L7" si="6">K4*D4</f>
        <v>30084.058799999992</v>
      </c>
    </row>
    <row r="5" spans="2:12">
      <c r="B5" s="38">
        <v>150</v>
      </c>
      <c r="C5" s="38">
        <v>199</v>
      </c>
      <c r="D5" s="38">
        <v>15</v>
      </c>
      <c r="E5" s="20">
        <f t="shared" ref="E5:E7" si="7">E4+D5</f>
        <v>33</v>
      </c>
      <c r="F5" s="39">
        <f t="shared" si="0"/>
        <v>0.3</v>
      </c>
      <c r="G5" s="20">
        <f t="shared" si="1"/>
        <v>174.5</v>
      </c>
      <c r="H5" s="20">
        <f t="shared" si="2"/>
        <v>2617.5</v>
      </c>
      <c r="I5" s="20">
        <f>ABS(G5-$C$15)</f>
        <v>6.9999999999993179E-2</v>
      </c>
      <c r="J5" s="20">
        <f t="shared" si="4"/>
        <v>1.0499999999998977</v>
      </c>
      <c r="K5" s="20">
        <f t="shared" si="5"/>
        <v>4.8999999999990449E-3</v>
      </c>
      <c r="L5" s="20">
        <f t="shared" si="6"/>
        <v>7.3499999999985674E-2</v>
      </c>
    </row>
    <row r="6" spans="2:12">
      <c r="B6" s="38">
        <v>200</v>
      </c>
      <c r="C6" s="38">
        <v>249</v>
      </c>
      <c r="D6" s="38">
        <v>10</v>
      </c>
      <c r="E6" s="20">
        <f t="shared" si="7"/>
        <v>43</v>
      </c>
      <c r="F6" s="39">
        <f t="shared" si="0"/>
        <v>0.2</v>
      </c>
      <c r="G6" s="20">
        <f t="shared" si="1"/>
        <v>224.5</v>
      </c>
      <c r="H6" s="20">
        <f t="shared" si="2"/>
        <v>2245</v>
      </c>
      <c r="I6" s="20">
        <f t="shared" si="3"/>
        <v>49.930000000000007</v>
      </c>
      <c r="J6" s="20">
        <f t="shared" si="4"/>
        <v>499.30000000000007</v>
      </c>
      <c r="K6" s="20">
        <f t="shared" si="5"/>
        <v>2493.0049000000008</v>
      </c>
      <c r="L6" s="20">
        <f t="shared" si="6"/>
        <v>24930.049000000006</v>
      </c>
    </row>
    <row r="7" spans="2:12">
      <c r="B7" s="38">
        <v>250</v>
      </c>
      <c r="C7" s="38">
        <v>300</v>
      </c>
      <c r="D7" s="38">
        <v>7</v>
      </c>
      <c r="E7" s="20">
        <f t="shared" si="7"/>
        <v>50</v>
      </c>
      <c r="F7" s="39">
        <f t="shared" si="0"/>
        <v>0.14000000000000001</v>
      </c>
      <c r="G7" s="20">
        <f t="shared" si="1"/>
        <v>275</v>
      </c>
      <c r="H7" s="20">
        <f t="shared" si="2"/>
        <v>1925</v>
      </c>
      <c r="I7" s="20">
        <f t="shared" si="3"/>
        <v>100.43</v>
      </c>
      <c r="J7" s="20">
        <f t="shared" si="4"/>
        <v>703.01</v>
      </c>
      <c r="K7" s="20">
        <f t="shared" si="5"/>
        <v>10086.184900000002</v>
      </c>
      <c r="L7" s="20">
        <f t="shared" si="6"/>
        <v>70603.294300000009</v>
      </c>
    </row>
    <row r="8" spans="2:12">
      <c r="B8" s="38"/>
      <c r="C8" s="38"/>
      <c r="D8" s="38">
        <v>50</v>
      </c>
      <c r="E8" s="20"/>
      <c r="F8" s="39"/>
      <c r="G8" s="20"/>
      <c r="H8" s="20">
        <f>SUM(H3:H7)</f>
        <v>8728.5</v>
      </c>
      <c r="I8" s="20"/>
      <c r="J8" s="20">
        <f>SUM(J3:J7)</f>
        <v>2404.62</v>
      </c>
      <c r="K8" s="20"/>
      <c r="L8" s="20">
        <f>SUM(L3:L7)</f>
        <v>185701.50499999998</v>
      </c>
    </row>
    <row r="9" spans="2:12">
      <c r="B9" t="s">
        <v>36</v>
      </c>
      <c r="C9">
        <v>50</v>
      </c>
      <c r="K9" s="40"/>
      <c r="L9" s="40"/>
    </row>
    <row r="10" spans="2:12">
      <c r="B10" t="s">
        <v>37</v>
      </c>
      <c r="C10" s="41">
        <v>50</v>
      </c>
      <c r="K10" s="40"/>
      <c r="L10" s="40"/>
    </row>
    <row r="11" spans="2:12">
      <c r="B11" t="s">
        <v>38</v>
      </c>
      <c r="C11" s="19">
        <f>SQRT(50)</f>
        <v>7.0710678118654755</v>
      </c>
      <c r="K11" s="40"/>
      <c r="L11" s="40"/>
    </row>
    <row r="12" spans="2:12">
      <c r="B12" t="s">
        <v>39</v>
      </c>
      <c r="C12" s="49">
        <v>300</v>
      </c>
    </row>
    <row r="14" spans="2:12">
      <c r="B14" s="83" t="s">
        <v>15</v>
      </c>
      <c r="C14" s="84"/>
      <c r="E14" s="83" t="s">
        <v>14</v>
      </c>
      <c r="F14" s="84"/>
      <c r="H14" s="83" t="s">
        <v>16</v>
      </c>
      <c r="I14" s="84"/>
    </row>
    <row r="15" spans="2:12">
      <c r="B15" s="42" t="s">
        <v>18</v>
      </c>
      <c r="C15" s="28">
        <f>H8/D8</f>
        <v>174.57</v>
      </c>
      <c r="E15" s="43" t="s">
        <v>17</v>
      </c>
      <c r="F15" s="44">
        <f>C7-B3</f>
        <v>250</v>
      </c>
      <c r="H15" s="43" t="s">
        <v>19</v>
      </c>
      <c r="I15" s="28">
        <f>B4+((J15-E3)/D4)*50</f>
        <v>127.08333333333333</v>
      </c>
      <c r="J15">
        <f>(1*50)/4</f>
        <v>12.5</v>
      </c>
    </row>
    <row r="16" spans="2:12">
      <c r="B16" s="42" t="s">
        <v>40</v>
      </c>
      <c r="C16" s="28">
        <f>B5+(((50/2)-E4)/D5)*C9</f>
        <v>173.33333333333334</v>
      </c>
      <c r="E16" s="43" t="s">
        <v>20</v>
      </c>
      <c r="F16" s="45">
        <f>J8/D8</f>
        <v>48.092399999999998</v>
      </c>
      <c r="H16" s="43" t="s">
        <v>22</v>
      </c>
      <c r="I16" s="28">
        <f>B5+((J16-E4)/D5)*50</f>
        <v>173.33333333333334</v>
      </c>
      <c r="J16" s="85">
        <f>(2*50)/4</f>
        <v>25</v>
      </c>
    </row>
    <row r="17" spans="2:10">
      <c r="B17" s="46" t="s">
        <v>41</v>
      </c>
      <c r="C17" s="28">
        <f>B5+(C18/(C18+C19))*C9</f>
        <v>168.75</v>
      </c>
      <c r="E17" s="43" t="s">
        <v>23</v>
      </c>
      <c r="F17" s="44">
        <f>L8/50</f>
        <v>3714.0300999999995</v>
      </c>
      <c r="H17" s="50" t="s">
        <v>25</v>
      </c>
      <c r="I17" s="28">
        <f t="shared" ref="I17" si="8">B6+((J17-E5)/D6)*50</f>
        <v>222.5</v>
      </c>
      <c r="J17">
        <f>(3*50)/4</f>
        <v>37.5</v>
      </c>
    </row>
    <row r="18" spans="2:10">
      <c r="B18" s="42" t="s">
        <v>42</v>
      </c>
      <c r="C18" s="47">
        <f>D5-D4</f>
        <v>3</v>
      </c>
      <c r="E18" s="43" t="s">
        <v>26</v>
      </c>
      <c r="F18" s="45">
        <f>SQRT(F17)</f>
        <v>60.9428428939773</v>
      </c>
      <c r="H18" s="51"/>
      <c r="I18" s="52"/>
    </row>
    <row r="19" spans="2:10">
      <c r="B19" s="42" t="s">
        <v>43</v>
      </c>
      <c r="C19" s="47">
        <f>D5-D6</f>
        <v>5</v>
      </c>
      <c r="E19" s="43" t="s">
        <v>28</v>
      </c>
      <c r="F19" s="48">
        <f>F18/C15</f>
        <v>0.34910261152533256</v>
      </c>
    </row>
  </sheetData>
  <mergeCells count="3">
    <mergeCell ref="B14:C14"/>
    <mergeCell ref="E14:F14"/>
    <mergeCell ref="H14:I1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0EF7-2F73-4F06-810D-56D6DFD81491}">
  <dimension ref="B20:F31"/>
  <sheetViews>
    <sheetView topLeftCell="A7" workbookViewId="0">
      <selection activeCell="G42" sqref="G42"/>
    </sheetView>
  </sheetViews>
  <sheetFormatPr baseColWidth="10" defaultRowHeight="15"/>
  <sheetData>
    <row r="20" spans="2:6">
      <c r="B20" s="53" t="s">
        <v>18</v>
      </c>
      <c r="C20" s="53" t="s">
        <v>3</v>
      </c>
      <c r="D20" s="53" t="s">
        <v>30</v>
      </c>
      <c r="E20" s="53" t="s">
        <v>5</v>
      </c>
      <c r="F20" s="53" t="s">
        <v>44</v>
      </c>
    </row>
    <row r="21" spans="2:6">
      <c r="B21" s="54" t="s">
        <v>45</v>
      </c>
      <c r="C21" s="47">
        <v>22</v>
      </c>
      <c r="D21" s="47">
        <f>C21</f>
        <v>22</v>
      </c>
      <c r="E21" s="55">
        <f>C21/$C$31</f>
        <v>0.22</v>
      </c>
      <c r="F21" s="56">
        <f>E21</f>
        <v>0.22</v>
      </c>
    </row>
    <row r="22" spans="2:6">
      <c r="B22" s="57" t="s">
        <v>46</v>
      </c>
      <c r="C22" s="47">
        <v>21</v>
      </c>
      <c r="D22" s="47">
        <f>D21+C22</f>
        <v>43</v>
      </c>
      <c r="E22" s="55">
        <f t="shared" ref="E22:E30" si="0">C22/$C$31</f>
        <v>0.21</v>
      </c>
      <c r="F22" s="56">
        <f>F21+E22</f>
        <v>0.43</v>
      </c>
    </row>
    <row r="23" spans="2:6">
      <c r="B23" s="57" t="s">
        <v>47</v>
      </c>
      <c r="C23" s="47">
        <v>19</v>
      </c>
      <c r="D23" s="47">
        <f t="shared" ref="D23:D30" si="1">D22+C23</f>
        <v>62</v>
      </c>
      <c r="E23" s="55">
        <f t="shared" si="0"/>
        <v>0.19</v>
      </c>
      <c r="F23" s="56">
        <f t="shared" ref="F23:F30" si="2">F22+E23</f>
        <v>0.62</v>
      </c>
    </row>
    <row r="24" spans="2:6">
      <c r="B24" s="57" t="s">
        <v>48</v>
      </c>
      <c r="C24" s="47">
        <v>12</v>
      </c>
      <c r="D24" s="47">
        <f t="shared" si="1"/>
        <v>74</v>
      </c>
      <c r="E24" s="55">
        <f t="shared" si="0"/>
        <v>0.12</v>
      </c>
      <c r="F24" s="56">
        <f t="shared" si="2"/>
        <v>0.74</v>
      </c>
    </row>
    <row r="25" spans="2:6">
      <c r="B25" s="57" t="s">
        <v>49</v>
      </c>
      <c r="C25" s="47">
        <v>11</v>
      </c>
      <c r="D25" s="47">
        <f t="shared" si="1"/>
        <v>85</v>
      </c>
      <c r="E25" s="55">
        <f t="shared" si="0"/>
        <v>0.11</v>
      </c>
      <c r="F25" s="56">
        <f t="shared" si="2"/>
        <v>0.85</v>
      </c>
    </row>
    <row r="26" spans="2:6">
      <c r="B26" s="57" t="s">
        <v>50</v>
      </c>
      <c r="C26" s="47">
        <v>9</v>
      </c>
      <c r="D26" s="47">
        <f t="shared" si="1"/>
        <v>94</v>
      </c>
      <c r="E26" s="55">
        <f t="shared" si="0"/>
        <v>0.09</v>
      </c>
      <c r="F26" s="56">
        <f t="shared" si="2"/>
        <v>0.94</v>
      </c>
    </row>
    <row r="27" spans="2:6">
      <c r="B27" s="58" t="s">
        <v>51</v>
      </c>
      <c r="C27" s="47">
        <v>2</v>
      </c>
      <c r="D27" s="47">
        <f t="shared" si="1"/>
        <v>96</v>
      </c>
      <c r="E27" s="55">
        <f t="shared" si="0"/>
        <v>0.02</v>
      </c>
      <c r="F27" s="56">
        <f t="shared" si="2"/>
        <v>0.96</v>
      </c>
    </row>
    <row r="28" spans="2:6">
      <c r="B28" s="58" t="s">
        <v>52</v>
      </c>
      <c r="C28" s="47">
        <v>2</v>
      </c>
      <c r="D28" s="47">
        <f t="shared" si="1"/>
        <v>98</v>
      </c>
      <c r="E28" s="55">
        <f t="shared" si="0"/>
        <v>0.02</v>
      </c>
      <c r="F28" s="56">
        <f t="shared" si="2"/>
        <v>0.98</v>
      </c>
    </row>
    <row r="29" spans="2:6">
      <c r="B29" s="58" t="s">
        <v>53</v>
      </c>
      <c r="C29" s="47">
        <v>1</v>
      </c>
      <c r="D29" s="47">
        <f t="shared" si="1"/>
        <v>99</v>
      </c>
      <c r="E29" s="55">
        <f t="shared" si="0"/>
        <v>0.01</v>
      </c>
      <c r="F29" s="56">
        <f t="shared" si="2"/>
        <v>0.99</v>
      </c>
    </row>
    <row r="30" spans="2:6">
      <c r="B30" s="58" t="s">
        <v>54</v>
      </c>
      <c r="C30" s="59">
        <v>1</v>
      </c>
      <c r="D30" s="47">
        <f t="shared" si="1"/>
        <v>100</v>
      </c>
      <c r="E30" s="55">
        <f t="shared" si="0"/>
        <v>0.01</v>
      </c>
      <c r="F30" s="56">
        <f t="shared" si="2"/>
        <v>1</v>
      </c>
    </row>
    <row r="31" spans="2:6">
      <c r="B31" s="20"/>
      <c r="C31" s="20">
        <f>SUM(C21:C30)</f>
        <v>100</v>
      </c>
      <c r="D31" s="20"/>
      <c r="E31" s="60">
        <f>SUM(E21:E30)</f>
        <v>1</v>
      </c>
      <c r="F31" s="2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6B2D-5CFB-48C8-8057-2B039FFB7C6A}">
  <dimension ref="B1:F14"/>
  <sheetViews>
    <sheetView zoomScaleNormal="100" workbookViewId="0">
      <selection activeCell="E15" sqref="E15"/>
    </sheetView>
  </sheetViews>
  <sheetFormatPr baseColWidth="10" defaultRowHeight="15"/>
  <sheetData>
    <row r="1" spans="2:6" ht="15.75" thickBot="1"/>
    <row r="2" spans="2:6" ht="16.5" thickBot="1">
      <c r="B2" s="61"/>
      <c r="C2" s="62" t="s">
        <v>55</v>
      </c>
      <c r="D2" s="62" t="s">
        <v>57</v>
      </c>
      <c r="E2" s="69"/>
      <c r="F2" s="67"/>
    </row>
    <row r="3" spans="2:6" ht="16.5" thickBot="1">
      <c r="B3" s="63" t="s">
        <v>58</v>
      </c>
      <c r="C3" s="64">
        <v>84</v>
      </c>
      <c r="D3" s="64">
        <v>36</v>
      </c>
      <c r="E3" s="70">
        <v>120</v>
      </c>
      <c r="F3" s="68"/>
    </row>
    <row r="4" spans="2:6" ht="16.5" thickBot="1">
      <c r="B4" s="63" t="s">
        <v>56</v>
      </c>
      <c r="C4" s="64">
        <v>56</v>
      </c>
      <c r="D4" s="64">
        <v>24</v>
      </c>
      <c r="E4" s="70">
        <v>80</v>
      </c>
      <c r="F4" s="68"/>
    </row>
    <row r="5" spans="2:6" ht="16.5" thickBot="1">
      <c r="B5" s="66"/>
      <c r="C5" s="65">
        <v>140</v>
      </c>
      <c r="D5" s="65">
        <v>60</v>
      </c>
      <c r="E5" s="71">
        <v>200</v>
      </c>
      <c r="F5" s="68"/>
    </row>
    <row r="7" spans="2:6">
      <c r="B7" t="s">
        <v>59</v>
      </c>
    </row>
    <row r="8" spans="2:6">
      <c r="B8" t="s">
        <v>60</v>
      </c>
    </row>
    <row r="10" spans="2:6">
      <c r="B10" t="s">
        <v>61</v>
      </c>
    </row>
    <row r="11" spans="2:6">
      <c r="B11" t="s">
        <v>62</v>
      </c>
    </row>
    <row r="13" spans="2:6">
      <c r="B13" t="s">
        <v>63</v>
      </c>
    </row>
    <row r="14" spans="2:6">
      <c r="B14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33046-B88B-4D55-B79F-4BCD87F14EBA}">
  <dimension ref="B1:F25"/>
  <sheetViews>
    <sheetView topLeftCell="A4" workbookViewId="0">
      <selection activeCell="D25" sqref="D25"/>
    </sheetView>
  </sheetViews>
  <sheetFormatPr baseColWidth="10" defaultRowHeight="15"/>
  <sheetData>
    <row r="1" spans="2:6" ht="15.75" thickBot="1"/>
    <row r="2" spans="2:6" ht="16.5" thickBot="1">
      <c r="B2" s="77"/>
      <c r="C2" s="72" t="s">
        <v>66</v>
      </c>
      <c r="D2" s="72" t="s">
        <v>67</v>
      </c>
      <c r="E2" s="72" t="s">
        <v>68</v>
      </c>
      <c r="F2" s="79"/>
    </row>
    <row r="3" spans="2:6" ht="16.5" thickBot="1">
      <c r="B3" s="73" t="s">
        <v>65</v>
      </c>
      <c r="C3" s="74">
        <v>3</v>
      </c>
      <c r="D3" s="74">
        <v>5</v>
      </c>
      <c r="E3" s="74">
        <v>5</v>
      </c>
      <c r="F3" s="75">
        <v>13</v>
      </c>
    </row>
    <row r="4" spans="2:6" ht="16.5" thickBot="1">
      <c r="B4" s="73" t="s">
        <v>56</v>
      </c>
      <c r="C4" s="74">
        <v>7</v>
      </c>
      <c r="D4" s="74">
        <v>8</v>
      </c>
      <c r="E4" s="74">
        <v>2</v>
      </c>
      <c r="F4" s="75">
        <v>17</v>
      </c>
    </row>
    <row r="5" spans="2:6" ht="16.5" thickBot="1">
      <c r="B5" s="78"/>
      <c r="C5" s="75">
        <v>10</v>
      </c>
      <c r="D5" s="75">
        <v>13</v>
      </c>
      <c r="E5" s="75">
        <v>7</v>
      </c>
      <c r="F5" s="76">
        <v>30</v>
      </c>
    </row>
    <row r="7" spans="2:6">
      <c r="B7" t="s">
        <v>69</v>
      </c>
    </row>
    <row r="9" spans="2:6">
      <c r="B9" t="s">
        <v>70</v>
      </c>
    </row>
    <row r="11" spans="2:6">
      <c r="B11" t="s">
        <v>71</v>
      </c>
    </row>
    <row r="13" spans="2:6">
      <c r="B13" t="s">
        <v>72</v>
      </c>
    </row>
    <row r="15" spans="2:6">
      <c r="B15" t="s">
        <v>73</v>
      </c>
    </row>
    <row r="17" spans="2:2">
      <c r="B17" t="s">
        <v>74</v>
      </c>
    </row>
    <row r="19" spans="2:2">
      <c r="B19" t="s">
        <v>75</v>
      </c>
    </row>
    <row r="21" spans="2:2">
      <c r="B21" t="s">
        <v>76</v>
      </c>
    </row>
    <row r="23" spans="2:2">
      <c r="B23" t="s">
        <v>77</v>
      </c>
    </row>
    <row r="25" spans="2:2">
      <c r="B25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4E01-6661-469F-9CA9-BF366529E9A5}">
  <dimension ref="B2:C12"/>
  <sheetViews>
    <sheetView workbookViewId="0">
      <selection activeCell="B12" sqref="B12"/>
    </sheetView>
  </sheetViews>
  <sheetFormatPr baseColWidth="10" defaultRowHeight="15"/>
  <sheetData>
    <row r="2" spans="2:3">
      <c r="B2" t="s">
        <v>79</v>
      </c>
    </row>
    <row r="4" spans="2:3">
      <c r="B4" t="s">
        <v>80</v>
      </c>
      <c r="C4" t="s">
        <v>81</v>
      </c>
    </row>
    <row r="6" spans="2:3">
      <c r="B6" t="s">
        <v>82</v>
      </c>
    </row>
    <row r="8" spans="2:3">
      <c r="B8" t="s">
        <v>83</v>
      </c>
    </row>
    <row r="10" spans="2:3">
      <c r="B10" t="s">
        <v>84</v>
      </c>
    </row>
    <row r="12" spans="2:3">
      <c r="B12" s="85" t="s">
        <v>85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A3B3-C8CE-4EC9-846A-748DB400D8A8}">
  <dimension ref="B2:F141"/>
  <sheetViews>
    <sheetView topLeftCell="A108" workbookViewId="0">
      <selection activeCell="F141" sqref="F141"/>
    </sheetView>
  </sheetViews>
  <sheetFormatPr baseColWidth="10" defaultRowHeight="15"/>
  <sheetData>
    <row r="2" spans="2:2">
      <c r="B2" t="s">
        <v>86</v>
      </c>
    </row>
    <row r="3" spans="2:2">
      <c r="B3" t="s">
        <v>87</v>
      </c>
    </row>
    <row r="4" spans="2:2">
      <c r="B4" t="s">
        <v>88</v>
      </c>
    </row>
    <row r="5" spans="2:2">
      <c r="B5" t="s">
        <v>89</v>
      </c>
    </row>
    <row r="6" spans="2:2">
      <c r="B6" t="s">
        <v>90</v>
      </c>
    </row>
    <row r="7" spans="2:2">
      <c r="B7" t="s">
        <v>91</v>
      </c>
    </row>
    <row r="8" spans="2:2">
      <c r="B8" t="s">
        <v>92</v>
      </c>
    </row>
    <row r="10" spans="2:2">
      <c r="B10" t="s">
        <v>94</v>
      </c>
    </row>
    <row r="11" spans="2:2">
      <c r="B11" t="s">
        <v>95</v>
      </c>
    </row>
    <row r="12" spans="2:2">
      <c r="B12" t="s">
        <v>88</v>
      </c>
    </row>
    <row r="13" spans="2:2">
      <c r="B13" t="s">
        <v>89</v>
      </c>
    </row>
    <row r="14" spans="2:2">
      <c r="B14" t="s">
        <v>90</v>
      </c>
    </row>
    <row r="15" spans="2:2">
      <c r="B15" t="s">
        <v>96</v>
      </c>
    </row>
    <row r="16" spans="2:2">
      <c r="B16" t="s">
        <v>97</v>
      </c>
    </row>
    <row r="18" spans="2:2">
      <c r="B18" t="s">
        <v>98</v>
      </c>
    </row>
    <row r="20" spans="2:2">
      <c r="B20" t="s">
        <v>90</v>
      </c>
    </row>
    <row r="21" spans="2:2">
      <c r="B21" t="s">
        <v>100</v>
      </c>
    </row>
    <row r="22" spans="2:2">
      <c r="B22" t="s">
        <v>90</v>
      </c>
    </row>
    <row r="24" spans="2:2">
      <c r="B24" t="s">
        <v>99</v>
      </c>
    </row>
    <row r="26" spans="2:2">
      <c r="B26" t="s">
        <v>101</v>
      </c>
    </row>
    <row r="28" spans="2:2">
      <c r="B28" t="s">
        <v>102</v>
      </c>
    </row>
    <row r="29" spans="2:2">
      <c r="B29" t="s">
        <v>90</v>
      </c>
    </row>
    <row r="30" spans="2:2">
      <c r="B30" t="s">
        <v>100</v>
      </c>
    </row>
    <row r="31" spans="2:2">
      <c r="B31" t="s">
        <v>90</v>
      </c>
    </row>
    <row r="32" spans="2:2">
      <c r="B32" t="s">
        <v>99</v>
      </c>
    </row>
    <row r="33" spans="2:2">
      <c r="B33" t="s">
        <v>90</v>
      </c>
    </row>
    <row r="34" spans="2:2">
      <c r="B34" s="86" t="s">
        <v>103</v>
      </c>
    </row>
    <row r="36" spans="2:2">
      <c r="B36" t="s">
        <v>104</v>
      </c>
    </row>
    <row r="38" spans="2:2">
      <c r="B38" t="s">
        <v>105</v>
      </c>
    </row>
    <row r="39" spans="2:2">
      <c r="B39" t="s">
        <v>106</v>
      </c>
    </row>
    <row r="40" spans="2:2">
      <c r="B40" t="s">
        <v>107</v>
      </c>
    </row>
    <row r="41" spans="2:2">
      <c r="B41" t="s">
        <v>108</v>
      </c>
    </row>
    <row r="42" spans="2:2">
      <c r="B42" t="s">
        <v>109</v>
      </c>
    </row>
    <row r="43" spans="2:2">
      <c r="B43" t="s">
        <v>110</v>
      </c>
    </row>
    <row r="44" spans="2:2">
      <c r="B44" t="s">
        <v>111</v>
      </c>
    </row>
    <row r="45" spans="2:2">
      <c r="B45" t="s">
        <v>112</v>
      </c>
    </row>
    <row r="47" spans="2:2">
      <c r="B47" t="s">
        <v>113</v>
      </c>
    </row>
    <row r="48" spans="2:2">
      <c r="B48" t="s">
        <v>114</v>
      </c>
    </row>
    <row r="49" spans="2:2">
      <c r="B49" t="s">
        <v>115</v>
      </c>
    </row>
    <row r="51" spans="2:2">
      <c r="B51" t="s">
        <v>116</v>
      </c>
    </row>
    <row r="52" spans="2:2">
      <c r="B52" t="s">
        <v>117</v>
      </c>
    </row>
    <row r="53" spans="2:2">
      <c r="B53" t="s">
        <v>118</v>
      </c>
    </row>
    <row r="54" spans="2:2">
      <c r="B54" t="s">
        <v>106</v>
      </c>
    </row>
    <row r="55" spans="2:2">
      <c r="B55" t="s">
        <v>119</v>
      </c>
    </row>
    <row r="57" spans="2:2">
      <c r="B57" t="s">
        <v>120</v>
      </c>
    </row>
    <row r="58" spans="2:2">
      <c r="B58" t="s">
        <v>121</v>
      </c>
    </row>
    <row r="60" spans="2:2">
      <c r="B60" t="s">
        <v>93</v>
      </c>
    </row>
    <row r="61" spans="2:2">
      <c r="B61" s="87">
        <v>1.7000000000000001E-2</v>
      </c>
    </row>
    <row r="63" spans="2:2">
      <c r="B63" t="s">
        <v>98</v>
      </c>
    </row>
    <row r="64" spans="2:2">
      <c r="B64" s="87">
        <v>3.8999999999999998E-3</v>
      </c>
    </row>
    <row r="66" spans="2:2">
      <c r="B66" t="s">
        <v>102</v>
      </c>
    </row>
    <row r="67" spans="2:2">
      <c r="B67" s="87">
        <v>1.9E-3</v>
      </c>
    </row>
    <row r="69" spans="2:2">
      <c r="B69" t="s">
        <v>122</v>
      </c>
    </row>
    <row r="70" spans="2:2">
      <c r="B70" t="s">
        <v>123</v>
      </c>
    </row>
    <row r="71" spans="2:2">
      <c r="B71" t="s">
        <v>124</v>
      </c>
    </row>
    <row r="72" spans="2:2">
      <c r="B72" t="s">
        <v>125</v>
      </c>
    </row>
    <row r="73" spans="2:2" ht="15.75">
      <c r="B73" s="88" t="s">
        <v>126</v>
      </c>
    </row>
    <row r="74" spans="2:2">
      <c r="B74" t="s">
        <v>127</v>
      </c>
    </row>
    <row r="76" spans="2:2">
      <c r="B76" t="s">
        <v>128</v>
      </c>
    </row>
    <row r="77" spans="2:2">
      <c r="B77" t="s">
        <v>129</v>
      </c>
    </row>
    <row r="78" spans="2:2">
      <c r="B78" t="s">
        <v>130</v>
      </c>
    </row>
    <row r="80" spans="2:2">
      <c r="B80" t="s">
        <v>131</v>
      </c>
    </row>
    <row r="81" spans="2:2">
      <c r="B81" t="s">
        <v>132</v>
      </c>
    </row>
    <row r="82" spans="2:2">
      <c r="B82" t="s">
        <v>133</v>
      </c>
    </row>
    <row r="84" spans="2:2">
      <c r="B84" t="s">
        <v>134</v>
      </c>
    </row>
    <row r="85" spans="2:2">
      <c r="B85" t="s">
        <v>135</v>
      </c>
    </row>
    <row r="87" spans="2:2">
      <c r="B87" t="s">
        <v>136</v>
      </c>
    </row>
    <row r="88" spans="2:2">
      <c r="B88" t="s">
        <v>137</v>
      </c>
    </row>
    <row r="89" spans="2:2">
      <c r="B89" t="s">
        <v>138</v>
      </c>
    </row>
    <row r="90" spans="2:2">
      <c r="B90" t="s">
        <v>139</v>
      </c>
    </row>
    <row r="92" spans="2:2">
      <c r="B92" t="s">
        <v>140</v>
      </c>
    </row>
    <row r="93" spans="2:2">
      <c r="B93" t="s">
        <v>141</v>
      </c>
    </row>
    <row r="94" spans="2:2">
      <c r="B94" s="87">
        <v>1.3899999999999999E-2</v>
      </c>
    </row>
    <row r="96" spans="2:2">
      <c r="B96" t="s">
        <v>142</v>
      </c>
    </row>
    <row r="97" spans="2:2">
      <c r="B97" t="s">
        <v>143</v>
      </c>
    </row>
    <row r="98" spans="2:2">
      <c r="B98" t="s">
        <v>144</v>
      </c>
    </row>
    <row r="99" spans="2:2">
      <c r="B99" t="s">
        <v>131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136</v>
      </c>
    </row>
    <row r="104" spans="2:2">
      <c r="B104" t="s">
        <v>144</v>
      </c>
    </row>
    <row r="105" spans="2:2">
      <c r="B105" t="s">
        <v>148</v>
      </c>
    </row>
    <row r="106" spans="2:2">
      <c r="B106" t="s">
        <v>149</v>
      </c>
    </row>
    <row r="107" spans="2:2">
      <c r="B107" t="s">
        <v>150</v>
      </c>
    </row>
    <row r="108" spans="2:2">
      <c r="B108" t="s">
        <v>147</v>
      </c>
    </row>
    <row r="110" spans="2:2">
      <c r="B110" t="s">
        <v>151</v>
      </c>
    </row>
    <row r="111" spans="2:2">
      <c r="B111" t="s">
        <v>152</v>
      </c>
    </row>
    <row r="112" spans="2:2" ht="15.75">
      <c r="B112" s="88" t="s">
        <v>153</v>
      </c>
    </row>
    <row r="113" spans="2:2">
      <c r="B113" t="s">
        <v>154</v>
      </c>
    </row>
    <row r="114" spans="2:2">
      <c r="B114" t="s">
        <v>155</v>
      </c>
    </row>
    <row r="115" spans="2:2">
      <c r="B115" t="s">
        <v>156</v>
      </c>
    </row>
    <row r="117" spans="2:2">
      <c r="B117" t="s">
        <v>93</v>
      </c>
    </row>
    <row r="118" spans="2:2">
      <c r="B118" t="s">
        <v>157</v>
      </c>
    </row>
    <row r="119" spans="2:2">
      <c r="B119" t="s">
        <v>158</v>
      </c>
    </row>
    <row r="121" spans="2:2">
      <c r="B121" t="s">
        <v>159</v>
      </c>
    </row>
    <row r="123" spans="2:2">
      <c r="B123" t="s">
        <v>160</v>
      </c>
    </row>
    <row r="125" spans="2:2">
      <c r="B125" t="s">
        <v>98</v>
      </c>
    </row>
    <row r="126" spans="2:2">
      <c r="B126" t="s">
        <v>161</v>
      </c>
    </row>
    <row r="128" spans="2:2">
      <c r="B128" t="s">
        <v>162</v>
      </c>
    </row>
    <row r="129" spans="2:6">
      <c r="B129" t="s">
        <v>163</v>
      </c>
    </row>
    <row r="130" spans="2:6">
      <c r="B130" t="s">
        <v>164</v>
      </c>
    </row>
    <row r="131" spans="2:6">
      <c r="B131" t="s">
        <v>165</v>
      </c>
    </row>
    <row r="132" spans="2:6">
      <c r="B132" t="s">
        <v>166</v>
      </c>
    </row>
    <row r="133" spans="2:6">
      <c r="B133" t="s">
        <v>167</v>
      </c>
    </row>
    <row r="141" spans="2:6">
      <c r="F141" s="8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6CF9-B987-4919-A701-98D7C7636A1A}">
  <dimension ref="B2:E40"/>
  <sheetViews>
    <sheetView workbookViewId="0">
      <selection activeCell="E40" sqref="E40"/>
    </sheetView>
  </sheetViews>
  <sheetFormatPr baseColWidth="10" defaultRowHeight="15"/>
  <sheetData>
    <row r="2" spans="2:2">
      <c r="B2" t="s">
        <v>168</v>
      </c>
    </row>
    <row r="3" spans="2:2">
      <c r="B3" t="s">
        <v>169</v>
      </c>
    </row>
    <row r="5" spans="2:2">
      <c r="B5" t="s">
        <v>170</v>
      </c>
    </row>
    <row r="6" spans="2:2">
      <c r="B6" t="s">
        <v>171</v>
      </c>
    </row>
    <row r="7" spans="2:2">
      <c r="B7" t="s">
        <v>172</v>
      </c>
    </row>
    <row r="9" spans="2:2">
      <c r="B9" t="s">
        <v>173</v>
      </c>
    </row>
    <row r="11" spans="2:2">
      <c r="B11" t="s">
        <v>174</v>
      </c>
    </row>
    <row r="13" spans="2:2">
      <c r="B13" t="s">
        <v>175</v>
      </c>
    </row>
    <row r="14" spans="2:2">
      <c r="B14" t="s">
        <v>176</v>
      </c>
    </row>
    <row r="15" spans="2:2">
      <c r="B15" t="s">
        <v>177</v>
      </c>
    </row>
    <row r="17" spans="2:2">
      <c r="B17" t="s">
        <v>178</v>
      </c>
    </row>
    <row r="19" spans="2:2">
      <c r="B19" t="s">
        <v>182</v>
      </c>
    </row>
    <row r="20" spans="2:2">
      <c r="B20" t="s">
        <v>179</v>
      </c>
    </row>
    <row r="22" spans="2:2">
      <c r="B22" t="s">
        <v>180</v>
      </c>
    </row>
    <row r="23" spans="2:2">
      <c r="B23" t="s">
        <v>181</v>
      </c>
    </row>
    <row r="25" spans="2:2">
      <c r="B25" t="s">
        <v>183</v>
      </c>
    </row>
    <row r="26" spans="2:2">
      <c r="B26" t="s">
        <v>184</v>
      </c>
    </row>
    <row r="27" spans="2:2">
      <c r="B27" t="s">
        <v>185</v>
      </c>
    </row>
    <row r="29" spans="2:2">
      <c r="B29" t="s">
        <v>186</v>
      </c>
    </row>
    <row r="30" spans="2:2">
      <c r="B30" t="s">
        <v>187</v>
      </c>
    </row>
    <row r="32" spans="2:2">
      <c r="B32" t="s">
        <v>188</v>
      </c>
    </row>
    <row r="34" spans="2:5">
      <c r="B34" t="s">
        <v>189</v>
      </c>
    </row>
    <row r="35" spans="2:5">
      <c r="B35" t="s">
        <v>190</v>
      </c>
    </row>
    <row r="37" spans="2:5">
      <c r="B37" t="s">
        <v>191</v>
      </c>
    </row>
    <row r="38" spans="2:5">
      <c r="B38" t="s">
        <v>192</v>
      </c>
    </row>
    <row r="40" spans="2:5">
      <c r="E40" s="8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2021-11-05T23:20:47Z</dcterms:created>
  <dcterms:modified xsi:type="dcterms:W3CDTF">2021-11-20T20:43:23Z</dcterms:modified>
</cp:coreProperties>
</file>