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<sst xmlns="http://schemas.openxmlformats.org/spreadsheetml/2006/main" count="154" uniqueCount="38">
  <si>
    <t>Date</t>
  </si>
  <si>
    <t>Time</t>
  </si>
  <si>
    <t>ID</t>
  </si>
  <si>
    <t>Condition</t>
  </si>
  <si>
    <t>Replicate</t>
  </si>
  <si>
    <t>Count1</t>
  </si>
  <si>
    <t>Count2</t>
  </si>
  <si>
    <t>Count3</t>
  </si>
  <si>
    <t>Mean</t>
  </si>
  <si>
    <t>S.E.</t>
  </si>
  <si>
    <t>Cont-1</t>
  </si>
  <si>
    <t>Control</t>
  </si>
  <si>
    <t>Cont-2</t>
  </si>
  <si>
    <t>Cont-3</t>
  </si>
  <si>
    <t>Lin-1</t>
  </si>
  <si>
    <t>Linear</t>
  </si>
  <si>
    <t>Lin-2</t>
  </si>
  <si>
    <t>Lin-3</t>
  </si>
  <si>
    <t>Lin-4</t>
  </si>
  <si>
    <t>Lin-5</t>
  </si>
  <si>
    <t>Lin-6</t>
  </si>
  <si>
    <t>Lin-7</t>
  </si>
  <si>
    <t>SD025-1</t>
  </si>
  <si>
    <t>SD025</t>
  </si>
  <si>
    <t>SD025-2</t>
  </si>
  <si>
    <t>SD025-3</t>
  </si>
  <si>
    <t>SD025-4</t>
  </si>
  <si>
    <t>SD025-5</t>
  </si>
  <si>
    <t>Sd025-6</t>
  </si>
  <si>
    <t>SD025-7</t>
  </si>
  <si>
    <t>SD100-1</t>
  </si>
  <si>
    <t>SD100</t>
  </si>
  <si>
    <t>SD100-2</t>
  </si>
  <si>
    <t>SD100-3</t>
  </si>
  <si>
    <t>SD100-4</t>
  </si>
  <si>
    <t>SD100-5</t>
  </si>
  <si>
    <t>SD100-6</t>
  </si>
  <si>
    <t>SD100-7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</si>
</sst>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165" xfId="0" applyAlignment="1" applyFont="1" applyNumberFormat="1">
      <alignment readingOrder="0"/>
    </xf>
    <xf borderId="0" fillId="0" fontId="1" numFmtId="0" xfId="0" applyAlignment="1" applyFont="1">
      <alignment horizontal="right" vertical="bottom"/>
    </xf>
    <xf borderId="0" fillId="0" fontId="2" numFmtId="0" xfId="0" applyFont="1"/>
    <xf borderId="0" fillId="2" fontId="3" numFmtId="0" xfId="0" applyAlignment="1" applyFill="1" applyFont="1">
      <alignment vertical="bottom"/>
    </xf>
    <xf borderId="0" fillId="0" fontId="2" numFmtId="165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45607.0</v>
      </c>
      <c r="B2" s="4">
        <f t="shared" ref="B2:B25" si="1">A2-A2</f>
        <v>0</v>
      </c>
      <c r="C2" s="2" t="s">
        <v>10</v>
      </c>
      <c r="D2" s="2" t="s">
        <v>11</v>
      </c>
      <c r="E2" s="4">
        <v>1.0</v>
      </c>
      <c r="F2" s="5">
        <f>2.52*10^7/10/20</f>
        <v>126000</v>
      </c>
      <c r="G2" s="5">
        <f>3.02*10^7/10/20</f>
        <v>151000</v>
      </c>
      <c r="H2" s="5">
        <f>3.63*10^7/10/20</f>
        <v>181500</v>
      </c>
      <c r="I2" s="5">
        <f t="shared" ref="I2:I73" si="2">AVERAGE(F2:H2)</f>
        <v>152833.3333</v>
      </c>
      <c r="J2" s="5">
        <f t="shared" ref="J2:J73" si="3">STDEV(F2:H2)/SQRT(3)</f>
        <v>16047.67204</v>
      </c>
    </row>
    <row r="3">
      <c r="A3" s="3">
        <v>45607.0</v>
      </c>
      <c r="B3" s="4">
        <f t="shared" si="1"/>
        <v>0</v>
      </c>
      <c r="C3" s="2" t="s">
        <v>12</v>
      </c>
      <c r="D3" s="2" t="s">
        <v>11</v>
      </c>
      <c r="E3" s="4">
        <v>2.0</v>
      </c>
      <c r="F3" s="5">
        <f>5.1*10^7/10/20</f>
        <v>255000</v>
      </c>
      <c r="G3" s="5">
        <f>5.73*10^7/10/20</f>
        <v>286500</v>
      </c>
      <c r="H3" s="5">
        <f>3.82*10^7/10/20</f>
        <v>191000</v>
      </c>
      <c r="I3" s="5">
        <f t="shared" si="2"/>
        <v>244166.6667</v>
      </c>
      <c r="J3" s="5">
        <f t="shared" si="3"/>
        <v>28095.57102</v>
      </c>
    </row>
    <row r="4">
      <c r="A4" s="3">
        <v>45607.0</v>
      </c>
      <c r="B4" s="4">
        <f t="shared" si="1"/>
        <v>0</v>
      </c>
      <c r="C4" s="2" t="s">
        <v>13</v>
      </c>
      <c r="D4" s="2" t="s">
        <v>11</v>
      </c>
      <c r="E4" s="4">
        <v>3.0</v>
      </c>
      <c r="F4" s="5">
        <f>2.85*10^7/10/20</f>
        <v>142500</v>
      </c>
      <c r="G4" s="5">
        <f>3.15*10^7/10/20</f>
        <v>157500</v>
      </c>
      <c r="H4" s="5">
        <f>3.18*10^7/10/20</f>
        <v>159000</v>
      </c>
      <c r="I4" s="5">
        <f t="shared" si="2"/>
        <v>153000</v>
      </c>
      <c r="J4" s="5">
        <f t="shared" si="3"/>
        <v>5267.826876</v>
      </c>
    </row>
    <row r="5">
      <c r="A5" s="3">
        <v>45607.0</v>
      </c>
      <c r="B5" s="4">
        <f t="shared" si="1"/>
        <v>0</v>
      </c>
      <c r="C5" s="2" t="s">
        <v>14</v>
      </c>
      <c r="D5" s="2" t="s">
        <v>15</v>
      </c>
      <c r="E5" s="4">
        <v>1.0</v>
      </c>
      <c r="F5" s="5">
        <f>5.91*10^6/2/20</f>
        <v>147750</v>
      </c>
      <c r="G5" s="5">
        <f>8.6*10^6/2/20</f>
        <v>215000</v>
      </c>
      <c r="H5" s="5">
        <f>7.07*10^6/2/20</f>
        <v>176750</v>
      </c>
      <c r="I5" s="5">
        <f t="shared" si="2"/>
        <v>179833.3333</v>
      </c>
      <c r="J5" s="5">
        <f t="shared" si="3"/>
        <v>19474.52039</v>
      </c>
    </row>
    <row r="6">
      <c r="A6" s="3">
        <v>45607.0</v>
      </c>
      <c r="B6" s="4">
        <f t="shared" si="1"/>
        <v>0</v>
      </c>
      <c r="C6" s="2" t="s">
        <v>16</v>
      </c>
      <c r="D6" s="2" t="s">
        <v>15</v>
      </c>
      <c r="E6" s="4">
        <v>2.0</v>
      </c>
      <c r="F6" s="5">
        <f>1.51*10^6/10</f>
        <v>151000</v>
      </c>
      <c r="G6" s="5">
        <f>1.65*10^6/10</f>
        <v>165000</v>
      </c>
      <c r="H6" s="5">
        <f>1.98*10^6/10</f>
        <v>198000</v>
      </c>
      <c r="I6" s="5">
        <f t="shared" si="2"/>
        <v>171333.3333</v>
      </c>
      <c r="J6" s="5">
        <f t="shared" si="3"/>
        <v>13932.37636</v>
      </c>
    </row>
    <row r="7">
      <c r="A7" s="3">
        <v>45607.0</v>
      </c>
      <c r="B7" s="4">
        <f t="shared" si="1"/>
        <v>0</v>
      </c>
      <c r="C7" s="2" t="s">
        <v>17</v>
      </c>
      <c r="D7" s="2" t="s">
        <v>15</v>
      </c>
      <c r="E7" s="4">
        <v>3.0</v>
      </c>
      <c r="F7" s="5">
        <f>3.52*10^7/10/20</f>
        <v>176000</v>
      </c>
      <c r="G7" s="5">
        <f>3.97*10^7/10/20</f>
        <v>198500</v>
      </c>
      <c r="H7" s="5">
        <f>3.94*10^7/10/20</f>
        <v>197000</v>
      </c>
      <c r="I7" s="5">
        <f t="shared" si="2"/>
        <v>190500</v>
      </c>
      <c r="J7" s="5">
        <f t="shared" si="3"/>
        <v>7262.919523</v>
      </c>
    </row>
    <row r="8">
      <c r="A8" s="3">
        <v>45607.0</v>
      </c>
      <c r="B8" s="4">
        <f t="shared" si="1"/>
        <v>0</v>
      </c>
      <c r="C8" s="2" t="s">
        <v>18</v>
      </c>
      <c r="D8" s="2" t="s">
        <v>15</v>
      </c>
      <c r="E8" s="4">
        <v>4.0</v>
      </c>
      <c r="F8" s="5">
        <f>4.9*10^6/2/20</f>
        <v>122500</v>
      </c>
      <c r="G8" s="5">
        <f>6.12*10^6/2/20</f>
        <v>153000</v>
      </c>
      <c r="H8" s="5">
        <f>7.03*10^6/2/20</f>
        <v>175750</v>
      </c>
      <c r="I8" s="5">
        <f t="shared" si="2"/>
        <v>150416.6667</v>
      </c>
      <c r="J8" s="5">
        <f t="shared" si="3"/>
        <v>15426.12323</v>
      </c>
    </row>
    <row r="9">
      <c r="A9" s="3">
        <v>45607.0</v>
      </c>
      <c r="B9" s="4">
        <f t="shared" si="1"/>
        <v>0</v>
      </c>
      <c r="C9" s="2" t="s">
        <v>19</v>
      </c>
      <c r="D9" s="2" t="s">
        <v>15</v>
      </c>
      <c r="E9" s="4">
        <v>5.0</v>
      </c>
      <c r="F9" s="5">
        <f>4.88*10^6/20</f>
        <v>244000</v>
      </c>
      <c r="G9" s="5">
        <f>4.11*10^6/20</f>
        <v>205500</v>
      </c>
      <c r="H9" s="5">
        <f>4.38*10^6/20</f>
        <v>219000</v>
      </c>
      <c r="I9" s="5">
        <f t="shared" si="2"/>
        <v>222833.3333</v>
      </c>
      <c r="J9" s="5">
        <f t="shared" si="3"/>
        <v>11278.05145</v>
      </c>
    </row>
    <row r="10">
      <c r="A10" s="3">
        <v>45607.0</v>
      </c>
      <c r="B10" s="4">
        <f t="shared" si="1"/>
        <v>0</v>
      </c>
      <c r="C10" s="2" t="s">
        <v>20</v>
      </c>
      <c r="D10" s="2" t="s">
        <v>15</v>
      </c>
      <c r="E10" s="4">
        <v>6.0</v>
      </c>
      <c r="F10" s="5">
        <f>8.41*10^6/2/20</f>
        <v>210250</v>
      </c>
      <c r="G10" s="5">
        <f>6.28*10^6/2/20</f>
        <v>157000</v>
      </c>
      <c r="H10" s="5">
        <f>1.21*10^7/2/20</f>
        <v>302500</v>
      </c>
      <c r="I10" s="5">
        <f t="shared" si="2"/>
        <v>223250</v>
      </c>
      <c r="J10" s="5">
        <f t="shared" si="3"/>
        <v>42502.20583</v>
      </c>
    </row>
    <row r="11">
      <c r="A11" s="3">
        <v>45607.0</v>
      </c>
      <c r="B11" s="4">
        <f t="shared" si="1"/>
        <v>0</v>
      </c>
      <c r="C11" s="2" t="s">
        <v>21</v>
      </c>
      <c r="D11" s="2" t="s">
        <v>15</v>
      </c>
      <c r="E11" s="4">
        <v>7.0</v>
      </c>
      <c r="F11" s="5">
        <f>5.43*10^7/10/20</f>
        <v>271500</v>
      </c>
      <c r="G11" s="5">
        <f>5.42*10^7/10/20</f>
        <v>271000</v>
      </c>
      <c r="H11" s="5">
        <f>4.67*10^7/10/20</f>
        <v>233500</v>
      </c>
      <c r="I11" s="5">
        <f t="shared" si="2"/>
        <v>258666.6667</v>
      </c>
      <c r="J11" s="5">
        <f t="shared" si="3"/>
        <v>12584.16112</v>
      </c>
    </row>
    <row r="12">
      <c r="A12" s="3">
        <v>45607.0</v>
      </c>
      <c r="B12" s="4">
        <f t="shared" si="1"/>
        <v>0</v>
      </c>
      <c r="C12" s="2" t="s">
        <v>22</v>
      </c>
      <c r="D12" s="2" t="s">
        <v>23</v>
      </c>
      <c r="E12" s="4">
        <v>1.0</v>
      </c>
      <c r="F12" s="5">
        <f>4.36*10^6/20</f>
        <v>218000</v>
      </c>
      <c r="G12" s="5">
        <f>3.63*10^6/20</f>
        <v>181500</v>
      </c>
      <c r="H12" s="5">
        <f>9.38*10^6/20</f>
        <v>469000</v>
      </c>
      <c r="I12" s="5">
        <f t="shared" si="2"/>
        <v>289500</v>
      </c>
      <c r="J12" s="5">
        <f t="shared" si="3"/>
        <v>90366.38387</v>
      </c>
    </row>
    <row r="13">
      <c r="A13" s="3">
        <v>45607.0</v>
      </c>
      <c r="B13" s="4">
        <f t="shared" si="1"/>
        <v>0</v>
      </c>
      <c r="C13" s="2" t="s">
        <v>24</v>
      </c>
      <c r="D13" s="2" t="s">
        <v>23</v>
      </c>
      <c r="E13" s="4">
        <v>2.0</v>
      </c>
      <c r="F13" s="5">
        <f>2.39*10^6/10</f>
        <v>239000</v>
      </c>
      <c r="G13" s="5">
        <f>2.19*10^6/10</f>
        <v>219000</v>
      </c>
      <c r="H13" s="5">
        <f>2.26*10^6/10</f>
        <v>226000</v>
      </c>
      <c r="I13" s="5">
        <f t="shared" si="2"/>
        <v>228000</v>
      </c>
      <c r="J13" s="5">
        <f t="shared" si="3"/>
        <v>5859.465277</v>
      </c>
    </row>
    <row r="14">
      <c r="A14" s="3">
        <v>45607.0</v>
      </c>
      <c r="B14" s="4">
        <f t="shared" si="1"/>
        <v>0</v>
      </c>
      <c r="C14" s="2" t="s">
        <v>25</v>
      </c>
      <c r="D14" s="2" t="s">
        <v>23</v>
      </c>
      <c r="E14" s="4">
        <v>3.0</v>
      </c>
      <c r="F14" s="5">
        <f>6.04*10^6/20</f>
        <v>302000</v>
      </c>
      <c r="G14" s="5">
        <f>2.76*10^6/20</f>
        <v>138000</v>
      </c>
      <c r="H14" s="5">
        <f>6.88*10^6/20</f>
        <v>344000</v>
      </c>
      <c r="I14" s="5">
        <f t="shared" si="2"/>
        <v>261333.3333</v>
      </c>
      <c r="J14" s="5">
        <f t="shared" si="3"/>
        <v>62847.25752</v>
      </c>
    </row>
    <row r="15">
      <c r="A15" s="3">
        <v>45607.0</v>
      </c>
      <c r="B15" s="4">
        <f t="shared" si="1"/>
        <v>0</v>
      </c>
      <c r="C15" s="2" t="s">
        <v>26</v>
      </c>
      <c r="D15" s="2" t="s">
        <v>23</v>
      </c>
      <c r="E15" s="4">
        <v>4.0</v>
      </c>
      <c r="F15" s="5">
        <f>2.77*10^6/10</f>
        <v>277000</v>
      </c>
      <c r="G15" s="5">
        <f>2.98*10^6/10</f>
        <v>298000</v>
      </c>
      <c r="H15" s="5">
        <f>2.23*10^6/20</f>
        <v>111500</v>
      </c>
      <c r="I15" s="5">
        <f t="shared" si="2"/>
        <v>228833.3333</v>
      </c>
      <c r="J15" s="5">
        <f t="shared" si="3"/>
        <v>58979.04524</v>
      </c>
    </row>
    <row r="16">
      <c r="A16" s="3">
        <v>45607.0</v>
      </c>
      <c r="B16" s="4">
        <f t="shared" si="1"/>
        <v>0</v>
      </c>
      <c r="C16" s="2" t="s">
        <v>27</v>
      </c>
      <c r="D16" s="2" t="s">
        <v>23</v>
      </c>
      <c r="E16" s="4">
        <v>5.0</v>
      </c>
      <c r="F16" s="5">
        <f>7.16*10^6/2/20</f>
        <v>179000</v>
      </c>
      <c r="G16" s="5">
        <f>4.71*10^6/2/20</f>
        <v>117750</v>
      </c>
      <c r="H16" s="5">
        <f>7.88*10^6/2/20</f>
        <v>197000</v>
      </c>
      <c r="I16" s="5">
        <f t="shared" si="2"/>
        <v>164583.3333</v>
      </c>
      <c r="J16" s="5">
        <f t="shared" si="3"/>
        <v>23986.25185</v>
      </c>
    </row>
    <row r="17">
      <c r="A17" s="3">
        <v>45607.0</v>
      </c>
      <c r="B17" s="4">
        <f t="shared" si="1"/>
        <v>0</v>
      </c>
      <c r="C17" s="2" t="s">
        <v>28</v>
      </c>
      <c r="D17" s="2" t="s">
        <v>23</v>
      </c>
      <c r="E17" s="4">
        <v>6.0</v>
      </c>
      <c r="F17" s="5">
        <f>2.81*10^6/20</f>
        <v>140500</v>
      </c>
      <c r="G17" s="5">
        <f>3.39*10^6/20</f>
        <v>169500</v>
      </c>
      <c r="H17" s="5">
        <f>6.14*10^6/20</f>
        <v>307000</v>
      </c>
      <c r="I17" s="5">
        <f t="shared" si="2"/>
        <v>205666.6667</v>
      </c>
      <c r="J17" s="5">
        <f t="shared" si="3"/>
        <v>51353.62153</v>
      </c>
    </row>
    <row r="18">
      <c r="A18" s="3">
        <v>45607.0</v>
      </c>
      <c r="B18" s="4">
        <f t="shared" si="1"/>
        <v>0</v>
      </c>
      <c r="C18" s="2" t="s">
        <v>29</v>
      </c>
      <c r="D18" s="2" t="s">
        <v>23</v>
      </c>
      <c r="E18" s="4">
        <v>7.0</v>
      </c>
      <c r="F18" s="5">
        <f>4.15*10^7/10/20</f>
        <v>207500</v>
      </c>
      <c r="G18" s="5">
        <f>4.55*10^7/10/20</f>
        <v>227500</v>
      </c>
      <c r="H18" s="5">
        <f>5.3*10^7/10/20</f>
        <v>265000</v>
      </c>
      <c r="I18" s="5">
        <f t="shared" si="2"/>
        <v>233333.3333</v>
      </c>
      <c r="J18" s="5">
        <f t="shared" si="3"/>
        <v>16853.12368</v>
      </c>
    </row>
    <row r="19">
      <c r="A19" s="3">
        <v>45607.0</v>
      </c>
      <c r="B19" s="4">
        <f t="shared" si="1"/>
        <v>0</v>
      </c>
      <c r="C19" s="6" t="s">
        <v>30</v>
      </c>
      <c r="D19" s="6" t="s">
        <v>31</v>
      </c>
      <c r="E19" s="4">
        <v>1.0</v>
      </c>
      <c r="F19" s="5">
        <f>2.38*10^6/20</f>
        <v>119000</v>
      </c>
      <c r="G19" s="5">
        <f>5.37*10^6/20</f>
        <v>268500</v>
      </c>
      <c r="H19" s="5">
        <f>3.07*10^6/20</f>
        <v>153500</v>
      </c>
      <c r="I19" s="5">
        <f t="shared" si="2"/>
        <v>180333.3333</v>
      </c>
      <c r="J19" s="5">
        <f t="shared" si="3"/>
        <v>45194.33347</v>
      </c>
    </row>
    <row r="20">
      <c r="A20" s="3">
        <v>45607.0</v>
      </c>
      <c r="B20" s="4">
        <f t="shared" si="1"/>
        <v>0</v>
      </c>
      <c r="C20" s="2" t="s">
        <v>32</v>
      </c>
      <c r="D20" s="2" t="s">
        <v>31</v>
      </c>
      <c r="E20" s="4">
        <v>2.0</v>
      </c>
      <c r="F20" s="5">
        <f>1.16*10^6/20</f>
        <v>58000</v>
      </c>
      <c r="G20" s="5">
        <f>2.86*10^6/20</f>
        <v>143000</v>
      </c>
      <c r="H20" s="5">
        <f>5.71*10^6/20</f>
        <v>285500</v>
      </c>
      <c r="I20" s="5">
        <f t="shared" si="2"/>
        <v>162166.6667</v>
      </c>
      <c r="J20" s="5">
        <f t="shared" si="3"/>
        <v>66369.1277</v>
      </c>
    </row>
    <row r="21">
      <c r="A21" s="3">
        <v>45607.0</v>
      </c>
      <c r="B21" s="4">
        <f t="shared" si="1"/>
        <v>0</v>
      </c>
      <c r="C21" s="6" t="s">
        <v>33</v>
      </c>
      <c r="D21" s="6" t="s">
        <v>31</v>
      </c>
      <c r="E21" s="4">
        <v>3.0</v>
      </c>
      <c r="F21" s="5">
        <f>2.05*10^7/4/20</f>
        <v>256250</v>
      </c>
      <c r="G21" s="5">
        <f>5.46*10^6/4/20</f>
        <v>68250</v>
      </c>
      <c r="H21" s="5">
        <f>3.85*10^7/4/20</f>
        <v>481250</v>
      </c>
      <c r="I21" s="5">
        <f t="shared" si="2"/>
        <v>268583.3333</v>
      </c>
      <c r="J21" s="5">
        <f t="shared" si="3"/>
        <v>119382.206</v>
      </c>
    </row>
    <row r="22">
      <c r="A22" s="3">
        <v>45607.0</v>
      </c>
      <c r="B22" s="4">
        <f t="shared" si="1"/>
        <v>0</v>
      </c>
      <c r="C22" s="2" t="s">
        <v>34</v>
      </c>
      <c r="D22" s="2" t="s">
        <v>31</v>
      </c>
      <c r="E22" s="4">
        <v>4.0</v>
      </c>
      <c r="F22" s="5">
        <f>6.22*10^6/2/20</f>
        <v>155500</v>
      </c>
      <c r="G22" s="5">
        <f>8.18*10^6/2/20</f>
        <v>204500</v>
      </c>
      <c r="H22" s="5">
        <f>9.31*10^6/2/20</f>
        <v>232750</v>
      </c>
      <c r="I22" s="5">
        <f t="shared" si="2"/>
        <v>197583.3333</v>
      </c>
      <c r="J22" s="5">
        <f t="shared" si="3"/>
        <v>22566.72206</v>
      </c>
    </row>
    <row r="23">
      <c r="A23" s="3">
        <v>45607.0</v>
      </c>
      <c r="B23" s="4">
        <f t="shared" si="1"/>
        <v>0</v>
      </c>
      <c r="C23" s="6" t="s">
        <v>35</v>
      </c>
      <c r="D23" s="6" t="s">
        <v>31</v>
      </c>
      <c r="E23" s="4">
        <v>5.0</v>
      </c>
      <c r="F23" s="5">
        <f>1.2*10^7/4/20</f>
        <v>150000</v>
      </c>
      <c r="G23" s="5">
        <f>1.42*10^7/4/20</f>
        <v>177500</v>
      </c>
      <c r="H23" s="5">
        <f>1.58*10^7/4/20</f>
        <v>197500</v>
      </c>
      <c r="I23" s="5">
        <f t="shared" si="2"/>
        <v>175000</v>
      </c>
      <c r="J23" s="5">
        <f t="shared" si="3"/>
        <v>13768.92637</v>
      </c>
    </row>
    <row r="24">
      <c r="A24" s="3">
        <v>45607.0</v>
      </c>
      <c r="B24" s="4">
        <f t="shared" si="1"/>
        <v>0</v>
      </c>
      <c r="C24" s="2" t="s">
        <v>36</v>
      </c>
      <c r="D24" s="2" t="s">
        <v>31</v>
      </c>
      <c r="E24" s="4">
        <v>6.0</v>
      </c>
      <c r="F24" s="5">
        <f>9.45*10^6/2/20</f>
        <v>236250</v>
      </c>
      <c r="G24" s="5">
        <f>7.03*10^6/2/20</f>
        <v>175750</v>
      </c>
      <c r="H24" s="5">
        <f>1.13*10^7/2/20</f>
        <v>282500</v>
      </c>
      <c r="I24" s="5">
        <f t="shared" si="2"/>
        <v>231500</v>
      </c>
      <c r="J24" s="5">
        <f t="shared" si="3"/>
        <v>30907.45595</v>
      </c>
    </row>
    <row r="25">
      <c r="A25" s="3">
        <v>45607.0</v>
      </c>
      <c r="B25" s="4">
        <f t="shared" si="1"/>
        <v>0</v>
      </c>
      <c r="C25" s="6" t="s">
        <v>37</v>
      </c>
      <c r="D25" s="6" t="s">
        <v>31</v>
      </c>
      <c r="E25" s="4">
        <v>7.0</v>
      </c>
      <c r="F25" s="5">
        <f>3.2*10^7/10/20</f>
        <v>160000</v>
      </c>
      <c r="G25" s="5">
        <f>3.7*10^7/10/20</f>
        <v>185000</v>
      </c>
      <c r="H25" s="5">
        <f>2.77*10^7/10/20</f>
        <v>138500</v>
      </c>
      <c r="I25" s="5">
        <f t="shared" si="2"/>
        <v>161166.6667</v>
      </c>
      <c r="J25" s="5">
        <f t="shared" si="3"/>
        <v>13436.06258</v>
      </c>
    </row>
    <row r="26">
      <c r="A26" s="7">
        <f t="shared" ref="A26:A49" si="4">A2+4</f>
        <v>45611</v>
      </c>
      <c r="B26" s="4">
        <f t="shared" ref="B26:B49" si="5">A26-A2</f>
        <v>4</v>
      </c>
      <c r="C26" s="2" t="s">
        <v>10</v>
      </c>
      <c r="D26" s="2" t="s">
        <v>11</v>
      </c>
      <c r="E26" s="4">
        <v>1.0</v>
      </c>
      <c r="F26" s="8">
        <f>9.97*10^4</f>
        <v>99700</v>
      </c>
      <c r="G26" s="5">
        <f>3.52*10^5</f>
        <v>352000</v>
      </c>
      <c r="H26" s="8">
        <f>1.58*10^5</f>
        <v>158000</v>
      </c>
      <c r="I26" s="5">
        <f t="shared" si="2"/>
        <v>203233.3333</v>
      </c>
      <c r="J26" s="5">
        <f t="shared" si="3"/>
        <v>76263.49789</v>
      </c>
    </row>
    <row r="27">
      <c r="A27" s="7">
        <f t="shared" si="4"/>
        <v>45611</v>
      </c>
      <c r="B27" s="4">
        <f t="shared" si="5"/>
        <v>4</v>
      </c>
      <c r="C27" s="2" t="s">
        <v>12</v>
      </c>
      <c r="D27" s="2" t="s">
        <v>11</v>
      </c>
      <c r="E27" s="4">
        <v>2.0</v>
      </c>
      <c r="F27" s="5">
        <f>1.7*10^5</f>
        <v>170000</v>
      </c>
      <c r="G27" s="5">
        <f>1.76*10^5</f>
        <v>176000</v>
      </c>
      <c r="H27" s="5">
        <f>1.82*10^5</f>
        <v>182000</v>
      </c>
      <c r="I27" s="5">
        <f t="shared" si="2"/>
        <v>176000</v>
      </c>
      <c r="J27" s="5">
        <f t="shared" si="3"/>
        <v>3464.101615</v>
      </c>
    </row>
    <row r="28">
      <c r="A28" s="7">
        <f t="shared" si="4"/>
        <v>45611</v>
      </c>
      <c r="B28" s="4">
        <f t="shared" si="5"/>
        <v>4</v>
      </c>
      <c r="C28" s="2" t="s">
        <v>13</v>
      </c>
      <c r="D28" s="2" t="s">
        <v>11</v>
      </c>
      <c r="E28" s="4">
        <v>3.0</v>
      </c>
      <c r="F28" s="8">
        <f>4.69*10^4</f>
        <v>46900</v>
      </c>
      <c r="G28" s="5">
        <f>5.86*10^4</f>
        <v>58600</v>
      </c>
      <c r="H28" s="5">
        <f>4.11*10^4</f>
        <v>41100</v>
      </c>
      <c r="I28" s="5">
        <f t="shared" si="2"/>
        <v>48866.66667</v>
      </c>
      <c r="J28" s="5">
        <f t="shared" si="3"/>
        <v>5146.627806</v>
      </c>
    </row>
    <row r="29">
      <c r="A29" s="7">
        <f t="shared" si="4"/>
        <v>45611</v>
      </c>
      <c r="B29" s="4">
        <f t="shared" si="5"/>
        <v>4</v>
      </c>
      <c r="C29" s="2" t="s">
        <v>14</v>
      </c>
      <c r="D29" s="2" t="s">
        <v>15</v>
      </c>
      <c r="E29" s="4">
        <v>1.0</v>
      </c>
      <c r="F29" s="5">
        <f>6.45*10^4</f>
        <v>64500</v>
      </c>
      <c r="G29" s="5">
        <f>1.17*10^5</f>
        <v>117000</v>
      </c>
      <c r="H29" s="5">
        <f>1.06*10^5</f>
        <v>106000</v>
      </c>
      <c r="I29" s="5">
        <f t="shared" si="2"/>
        <v>95833.33333</v>
      </c>
      <c r="J29" s="5">
        <f t="shared" si="3"/>
        <v>15985.23624</v>
      </c>
    </row>
    <row r="30">
      <c r="A30" s="7">
        <f t="shared" si="4"/>
        <v>45611</v>
      </c>
      <c r="B30" s="4">
        <f t="shared" si="5"/>
        <v>4</v>
      </c>
      <c r="C30" s="2" t="s">
        <v>16</v>
      </c>
      <c r="D30" s="2" t="s">
        <v>15</v>
      </c>
      <c r="E30" s="4">
        <v>2.0</v>
      </c>
      <c r="F30" s="5">
        <f>1.58*10^5</f>
        <v>158000</v>
      </c>
      <c r="G30" s="5">
        <f>5.81*10^5</f>
        <v>581000</v>
      </c>
      <c r="H30" s="5">
        <f>1.29*10^5</f>
        <v>129000</v>
      </c>
      <c r="I30" s="5">
        <f t="shared" si="2"/>
        <v>289333.3333</v>
      </c>
      <c r="J30" s="5">
        <f t="shared" si="3"/>
        <v>146073.4214</v>
      </c>
    </row>
    <row r="31">
      <c r="A31" s="7">
        <f t="shared" si="4"/>
        <v>45611</v>
      </c>
      <c r="B31" s="4">
        <f t="shared" si="5"/>
        <v>4</v>
      </c>
      <c r="C31" s="2" t="s">
        <v>17</v>
      </c>
      <c r="D31" s="2" t="s">
        <v>15</v>
      </c>
      <c r="E31" s="4">
        <v>3.0</v>
      </c>
      <c r="F31" s="5">
        <f>8.8*10^4</f>
        <v>88000</v>
      </c>
      <c r="G31" s="5">
        <f>1.76*10^5</f>
        <v>176000</v>
      </c>
      <c r="H31" s="5">
        <f>1.82*10^5</f>
        <v>182000</v>
      </c>
      <c r="I31" s="5">
        <f t="shared" si="2"/>
        <v>148666.6667</v>
      </c>
      <c r="J31" s="5">
        <f t="shared" si="3"/>
        <v>30382.74364</v>
      </c>
    </row>
    <row r="32">
      <c r="A32" s="7">
        <f t="shared" si="4"/>
        <v>45611</v>
      </c>
      <c r="B32" s="4">
        <f t="shared" si="5"/>
        <v>4</v>
      </c>
      <c r="C32" s="2" t="s">
        <v>18</v>
      </c>
      <c r="D32" s="2" t="s">
        <v>15</v>
      </c>
      <c r="E32" s="4">
        <v>4.0</v>
      </c>
      <c r="F32" s="5">
        <f>1.58*10^5</f>
        <v>158000</v>
      </c>
      <c r="G32" s="5">
        <f>3.81*10^5</f>
        <v>381000</v>
      </c>
      <c r="H32" s="5">
        <f>3.52*10^5</f>
        <v>352000</v>
      </c>
      <c r="I32" s="5">
        <f t="shared" si="2"/>
        <v>297000</v>
      </c>
      <c r="J32" s="5">
        <f t="shared" si="3"/>
        <v>70002.38091</v>
      </c>
    </row>
    <row r="33">
      <c r="A33" s="7">
        <f t="shared" si="4"/>
        <v>45611</v>
      </c>
      <c r="B33" s="4">
        <f t="shared" si="5"/>
        <v>4</v>
      </c>
      <c r="C33" s="2" t="s">
        <v>19</v>
      </c>
      <c r="D33" s="2" t="s">
        <v>15</v>
      </c>
      <c r="E33" s="4">
        <v>5.0</v>
      </c>
      <c r="F33" s="5">
        <f>1.06*10^5</f>
        <v>106000</v>
      </c>
      <c r="G33" s="5">
        <f>6.45*10^4</f>
        <v>64500</v>
      </c>
      <c r="H33" s="5">
        <f>1.47*10^5</f>
        <v>147000</v>
      </c>
      <c r="I33" s="5">
        <f t="shared" si="2"/>
        <v>105833.3333</v>
      </c>
      <c r="J33" s="5">
        <f t="shared" si="3"/>
        <v>23815.8444</v>
      </c>
    </row>
    <row r="34">
      <c r="A34" s="7">
        <f t="shared" si="4"/>
        <v>45611</v>
      </c>
      <c r="B34" s="4">
        <f t="shared" si="5"/>
        <v>4</v>
      </c>
      <c r="C34" s="2" t="s">
        <v>20</v>
      </c>
      <c r="D34" s="2" t="s">
        <v>15</v>
      </c>
      <c r="E34" s="4">
        <v>6.0</v>
      </c>
      <c r="F34" s="5">
        <f>2.93*10^5</f>
        <v>293000</v>
      </c>
      <c r="G34" s="5">
        <f>3.58*10^5</f>
        <v>358000</v>
      </c>
      <c r="H34" s="5">
        <f>2.7*10^5</f>
        <v>270000</v>
      </c>
      <c r="I34" s="5">
        <f t="shared" si="2"/>
        <v>307000</v>
      </c>
      <c r="J34" s="5">
        <f t="shared" si="3"/>
        <v>26350.20557</v>
      </c>
    </row>
    <row r="35">
      <c r="A35" s="7">
        <f t="shared" si="4"/>
        <v>45611</v>
      </c>
      <c r="B35" s="4">
        <f t="shared" si="5"/>
        <v>4</v>
      </c>
      <c r="C35" s="2" t="s">
        <v>21</v>
      </c>
      <c r="D35" s="2" t="s">
        <v>15</v>
      </c>
      <c r="E35" s="4">
        <v>7.0</v>
      </c>
      <c r="F35" s="5">
        <f>2.5*10^5</f>
        <v>250000</v>
      </c>
      <c r="G35" s="5">
        <f>1.88*10^5</f>
        <v>188000</v>
      </c>
      <c r="H35" s="5">
        <f>4.28*10^5</f>
        <v>428000</v>
      </c>
      <c r="I35" s="5">
        <f t="shared" si="2"/>
        <v>288666.6667</v>
      </c>
      <c r="J35" s="5">
        <f t="shared" si="3"/>
        <v>71928.97732</v>
      </c>
    </row>
    <row r="36">
      <c r="A36" s="7">
        <f t="shared" si="4"/>
        <v>45611</v>
      </c>
      <c r="B36" s="4">
        <f t="shared" si="5"/>
        <v>4</v>
      </c>
      <c r="C36" s="2" t="s">
        <v>22</v>
      </c>
      <c r="D36" s="2" t="s">
        <v>23</v>
      </c>
      <c r="E36" s="4">
        <v>1.0</v>
      </c>
      <c r="F36" s="5">
        <f>2.23*10^5</f>
        <v>223000</v>
      </c>
      <c r="G36" s="5">
        <f>1.99*10^5</f>
        <v>199000</v>
      </c>
      <c r="H36" s="5">
        <f>2.64*10^5</f>
        <v>264000</v>
      </c>
      <c r="I36" s="5">
        <f t="shared" si="2"/>
        <v>228666.6667</v>
      </c>
      <c r="J36" s="5">
        <f t="shared" si="3"/>
        <v>18976.59377</v>
      </c>
    </row>
    <row r="37">
      <c r="A37" s="7">
        <f t="shared" si="4"/>
        <v>45611</v>
      </c>
      <c r="B37" s="4">
        <f t="shared" si="5"/>
        <v>4</v>
      </c>
      <c r="C37" s="2" t="s">
        <v>24</v>
      </c>
      <c r="D37" s="2" t="s">
        <v>23</v>
      </c>
      <c r="E37" s="4">
        <v>2.0</v>
      </c>
      <c r="F37" s="5">
        <f>5.45*10^5</f>
        <v>545000</v>
      </c>
      <c r="G37" s="5">
        <f>9.97*10^4</f>
        <v>99700</v>
      </c>
      <c r="H37" s="5">
        <f>2.11*10^5</f>
        <v>211000</v>
      </c>
      <c r="I37" s="5">
        <f t="shared" si="2"/>
        <v>285233.3333</v>
      </c>
      <c r="J37" s="5">
        <f t="shared" si="3"/>
        <v>133798.3101</v>
      </c>
    </row>
    <row r="38">
      <c r="A38" s="7">
        <f t="shared" si="4"/>
        <v>45611</v>
      </c>
      <c r="B38" s="4">
        <f t="shared" si="5"/>
        <v>4</v>
      </c>
      <c r="C38" s="2" t="s">
        <v>25</v>
      </c>
      <c r="D38" s="2" t="s">
        <v>23</v>
      </c>
      <c r="E38" s="4">
        <v>3.0</v>
      </c>
      <c r="F38" s="5">
        <f>4.05*10^5</f>
        <v>405000</v>
      </c>
      <c r="G38" s="5">
        <f>1.94*10^5</f>
        <v>194000</v>
      </c>
      <c r="H38" s="5">
        <f>1.47*10^5</f>
        <v>147000</v>
      </c>
      <c r="I38" s="5">
        <f t="shared" si="2"/>
        <v>248666.6667</v>
      </c>
      <c r="J38" s="5">
        <f t="shared" si="3"/>
        <v>79335.43415</v>
      </c>
    </row>
    <row r="39">
      <c r="A39" s="7">
        <f t="shared" si="4"/>
        <v>45611</v>
      </c>
      <c r="B39" s="4">
        <f t="shared" si="5"/>
        <v>4</v>
      </c>
      <c r="C39" s="2" t="s">
        <v>26</v>
      </c>
      <c r="D39" s="2" t="s">
        <v>23</v>
      </c>
      <c r="E39" s="4">
        <v>4.0</v>
      </c>
      <c r="F39" s="5">
        <f>2.05*10^5</f>
        <v>205000</v>
      </c>
      <c r="G39" s="5">
        <f t="shared" ref="G39:H39" si="6">1.11*10^5</f>
        <v>111000</v>
      </c>
      <c r="H39" s="5">
        <f t="shared" si="6"/>
        <v>111000</v>
      </c>
      <c r="I39" s="5">
        <f t="shared" si="2"/>
        <v>142333.3333</v>
      </c>
      <c r="J39" s="5">
        <f t="shared" si="3"/>
        <v>31333.33333</v>
      </c>
    </row>
    <row r="40">
      <c r="A40" s="7">
        <f t="shared" si="4"/>
        <v>45611</v>
      </c>
      <c r="B40" s="4">
        <f t="shared" si="5"/>
        <v>4</v>
      </c>
      <c r="C40" s="2" t="s">
        <v>27</v>
      </c>
      <c r="D40" s="2" t="s">
        <v>23</v>
      </c>
      <c r="E40" s="4">
        <v>5.0</v>
      </c>
      <c r="F40" s="5">
        <f>1.41*10^5</f>
        <v>141000</v>
      </c>
      <c r="G40" s="5">
        <f>1.17*10^5</f>
        <v>117000</v>
      </c>
      <c r="H40" s="5">
        <f>4.64*10^4</f>
        <v>46400</v>
      </c>
      <c r="I40" s="5">
        <f t="shared" si="2"/>
        <v>101466.6667</v>
      </c>
      <c r="J40" s="5">
        <f t="shared" si="3"/>
        <v>28391.62631</v>
      </c>
    </row>
    <row r="41">
      <c r="A41" s="7">
        <f t="shared" si="4"/>
        <v>45611</v>
      </c>
      <c r="B41" s="4">
        <f t="shared" si="5"/>
        <v>4</v>
      </c>
      <c r="C41" s="2" t="s">
        <v>28</v>
      </c>
      <c r="D41" s="2" t="s">
        <v>23</v>
      </c>
      <c r="E41" s="4">
        <v>6.0</v>
      </c>
      <c r="F41" s="5">
        <f>1.17*10^5</f>
        <v>117000</v>
      </c>
      <c r="G41" s="8">
        <f>2.35*10^5</f>
        <v>235000</v>
      </c>
      <c r="H41" s="5">
        <f>1.06*10^5</f>
        <v>106000</v>
      </c>
      <c r="I41" s="5">
        <f t="shared" si="2"/>
        <v>152666.6667</v>
      </c>
      <c r="J41" s="5">
        <f t="shared" si="3"/>
        <v>41288.95467</v>
      </c>
    </row>
    <row r="42">
      <c r="A42" s="7">
        <f t="shared" si="4"/>
        <v>45611</v>
      </c>
      <c r="B42" s="4">
        <f t="shared" si="5"/>
        <v>4</v>
      </c>
      <c r="C42" s="2" t="s">
        <v>29</v>
      </c>
      <c r="D42" s="2" t="s">
        <v>23</v>
      </c>
      <c r="E42" s="4">
        <v>7.0</v>
      </c>
      <c r="F42" s="5">
        <f>1.82*10^5</f>
        <v>182000</v>
      </c>
      <c r="G42" s="5">
        <f>4.28*10^5</f>
        <v>428000</v>
      </c>
      <c r="H42" s="8">
        <f>2.93*10^5</f>
        <v>293000</v>
      </c>
      <c r="I42" s="5">
        <f t="shared" si="2"/>
        <v>301000</v>
      </c>
      <c r="J42" s="5">
        <f t="shared" si="3"/>
        <v>71126.64761</v>
      </c>
    </row>
    <row r="43">
      <c r="A43" s="7">
        <f t="shared" si="4"/>
        <v>45611</v>
      </c>
      <c r="B43" s="4">
        <f t="shared" si="5"/>
        <v>4</v>
      </c>
      <c r="C43" s="6" t="s">
        <v>30</v>
      </c>
      <c r="D43" s="6" t="s">
        <v>31</v>
      </c>
      <c r="E43" s="4">
        <v>1.0</v>
      </c>
      <c r="F43" s="5">
        <f>1.06*10^5</f>
        <v>106000</v>
      </c>
      <c r="G43" s="5">
        <f>7.02*10^4</f>
        <v>70200</v>
      </c>
      <c r="H43" s="5">
        <f>1.41*10^5</f>
        <v>141000</v>
      </c>
      <c r="I43" s="5">
        <f t="shared" si="2"/>
        <v>105733.3333</v>
      </c>
      <c r="J43" s="5">
        <f t="shared" si="3"/>
        <v>20438.63444</v>
      </c>
    </row>
    <row r="44">
      <c r="A44" s="7">
        <f t="shared" si="4"/>
        <v>45611</v>
      </c>
      <c r="B44" s="4">
        <f t="shared" si="5"/>
        <v>4</v>
      </c>
      <c r="C44" s="2" t="s">
        <v>32</v>
      </c>
      <c r="D44" s="2" t="s">
        <v>31</v>
      </c>
      <c r="E44" s="4">
        <v>2.0</v>
      </c>
      <c r="F44" s="5">
        <f>1.88*10^5</f>
        <v>188000</v>
      </c>
      <c r="G44" s="5">
        <f>1.06*10^5</f>
        <v>106000</v>
      </c>
      <c r="H44" s="5">
        <f>2.29*10^5</f>
        <v>229000</v>
      </c>
      <c r="I44" s="5">
        <f t="shared" si="2"/>
        <v>174333.3333</v>
      </c>
      <c r="J44" s="5">
        <f t="shared" si="3"/>
        <v>36158.60125</v>
      </c>
    </row>
    <row r="45">
      <c r="A45" s="7">
        <f t="shared" si="4"/>
        <v>45611</v>
      </c>
      <c r="B45" s="4">
        <f t="shared" si="5"/>
        <v>4</v>
      </c>
      <c r="C45" s="6" t="s">
        <v>33</v>
      </c>
      <c r="D45" s="6" t="s">
        <v>31</v>
      </c>
      <c r="E45" s="4">
        <v>3.0</v>
      </c>
      <c r="F45" s="5">
        <f>2.93*10^4</f>
        <v>29300</v>
      </c>
      <c r="G45" s="5">
        <f>1.82*10^5</f>
        <v>182000</v>
      </c>
      <c r="H45" s="5">
        <f>3.34*10^5</f>
        <v>334000</v>
      </c>
      <c r="I45" s="5">
        <f t="shared" si="2"/>
        <v>181766.6667</v>
      </c>
      <c r="J45" s="5">
        <f t="shared" si="3"/>
        <v>87959.39088</v>
      </c>
    </row>
    <row r="46">
      <c r="A46" s="7">
        <f t="shared" si="4"/>
        <v>45611</v>
      </c>
      <c r="B46" s="4">
        <f t="shared" si="5"/>
        <v>4</v>
      </c>
      <c r="C46" s="2" t="s">
        <v>34</v>
      </c>
      <c r="D46" s="2" t="s">
        <v>31</v>
      </c>
      <c r="E46" s="4">
        <v>4.0</v>
      </c>
      <c r="F46" s="5">
        <f>2.23*10^5</f>
        <v>223000</v>
      </c>
      <c r="G46" s="5">
        <f>1.88*10^5</f>
        <v>188000</v>
      </c>
      <c r="H46" s="5">
        <f>8.8*10^4</f>
        <v>88000</v>
      </c>
      <c r="I46" s="5">
        <f t="shared" si="2"/>
        <v>166333.3333</v>
      </c>
      <c r="J46" s="5">
        <f t="shared" si="3"/>
        <v>40448.87033</v>
      </c>
    </row>
    <row r="47">
      <c r="A47" s="7">
        <f t="shared" si="4"/>
        <v>45611</v>
      </c>
      <c r="B47" s="4">
        <f t="shared" si="5"/>
        <v>4</v>
      </c>
      <c r="C47" s="6" t="s">
        <v>35</v>
      </c>
      <c r="D47" s="6" t="s">
        <v>31</v>
      </c>
      <c r="E47" s="4">
        <v>5.0</v>
      </c>
      <c r="F47" s="5">
        <f>3.52*10^4</f>
        <v>35200</v>
      </c>
      <c r="G47" s="5">
        <f>2.11*10^5</f>
        <v>211000</v>
      </c>
      <c r="H47" s="5">
        <f>7.04*10^4</f>
        <v>70400</v>
      </c>
      <c r="I47" s="5">
        <f t="shared" si="2"/>
        <v>105533.3333</v>
      </c>
      <c r="J47" s="5">
        <f t="shared" si="3"/>
        <v>53703.42426</v>
      </c>
    </row>
    <row r="48">
      <c r="A48" s="7">
        <f t="shared" si="4"/>
        <v>45611</v>
      </c>
      <c r="B48" s="4">
        <f t="shared" si="5"/>
        <v>4</v>
      </c>
      <c r="C48" s="2" t="s">
        <v>36</v>
      </c>
      <c r="D48" s="2" t="s">
        <v>31</v>
      </c>
      <c r="E48" s="4">
        <v>6.0</v>
      </c>
      <c r="F48" s="5">
        <f>3.93*10^5</f>
        <v>393000</v>
      </c>
      <c r="G48" s="5">
        <f>5.45*10^4</f>
        <v>54500</v>
      </c>
      <c r="H48" s="5">
        <f>1.29*10^5</f>
        <v>129000</v>
      </c>
      <c r="I48" s="5">
        <f t="shared" si="2"/>
        <v>192166.6667</v>
      </c>
      <c r="J48" s="5">
        <f t="shared" si="3"/>
        <v>102693.8546</v>
      </c>
    </row>
    <row r="49">
      <c r="A49" s="7">
        <f t="shared" si="4"/>
        <v>45611</v>
      </c>
      <c r="B49" s="4">
        <f t="shared" si="5"/>
        <v>4</v>
      </c>
      <c r="C49" s="6" t="s">
        <v>37</v>
      </c>
      <c r="D49" s="6" t="s">
        <v>31</v>
      </c>
      <c r="E49" s="4">
        <v>7.0</v>
      </c>
      <c r="F49" s="5">
        <f>5.63*10^5</f>
        <v>563000</v>
      </c>
      <c r="G49" s="5">
        <f>7.62*10^4</f>
        <v>76200</v>
      </c>
      <c r="H49" s="5">
        <f>6.45*10^4</f>
        <v>64500</v>
      </c>
      <c r="I49" s="5">
        <f t="shared" si="2"/>
        <v>234566.6667</v>
      </c>
      <c r="J49" s="5">
        <f t="shared" si="3"/>
        <v>164251.3961</v>
      </c>
    </row>
    <row r="50">
      <c r="A50" s="7">
        <f t="shared" ref="A50:A73" si="7">A2+7</f>
        <v>45614</v>
      </c>
      <c r="B50" s="4">
        <f t="shared" ref="B50:B73" si="8">A50-A2</f>
        <v>7</v>
      </c>
      <c r="C50" s="2" t="s">
        <v>10</v>
      </c>
      <c r="D50" s="2" t="s">
        <v>11</v>
      </c>
      <c r="E50" s="4">
        <v>1.0</v>
      </c>
      <c r="F50" s="8">
        <v>0.0</v>
      </c>
      <c r="G50" s="5">
        <f>3.46*10^5</f>
        <v>346000</v>
      </c>
      <c r="H50" s="5">
        <f>2.64*10^5</f>
        <v>264000</v>
      </c>
      <c r="I50" s="5">
        <f t="shared" si="2"/>
        <v>203333.3333</v>
      </c>
      <c r="J50" s="5">
        <f t="shared" si="3"/>
        <v>104386.0357</v>
      </c>
    </row>
    <row r="51">
      <c r="A51" s="7">
        <f t="shared" si="7"/>
        <v>45614</v>
      </c>
      <c r="B51" s="4">
        <f t="shared" si="8"/>
        <v>7</v>
      </c>
      <c r="C51" s="2" t="s">
        <v>12</v>
      </c>
      <c r="D51" s="2" t="s">
        <v>11</v>
      </c>
      <c r="E51" s="4">
        <v>2.0</v>
      </c>
      <c r="F51" s="5">
        <f>2.35*10^5</f>
        <v>235000</v>
      </c>
      <c r="G51" s="5">
        <f>6.8*10^5</f>
        <v>680000</v>
      </c>
      <c r="H51" s="5">
        <f>2.05*10^5</f>
        <v>205000</v>
      </c>
      <c r="I51" s="5">
        <f t="shared" si="2"/>
        <v>373333.3333</v>
      </c>
      <c r="J51" s="5">
        <f t="shared" si="3"/>
        <v>153577.7038</v>
      </c>
    </row>
    <row r="52">
      <c r="A52" s="7">
        <f t="shared" si="7"/>
        <v>45614</v>
      </c>
      <c r="B52" s="4">
        <f t="shared" si="8"/>
        <v>7</v>
      </c>
      <c r="C52" s="2" t="s">
        <v>13</v>
      </c>
      <c r="D52" s="2" t="s">
        <v>11</v>
      </c>
      <c r="E52" s="4">
        <v>3.0</v>
      </c>
      <c r="F52" s="5">
        <f>1.35*10^5</f>
        <v>135000</v>
      </c>
      <c r="G52" s="5">
        <f>2.93*10^4</f>
        <v>29300</v>
      </c>
      <c r="H52" s="5">
        <f>9.97*10^5</f>
        <v>997000</v>
      </c>
      <c r="I52" s="5">
        <f t="shared" si="2"/>
        <v>387100</v>
      </c>
      <c r="J52" s="5">
        <f t="shared" si="3"/>
        <v>306472.7448</v>
      </c>
    </row>
    <row r="53">
      <c r="A53" s="7">
        <f t="shared" si="7"/>
        <v>45614</v>
      </c>
      <c r="B53" s="4">
        <f t="shared" si="8"/>
        <v>7</v>
      </c>
      <c r="C53" s="2" t="s">
        <v>14</v>
      </c>
      <c r="D53" s="2" t="s">
        <v>15</v>
      </c>
      <c r="E53" s="4">
        <v>1.0</v>
      </c>
      <c r="F53" s="5">
        <f>5.86*10^5</f>
        <v>586000</v>
      </c>
      <c r="G53" s="5">
        <f>7.62*10^5</f>
        <v>762000</v>
      </c>
      <c r="H53" s="5">
        <f>2.05*10^5</f>
        <v>205000</v>
      </c>
      <c r="I53" s="5">
        <f t="shared" si="2"/>
        <v>517666.6667</v>
      </c>
      <c r="J53" s="5">
        <f t="shared" si="3"/>
        <v>164382.0077</v>
      </c>
    </row>
    <row r="54">
      <c r="A54" s="7">
        <f t="shared" si="7"/>
        <v>45614</v>
      </c>
      <c r="B54" s="4">
        <f t="shared" si="8"/>
        <v>7</v>
      </c>
      <c r="C54" s="2" t="s">
        <v>16</v>
      </c>
      <c r="D54" s="2" t="s">
        <v>15</v>
      </c>
      <c r="E54" s="4">
        <v>2.0</v>
      </c>
      <c r="F54" s="5">
        <f>3.58*10^5</f>
        <v>358000</v>
      </c>
      <c r="G54" s="5">
        <f>5.63*10^5</f>
        <v>563000</v>
      </c>
      <c r="H54" s="5">
        <f>1.35*10^5</f>
        <v>135000</v>
      </c>
      <c r="I54" s="5">
        <f t="shared" si="2"/>
        <v>352000</v>
      </c>
      <c r="J54" s="5">
        <f t="shared" si="3"/>
        <v>123589.3739</v>
      </c>
    </row>
    <row r="55">
      <c r="A55" s="7">
        <f t="shared" si="7"/>
        <v>45614</v>
      </c>
      <c r="B55" s="4">
        <f t="shared" si="8"/>
        <v>7</v>
      </c>
      <c r="C55" s="2" t="s">
        <v>17</v>
      </c>
      <c r="D55" s="2" t="s">
        <v>15</v>
      </c>
      <c r="E55" s="4">
        <v>3.0</v>
      </c>
      <c r="F55" s="5">
        <f>1.02*10^6</f>
        <v>1020000</v>
      </c>
      <c r="G55" s="5">
        <f>1.88*10^5</f>
        <v>188000</v>
      </c>
      <c r="H55" s="5">
        <f>2.17*10^5</f>
        <v>217000</v>
      </c>
      <c r="I55" s="5">
        <f t="shared" si="2"/>
        <v>475000</v>
      </c>
      <c r="J55" s="5">
        <f t="shared" si="3"/>
        <v>272628.5629</v>
      </c>
    </row>
    <row r="56">
      <c r="A56" s="7">
        <f t="shared" si="7"/>
        <v>45614</v>
      </c>
      <c r="B56" s="4">
        <f t="shared" si="8"/>
        <v>7</v>
      </c>
      <c r="C56" s="2" t="s">
        <v>18</v>
      </c>
      <c r="D56" s="2" t="s">
        <v>15</v>
      </c>
      <c r="E56" s="4">
        <v>4.0</v>
      </c>
      <c r="F56" s="5">
        <f>2.58*10^5</f>
        <v>258000</v>
      </c>
      <c r="G56" s="5">
        <f>2.22*10^6</f>
        <v>2220000</v>
      </c>
      <c r="H56" s="5">
        <f>2.82*10^5</f>
        <v>282000</v>
      </c>
      <c r="I56" s="5">
        <f t="shared" si="2"/>
        <v>920000</v>
      </c>
      <c r="J56" s="5">
        <f t="shared" si="3"/>
        <v>650036.922</v>
      </c>
    </row>
    <row r="57">
      <c r="A57" s="7">
        <f t="shared" si="7"/>
        <v>45614</v>
      </c>
      <c r="B57" s="4">
        <f t="shared" si="8"/>
        <v>7</v>
      </c>
      <c r="C57" s="2" t="s">
        <v>19</v>
      </c>
      <c r="D57" s="2" t="s">
        <v>15</v>
      </c>
      <c r="E57" s="4">
        <v>5.0</v>
      </c>
      <c r="F57" s="5">
        <f>2.46*10^5</f>
        <v>246000</v>
      </c>
      <c r="G57" s="5">
        <f>3.17*10^5</f>
        <v>317000</v>
      </c>
      <c r="H57" s="5">
        <f>1.94*10^5</f>
        <v>194000</v>
      </c>
      <c r="I57" s="5">
        <f t="shared" si="2"/>
        <v>252333.3333</v>
      </c>
      <c r="J57" s="5">
        <f t="shared" si="3"/>
        <v>35647.97018</v>
      </c>
    </row>
    <row r="58">
      <c r="A58" s="7">
        <f t="shared" si="7"/>
        <v>45614</v>
      </c>
      <c r="B58" s="4">
        <f t="shared" si="8"/>
        <v>7</v>
      </c>
      <c r="C58" s="2" t="s">
        <v>20</v>
      </c>
      <c r="D58" s="2" t="s">
        <v>15</v>
      </c>
      <c r="E58" s="4">
        <v>6.0</v>
      </c>
      <c r="F58" s="5">
        <f>5.45*10^5</f>
        <v>545000</v>
      </c>
      <c r="G58" s="5">
        <f>5.75*10^5</f>
        <v>575000</v>
      </c>
      <c r="H58" s="5">
        <f>6.92*10^5</f>
        <v>692000</v>
      </c>
      <c r="I58" s="5">
        <f t="shared" si="2"/>
        <v>604000</v>
      </c>
      <c r="J58" s="5">
        <f t="shared" si="3"/>
        <v>44844.17465</v>
      </c>
    </row>
    <row r="59">
      <c r="A59" s="7">
        <f t="shared" si="7"/>
        <v>45614</v>
      </c>
      <c r="B59" s="4">
        <f t="shared" si="8"/>
        <v>7</v>
      </c>
      <c r="C59" s="2" t="s">
        <v>21</v>
      </c>
      <c r="D59" s="2" t="s">
        <v>15</v>
      </c>
      <c r="E59" s="4">
        <v>7.0</v>
      </c>
      <c r="F59" s="5">
        <f>8.97*10^5</f>
        <v>897000</v>
      </c>
      <c r="G59" s="5">
        <f>2.29*10^5</f>
        <v>229000</v>
      </c>
      <c r="H59" s="5">
        <f>5.89*10^5</f>
        <v>589000</v>
      </c>
      <c r="I59" s="5">
        <f t="shared" si="2"/>
        <v>571666.6667</v>
      </c>
      <c r="J59" s="5">
        <f t="shared" si="3"/>
        <v>193029.6465</v>
      </c>
    </row>
    <row r="60">
      <c r="A60" s="7">
        <f t="shared" si="7"/>
        <v>45614</v>
      </c>
      <c r="B60" s="4">
        <f t="shared" si="8"/>
        <v>7</v>
      </c>
      <c r="C60" s="2" t="s">
        <v>22</v>
      </c>
      <c r="D60" s="2" t="s">
        <v>23</v>
      </c>
      <c r="E60" s="4">
        <v>1.0</v>
      </c>
      <c r="F60" s="5">
        <f>2.05*10^5</f>
        <v>205000</v>
      </c>
      <c r="G60" s="5">
        <f>4.16*10^5</f>
        <v>416000</v>
      </c>
      <c r="H60" s="5">
        <f>3.58*10^5</f>
        <v>358000</v>
      </c>
      <c r="I60" s="5">
        <f t="shared" si="2"/>
        <v>326333.3333</v>
      </c>
      <c r="J60" s="5">
        <f t="shared" si="3"/>
        <v>62934.71044</v>
      </c>
    </row>
    <row r="61">
      <c r="A61" s="7">
        <f t="shared" si="7"/>
        <v>45614</v>
      </c>
      <c r="B61" s="4">
        <f t="shared" si="8"/>
        <v>7</v>
      </c>
      <c r="C61" s="2" t="s">
        <v>24</v>
      </c>
      <c r="D61" s="2" t="s">
        <v>23</v>
      </c>
      <c r="E61" s="4">
        <v>2.0</v>
      </c>
      <c r="F61" s="5">
        <f>2.23*10^5</f>
        <v>223000</v>
      </c>
      <c r="G61" s="5">
        <f>3.69*10^5</f>
        <v>369000</v>
      </c>
      <c r="H61" s="5">
        <f>1.47*10^5</f>
        <v>147000</v>
      </c>
      <c r="I61" s="5">
        <f t="shared" si="2"/>
        <v>246333.3333</v>
      </c>
      <c r="J61" s="5">
        <f t="shared" si="3"/>
        <v>65139.16726</v>
      </c>
    </row>
    <row r="62">
      <c r="A62" s="7">
        <f t="shared" si="7"/>
        <v>45614</v>
      </c>
      <c r="B62" s="4">
        <f t="shared" si="8"/>
        <v>7</v>
      </c>
      <c r="C62" s="2" t="s">
        <v>25</v>
      </c>
      <c r="D62" s="2" t="s">
        <v>23</v>
      </c>
      <c r="E62" s="4">
        <v>3.0</v>
      </c>
      <c r="F62" s="5">
        <f>2.46*10^5</f>
        <v>246000</v>
      </c>
      <c r="G62" s="5">
        <f>2.17*10^5</f>
        <v>217000</v>
      </c>
      <c r="H62" s="5">
        <f>2.4*10^5</f>
        <v>240000</v>
      </c>
      <c r="I62" s="5">
        <f t="shared" si="2"/>
        <v>234333.3333</v>
      </c>
      <c r="J62" s="5">
        <f t="shared" si="3"/>
        <v>8838.049056</v>
      </c>
    </row>
    <row r="63">
      <c r="A63" s="7">
        <f t="shared" si="7"/>
        <v>45614</v>
      </c>
      <c r="B63" s="4">
        <f t="shared" si="8"/>
        <v>7</v>
      </c>
      <c r="C63" s="2" t="s">
        <v>26</v>
      </c>
      <c r="D63" s="2" t="s">
        <v>23</v>
      </c>
      <c r="E63" s="4">
        <v>4.0</v>
      </c>
      <c r="F63" s="5">
        <f>1.23*10^5</f>
        <v>123000</v>
      </c>
      <c r="G63" s="5">
        <f>1.29*10^5</f>
        <v>129000</v>
      </c>
      <c r="H63" s="5">
        <f>1.23*10^5</f>
        <v>123000</v>
      </c>
      <c r="I63" s="5">
        <f t="shared" si="2"/>
        <v>125000</v>
      </c>
      <c r="J63" s="5">
        <f t="shared" si="3"/>
        <v>2000</v>
      </c>
    </row>
    <row r="64">
      <c r="A64" s="7">
        <f t="shared" si="7"/>
        <v>45614</v>
      </c>
      <c r="B64" s="4">
        <f t="shared" si="8"/>
        <v>7</v>
      </c>
      <c r="C64" s="2" t="s">
        <v>27</v>
      </c>
      <c r="D64" s="2" t="s">
        <v>23</v>
      </c>
      <c r="E64" s="4">
        <v>5.0</v>
      </c>
      <c r="F64" s="5">
        <f>1.82*10^5</f>
        <v>182000</v>
      </c>
      <c r="G64" s="5">
        <f t="shared" ref="G64:H64" si="9">2.29*10^5</f>
        <v>229000</v>
      </c>
      <c r="H64" s="5">
        <f t="shared" si="9"/>
        <v>229000</v>
      </c>
      <c r="I64" s="5">
        <f t="shared" si="2"/>
        <v>213333.3333</v>
      </c>
      <c r="J64" s="5">
        <f t="shared" si="3"/>
        <v>15666.66667</v>
      </c>
    </row>
    <row r="65">
      <c r="A65" s="7">
        <f t="shared" si="7"/>
        <v>45614</v>
      </c>
      <c r="B65" s="4">
        <f t="shared" si="8"/>
        <v>7</v>
      </c>
      <c r="C65" s="2" t="s">
        <v>28</v>
      </c>
      <c r="D65" s="2" t="s">
        <v>23</v>
      </c>
      <c r="E65" s="4">
        <v>6.0</v>
      </c>
      <c r="F65" s="5">
        <f>3.52*10^5</f>
        <v>352000</v>
      </c>
      <c r="G65" s="5">
        <f>1.17*10^5</f>
        <v>117000</v>
      </c>
      <c r="H65" s="5">
        <f>4.11*10^5</f>
        <v>411000</v>
      </c>
      <c r="I65" s="5">
        <f t="shared" si="2"/>
        <v>293333.3333</v>
      </c>
      <c r="J65" s="5">
        <f t="shared" si="3"/>
        <v>89796.68393</v>
      </c>
    </row>
    <row r="66">
      <c r="A66" s="7">
        <f t="shared" si="7"/>
        <v>45614</v>
      </c>
      <c r="B66" s="4">
        <f t="shared" si="8"/>
        <v>7</v>
      </c>
      <c r="C66" s="2" t="s">
        <v>29</v>
      </c>
      <c r="D66" s="2" t="s">
        <v>23</v>
      </c>
      <c r="E66" s="4">
        <v>7.0</v>
      </c>
      <c r="F66" s="5">
        <f>3.11*10^5</f>
        <v>311000</v>
      </c>
      <c r="G66" s="5">
        <f>4.11*10^4</f>
        <v>41100</v>
      </c>
      <c r="H66" s="8">
        <f>1.94*10^5</f>
        <v>194000</v>
      </c>
      <c r="I66" s="5">
        <f t="shared" si="2"/>
        <v>182033.3333</v>
      </c>
      <c r="J66" s="5">
        <f t="shared" si="3"/>
        <v>78142.82508</v>
      </c>
    </row>
    <row r="67">
      <c r="A67" s="7">
        <f t="shared" si="7"/>
        <v>45614</v>
      </c>
      <c r="B67" s="4">
        <f t="shared" si="8"/>
        <v>7</v>
      </c>
      <c r="C67" s="6" t="s">
        <v>30</v>
      </c>
      <c r="D67" s="6" t="s">
        <v>31</v>
      </c>
      <c r="E67" s="4">
        <v>1.0</v>
      </c>
      <c r="F67" s="5">
        <f>4.11*10^4</f>
        <v>41100</v>
      </c>
      <c r="G67" s="5">
        <f>2.76*10^5</f>
        <v>276000</v>
      </c>
      <c r="H67" s="5">
        <f>2.52*10^5</f>
        <v>252000</v>
      </c>
      <c r="I67" s="5">
        <f t="shared" si="2"/>
        <v>189700</v>
      </c>
      <c r="J67" s="5">
        <f t="shared" si="3"/>
        <v>74622.3157</v>
      </c>
    </row>
    <row r="68">
      <c r="A68" s="7">
        <f t="shared" si="7"/>
        <v>45614</v>
      </c>
      <c r="B68" s="4">
        <f t="shared" si="8"/>
        <v>7</v>
      </c>
      <c r="C68" s="2" t="s">
        <v>32</v>
      </c>
      <c r="D68" s="2" t="s">
        <v>31</v>
      </c>
      <c r="E68" s="4">
        <v>2.0</v>
      </c>
      <c r="F68" s="5">
        <f>2.17*10^5</f>
        <v>217000</v>
      </c>
      <c r="G68" s="5">
        <f>1.11*10^5</f>
        <v>111000</v>
      </c>
      <c r="H68" s="5">
        <f>2.76*10^5</f>
        <v>276000</v>
      </c>
      <c r="I68" s="5">
        <f t="shared" si="2"/>
        <v>201333.3333</v>
      </c>
      <c r="J68" s="5">
        <f t="shared" si="3"/>
        <v>48271.22446</v>
      </c>
    </row>
    <row r="69">
      <c r="A69" s="7">
        <f t="shared" si="7"/>
        <v>45614</v>
      </c>
      <c r="B69" s="4">
        <f t="shared" si="8"/>
        <v>7</v>
      </c>
      <c r="C69" s="6" t="s">
        <v>33</v>
      </c>
      <c r="D69" s="6" t="s">
        <v>31</v>
      </c>
      <c r="E69" s="4">
        <v>3.0</v>
      </c>
      <c r="F69" s="5">
        <f>3.58*10^5</f>
        <v>358000</v>
      </c>
      <c r="G69" s="5">
        <f>4.4*10^5</f>
        <v>440000</v>
      </c>
      <c r="H69" s="5">
        <f>3.58*10^5</f>
        <v>358000</v>
      </c>
      <c r="I69" s="5">
        <f t="shared" si="2"/>
        <v>385333.3333</v>
      </c>
      <c r="J69" s="5">
        <f t="shared" si="3"/>
        <v>27333.33333</v>
      </c>
    </row>
    <row r="70">
      <c r="A70" s="7">
        <f t="shared" si="7"/>
        <v>45614</v>
      </c>
      <c r="B70" s="4">
        <f t="shared" si="8"/>
        <v>7</v>
      </c>
      <c r="C70" s="2" t="s">
        <v>34</v>
      </c>
      <c r="D70" s="2" t="s">
        <v>31</v>
      </c>
      <c r="E70" s="4">
        <v>4.0</v>
      </c>
      <c r="F70" s="5">
        <f>1.99*10^5</f>
        <v>199000</v>
      </c>
      <c r="G70" s="5">
        <f>2.87*10^5</f>
        <v>287000</v>
      </c>
      <c r="H70" s="5">
        <f>1.52*10^5</f>
        <v>152000</v>
      </c>
      <c r="I70" s="5">
        <f t="shared" si="2"/>
        <v>212666.6667</v>
      </c>
      <c r="J70" s="5">
        <f t="shared" si="3"/>
        <v>39565.69783</v>
      </c>
    </row>
    <row r="71">
      <c r="A71" s="7">
        <f t="shared" si="7"/>
        <v>45614</v>
      </c>
      <c r="B71" s="4">
        <f t="shared" si="8"/>
        <v>7</v>
      </c>
      <c r="C71" s="6" t="s">
        <v>35</v>
      </c>
      <c r="D71" s="6" t="s">
        <v>31</v>
      </c>
      <c r="E71" s="4">
        <v>5.0</v>
      </c>
      <c r="F71" s="5">
        <f>2.35*10^5</f>
        <v>235000</v>
      </c>
      <c r="G71" s="5">
        <f>4.52*10^5</f>
        <v>452000</v>
      </c>
      <c r="H71" s="5">
        <f>8.21*10^4</f>
        <v>82100</v>
      </c>
      <c r="I71" s="5">
        <f t="shared" si="2"/>
        <v>256366.6667</v>
      </c>
      <c r="J71" s="5">
        <f t="shared" si="3"/>
        <v>107314.0304</v>
      </c>
    </row>
    <row r="72">
      <c r="A72" s="7">
        <f t="shared" si="7"/>
        <v>45614</v>
      </c>
      <c r="B72" s="4">
        <f t="shared" si="8"/>
        <v>7</v>
      </c>
      <c r="C72" s="2" t="s">
        <v>36</v>
      </c>
      <c r="D72" s="2" t="s">
        <v>31</v>
      </c>
      <c r="E72" s="4">
        <v>6.0</v>
      </c>
      <c r="F72" s="5">
        <f>1.7*10^5</f>
        <v>170000</v>
      </c>
      <c r="G72" s="5">
        <f>1.29*10^5</f>
        <v>129000</v>
      </c>
      <c r="H72" s="5">
        <f>1.76*10^5</f>
        <v>176000</v>
      </c>
      <c r="I72" s="5">
        <f t="shared" si="2"/>
        <v>158333.3333</v>
      </c>
      <c r="J72" s="5">
        <f t="shared" si="3"/>
        <v>14768.58528</v>
      </c>
    </row>
    <row r="73">
      <c r="A73" s="7">
        <f t="shared" si="7"/>
        <v>45614</v>
      </c>
      <c r="B73" s="4">
        <f t="shared" si="8"/>
        <v>7</v>
      </c>
      <c r="C73" s="6" t="s">
        <v>37</v>
      </c>
      <c r="D73" s="6" t="s">
        <v>31</v>
      </c>
      <c r="E73" s="4">
        <v>7.0</v>
      </c>
      <c r="F73" s="5">
        <f>1.41*10^5</f>
        <v>141000</v>
      </c>
      <c r="G73" s="5">
        <f>1.9*10^5</f>
        <v>190000</v>
      </c>
      <c r="H73" s="5">
        <f>7.04*10^4</f>
        <v>70400</v>
      </c>
      <c r="I73" s="5">
        <f t="shared" si="2"/>
        <v>133800</v>
      </c>
      <c r="J73" s="5">
        <f t="shared" si="3"/>
        <v>34712.72581</v>
      </c>
    </row>
  </sheetData>
  <drawing r:id="rId1"/>
</worksheet>
</file>