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n/Workspace/technogen/eloader/src/templates/"/>
    </mc:Choice>
  </mc:AlternateContent>
  <xr:revisionPtr revIDLastSave="0" documentId="13_ncr:1_{2CB86359-CB27-0241-BCAE-091946AF6B7C}" xr6:coauthVersionLast="45" xr6:coauthVersionMax="45" xr10:uidLastSave="{00000000-0000-0000-0000-000000000000}"/>
  <bookViews>
    <workbookView xWindow="5580" yWindow="3560" windowWidth="27640" windowHeight="16940" xr2:uid="{990CD17D-0310-F146-B32B-AF5F2832BA06}"/>
  </bookViews>
  <sheets>
    <sheet name="Template for MCC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'Template for MCC'!$A$162:$M$207</definedName>
    <definedName name="Alum_Data">#REF!</definedName>
    <definedName name="APPROVED_BY">[2]Info!$C$9</definedName>
    <definedName name="Breaker_Rated_Current">#REF!</definedName>
    <definedName name="Breaker_Tripping_Current">#REF!</definedName>
    <definedName name="Breaker_Type">#REF!</definedName>
    <definedName name="Cable_Data">#REF!</definedName>
    <definedName name="Cable_Data_HV">#REF!</definedName>
    <definedName name="Cable_Size">#REF!</definedName>
    <definedName name="Cable_Size__HV">#REF!</definedName>
    <definedName name="Cable_Size_HV">#REF!</definedName>
    <definedName name="Cable_Size_LV">#REF!</definedName>
    <definedName name="Cable_Type">#REF!</definedName>
    <definedName name="Cable_Type_Code">#REF!</definedName>
    <definedName name="Cable_Voltage">#REF!</definedName>
    <definedName name="CB">#REF!</definedName>
    <definedName name="CB_Fuse">#REF!</definedName>
    <definedName name="CB_Type">#REF!</definedName>
    <definedName name="Circuits">#REF!</definedName>
    <definedName name="Cond_type">#REF!</definedName>
    <definedName name="Conductor">#REF!</definedName>
    <definedName name="Conductor_Resistivity">#REF!</definedName>
    <definedName name="Data">#REF!</definedName>
    <definedName name="DATE_APPR">[2]Info!$C$10</definedName>
    <definedName name="DATE_PREP">[2]Info!$C$8</definedName>
    <definedName name="depth">#REF!</definedName>
    <definedName name="Depth_Derating">#REF!</definedName>
    <definedName name="Drive_Sizes">#REF!</definedName>
    <definedName name="_xlnm.Extract" localSheetId="0">'Template for MCC'!#REF!</definedName>
    <definedName name="FDR_Rating">#REF!</definedName>
    <definedName name="Fuse_Type">#REF!</definedName>
    <definedName name="gG_Fuse_Gates">#REF!</definedName>
    <definedName name="gG_Fuse_Rated_Current">#REF!</definedName>
    <definedName name="Harmonic_Level">#REF!</definedName>
    <definedName name="Harmonic_Reduction">#REF!</definedName>
    <definedName name="HV_Cond">#REF!</definedName>
    <definedName name="HV_Sizes">#REF!</definedName>
    <definedName name="Install_Types">#REF!</definedName>
    <definedName name="Installation">#REF!</definedName>
    <definedName name="Installation_Derating">#REF!</definedName>
    <definedName name="K_Factor">#REF!</definedName>
    <definedName name="Load_Type">#REF!</definedName>
    <definedName name="MechEquipIdent">'[3]Equip Designations &amp; Spec''s'!$A$4:$A$78</definedName>
    <definedName name="Min_Earth_Size">#REF!</definedName>
    <definedName name="Motor_11000V">#REF!</definedName>
    <definedName name="Motor_3300V">#REF!</definedName>
    <definedName name="Motor_415V">#REF!</definedName>
    <definedName name="Motor_6600V">#REF!</definedName>
    <definedName name="Motor_690V">#REF!</definedName>
    <definedName name="Motor_kW">#REF!</definedName>
    <definedName name="Motor_Start">#REF!</definedName>
    <definedName name="N_A">#REF!</definedName>
    <definedName name="Plant_Areas">'[4]Plant Areas'!$A$3:$A$50</definedName>
    <definedName name="PREPARED_BY">[2]Info!$C$7</definedName>
    <definedName name="_xlnm.Print_Area" localSheetId="0">'Template for MCC'!$A$1:$X$25</definedName>
    <definedName name="PROY_CODE">[2]Info!$C$5</definedName>
    <definedName name="PROY_NAME">[2]Info!$C$4</definedName>
    <definedName name="REV">[2]Info!$C$6</definedName>
    <definedName name="Single_Multi_Core">#REF!</definedName>
    <definedName name="Soil_Resistivity">#REF!</definedName>
    <definedName name="Soil_Temp">#REF!</definedName>
    <definedName name="Soil_Thermal_Res_Factor">#REF!</definedName>
    <definedName name="SoilCond">#REF!</definedName>
    <definedName name="Spacing_Conduit">#REF!</definedName>
    <definedName name="Spacing_Direct">#REF!</definedName>
    <definedName name="Spacing_Ladder">#REF!</definedName>
    <definedName name="Table">#REF!</definedName>
    <definedName name="TECO_11kV_DATA">#REF!</definedName>
    <definedName name="TECO_3.3kV_DATA">#REF!</definedName>
    <definedName name="TECO_415V_DATA">#REF!</definedName>
    <definedName name="TECO_6.6kV_DATA">#REF!</definedName>
    <definedName name="TECO_690V_DATA">#REF!</definedName>
    <definedName name="Temperature">#REF!</definedName>
    <definedName name="Temperature_Derating">#REF!</definedName>
    <definedName name="TNF_Drive">#REF!</definedName>
    <definedName name="TNF_Sizes">#REF!</definedName>
    <definedName name="TX_kVA">#REF!</definedName>
    <definedName name="Voltage">#REF!</definedName>
    <definedName name="Yes_N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28" i="1" l="1"/>
  <c r="J205" i="1"/>
  <c r="E205" i="1"/>
  <c r="E206" i="1" s="1"/>
  <c r="J199" i="1"/>
  <c r="J198" i="1"/>
  <c r="E198" i="1"/>
  <c r="E200" i="1" s="1"/>
  <c r="J197" i="1"/>
  <c r="E197" i="1"/>
  <c r="E199" i="1" s="1"/>
  <c r="E191" i="1"/>
  <c r="E186" i="1"/>
  <c r="E185" i="1"/>
  <c r="J184" i="1"/>
  <c r="E184" i="1"/>
  <c r="J183" i="1"/>
  <c r="J185" i="1" s="1"/>
  <c r="E183" i="1"/>
  <c r="E179" i="1"/>
  <c r="J178" i="1"/>
  <c r="E178" i="1"/>
  <c r="J177" i="1"/>
  <c r="E177" i="1"/>
  <c r="J176" i="1"/>
  <c r="E176" i="1"/>
  <c r="E170" i="1"/>
  <c r="E169" i="1"/>
  <c r="J168" i="1"/>
  <c r="E168" i="1"/>
  <c r="J167" i="1"/>
  <c r="E167" i="1"/>
  <c r="J166" i="1"/>
  <c r="J169" i="1" s="1"/>
  <c r="E166" i="1"/>
  <c r="J165" i="1"/>
  <c r="E165" i="1"/>
  <c r="F161" i="1"/>
  <c r="F160" i="1"/>
  <c r="D134" i="1"/>
  <c r="E127" i="1"/>
  <c r="E128" i="1" s="1"/>
  <c r="C120" i="1"/>
  <c r="B120" i="1" s="1"/>
  <c r="C119" i="1"/>
  <c r="B119" i="1"/>
  <c r="C118" i="1"/>
  <c r="B118" i="1" s="1"/>
  <c r="C117" i="1"/>
  <c r="C116" i="1"/>
  <c r="B116" i="1"/>
  <c r="C115" i="1"/>
  <c r="B115" i="1"/>
  <c r="C114" i="1"/>
  <c r="B114" i="1" s="1"/>
  <c r="G113" i="1"/>
  <c r="E113" i="1" s="1"/>
  <c r="C113" i="1"/>
  <c r="B113" i="1" s="1"/>
  <c r="G112" i="1"/>
  <c r="E112" i="1" s="1"/>
  <c r="C112" i="1"/>
  <c r="B112" i="1" s="1"/>
  <c r="G111" i="1"/>
  <c r="E111" i="1" s="1"/>
  <c r="C111" i="1"/>
  <c r="B111" i="1" s="1"/>
  <c r="G110" i="1"/>
  <c r="E110" i="1" s="1"/>
  <c r="C110" i="1"/>
  <c r="B110" i="1" s="1"/>
  <c r="G109" i="1"/>
  <c r="E109" i="1" s="1"/>
  <c r="C109" i="1"/>
  <c r="B109" i="1" s="1"/>
  <c r="G108" i="1"/>
  <c r="E108" i="1" s="1"/>
  <c r="C108" i="1"/>
  <c r="B108" i="1" s="1"/>
  <c r="G107" i="1"/>
  <c r="E107" i="1" s="1"/>
  <c r="C107" i="1"/>
  <c r="B107" i="1" s="1"/>
  <c r="G106" i="1"/>
  <c r="E106" i="1" s="1"/>
  <c r="C106" i="1"/>
  <c r="B106" i="1" s="1"/>
  <c r="G105" i="1"/>
  <c r="E105" i="1" s="1"/>
  <c r="C105" i="1"/>
  <c r="B105" i="1" s="1"/>
  <c r="G104" i="1"/>
  <c r="E104" i="1" s="1"/>
  <c r="C104" i="1"/>
  <c r="B104" i="1" s="1"/>
  <c r="G103" i="1"/>
  <c r="E103" i="1" s="1"/>
  <c r="C103" i="1"/>
  <c r="B103" i="1" s="1"/>
  <c r="G102" i="1"/>
  <c r="E102" i="1" s="1"/>
  <c r="C102" i="1"/>
  <c r="B102" i="1" s="1"/>
  <c r="G101" i="1"/>
  <c r="E101" i="1" s="1"/>
  <c r="C101" i="1"/>
  <c r="B101" i="1" s="1"/>
  <c r="G100" i="1"/>
  <c r="E100" i="1" s="1"/>
  <c r="C100" i="1"/>
  <c r="B100" i="1" s="1"/>
  <c r="G99" i="1"/>
  <c r="E99" i="1" s="1"/>
  <c r="C99" i="1"/>
  <c r="B99" i="1" s="1"/>
  <c r="G98" i="1"/>
  <c r="E98" i="1" s="1"/>
  <c r="C98" i="1"/>
  <c r="B98" i="1" s="1"/>
  <c r="G97" i="1"/>
  <c r="E97" i="1" s="1"/>
  <c r="C97" i="1"/>
  <c r="B97" i="1" s="1"/>
  <c r="G96" i="1"/>
  <c r="E96" i="1" s="1"/>
  <c r="C96" i="1"/>
  <c r="B96" i="1" s="1"/>
  <c r="G95" i="1"/>
  <c r="E95" i="1" s="1"/>
  <c r="C95" i="1"/>
  <c r="B95" i="1" s="1"/>
  <c r="G94" i="1"/>
  <c r="E94" i="1" s="1"/>
  <c r="C94" i="1"/>
  <c r="B94" i="1" s="1"/>
  <c r="G93" i="1"/>
  <c r="E93" i="1" s="1"/>
  <c r="C93" i="1"/>
  <c r="B93" i="1" s="1"/>
  <c r="G92" i="1"/>
  <c r="E92" i="1" s="1"/>
  <c r="C92" i="1"/>
  <c r="B92" i="1" s="1"/>
  <c r="G91" i="1"/>
  <c r="E91" i="1" s="1"/>
  <c r="C91" i="1"/>
  <c r="B91" i="1" s="1"/>
  <c r="G90" i="1"/>
  <c r="E90" i="1" s="1"/>
  <c r="C90" i="1"/>
  <c r="B90" i="1" s="1"/>
  <c r="G89" i="1"/>
  <c r="E89" i="1" s="1"/>
  <c r="C89" i="1"/>
  <c r="B89" i="1" s="1"/>
  <c r="G88" i="1"/>
  <c r="E88" i="1" s="1"/>
  <c r="C88" i="1"/>
  <c r="B88" i="1" s="1"/>
  <c r="G87" i="1"/>
  <c r="E87" i="1" s="1"/>
  <c r="C87" i="1"/>
  <c r="B87" i="1" s="1"/>
  <c r="G86" i="1"/>
  <c r="E86" i="1" s="1"/>
  <c r="C86" i="1"/>
  <c r="B86" i="1" s="1"/>
  <c r="G85" i="1"/>
  <c r="E85" i="1" s="1"/>
  <c r="C85" i="1"/>
  <c r="B85" i="1" s="1"/>
  <c r="G84" i="1"/>
  <c r="E84" i="1" s="1"/>
  <c r="C84" i="1"/>
  <c r="B84" i="1" s="1"/>
  <c r="G83" i="1"/>
  <c r="E83" i="1" s="1"/>
  <c r="C83" i="1"/>
  <c r="B83" i="1" s="1"/>
  <c r="G82" i="1"/>
  <c r="E82" i="1" s="1"/>
  <c r="C82" i="1"/>
  <c r="B82" i="1" s="1"/>
  <c r="G81" i="1"/>
  <c r="E81" i="1" s="1"/>
  <c r="C81" i="1"/>
  <c r="B81" i="1" s="1"/>
  <c r="E80" i="1"/>
  <c r="C80" i="1"/>
  <c r="B80" i="1" s="1"/>
  <c r="G31" i="1"/>
  <c r="G30" i="1"/>
  <c r="L30" i="1" s="1"/>
  <c r="M30" i="1" s="1"/>
  <c r="J24" i="1"/>
  <c r="W17" i="1"/>
  <c r="Q17" i="1"/>
  <c r="J17" i="1"/>
  <c r="R17" i="1" s="1"/>
  <c r="U16" i="1"/>
  <c r="T16" i="1"/>
  <c r="S16" i="1"/>
  <c r="R16" i="1"/>
  <c r="Q16" i="1"/>
  <c r="M16" i="1"/>
  <c r="J16" i="1"/>
  <c r="W15" i="1"/>
  <c r="S15" i="1"/>
  <c r="R15" i="1"/>
  <c r="X15" i="1" s="1"/>
  <c r="Z15" i="1" s="1"/>
  <c r="Q15" i="1"/>
  <c r="J15" i="1"/>
  <c r="M15" i="1" s="1"/>
  <c r="T15" i="1" s="1"/>
  <c r="M14" i="1"/>
  <c r="M12" i="1"/>
  <c r="CI9" i="1"/>
  <c r="CE9" i="1"/>
  <c r="CD9" i="1"/>
  <c r="CC9" i="1"/>
  <c r="BX9" i="1"/>
  <c r="BV9" i="1"/>
  <c r="BU9" i="1"/>
  <c r="BT9" i="1"/>
  <c r="BR9" i="1"/>
  <c r="BP9" i="1"/>
  <c r="BW9" i="1" s="1"/>
  <c r="BO9" i="1"/>
  <c r="BK9" i="1"/>
  <c r="AQ9" i="1"/>
  <c r="AQ19" i="1" s="1"/>
  <c r="F24" i="1" s="1"/>
  <c r="E129" i="1" s="1"/>
  <c r="E130" i="1" s="1"/>
  <c r="AP9" i="1"/>
  <c r="AA9" i="1"/>
  <c r="AB9" i="1" s="1"/>
  <c r="AD9" i="1" s="1"/>
  <c r="AD19" i="1" s="1"/>
  <c r="L9" i="1"/>
  <c r="AN9" i="1" s="1"/>
  <c r="K9" i="1"/>
  <c r="J9" i="1"/>
  <c r="I9" i="1"/>
  <c r="H9" i="1"/>
  <c r="G9" i="1"/>
  <c r="P9" i="1" s="1"/>
  <c r="W9" i="1" s="1"/>
  <c r="F9" i="1"/>
  <c r="F139" i="1" s="1"/>
  <c r="E9" i="1"/>
  <c r="AH9" i="1" s="1"/>
  <c r="AH19" i="1" s="1"/>
  <c r="D9" i="1"/>
  <c r="C9" i="1"/>
  <c r="B9" i="1"/>
  <c r="E31" i="1" s="1"/>
  <c r="L31" i="1" s="1"/>
  <c r="M31" i="1" s="1"/>
  <c r="BF8" i="1"/>
  <c r="AO9" i="1" s="1"/>
  <c r="BC8" i="1"/>
  <c r="BL7" i="1"/>
  <c r="BD7" i="1"/>
  <c r="BF5" i="1"/>
  <c r="T5" i="1"/>
  <c r="G4" i="1"/>
  <c r="T3" i="1"/>
  <c r="T2" i="1"/>
  <c r="T1" i="1"/>
  <c r="G1" i="1"/>
  <c r="V15" i="1" l="1"/>
  <c r="S17" i="1"/>
  <c r="X17" i="1"/>
  <c r="Z17" i="1" s="1"/>
  <c r="B121" i="1"/>
  <c r="B130" i="1"/>
  <c r="B139" i="1"/>
  <c r="B138" i="1"/>
  <c r="B129" i="1"/>
  <c r="B137" i="1"/>
  <c r="B147" i="1"/>
  <c r="B136" i="1"/>
  <c r="B128" i="1"/>
  <c r="B148" i="1" s="1"/>
  <c r="B146" i="1"/>
  <c r="B135" i="1"/>
  <c r="B145" i="1"/>
  <c r="B144" i="1"/>
  <c r="B134" i="1"/>
  <c r="B143" i="1"/>
  <c r="B133" i="1"/>
  <c r="B142" i="1"/>
  <c r="B132" i="1"/>
  <c r="B141" i="1"/>
  <c r="B131" i="1"/>
  <c r="B140" i="1"/>
  <c r="E114" i="1"/>
  <c r="CG9" i="1"/>
  <c r="CH9" i="1" s="1"/>
  <c r="F30" i="1"/>
  <c r="H30" i="1" s="1"/>
  <c r="J30" i="1" s="1"/>
  <c r="F31" i="1"/>
  <c r="H31" i="1" s="1" a="1"/>
  <c r="H31" i="1" s="1"/>
  <c r="J31" i="1" s="1"/>
  <c r="O31" i="1" s="1"/>
  <c r="J19" i="1"/>
  <c r="J25" i="1" s="1"/>
  <c r="U15" i="1"/>
  <c r="O9" i="1"/>
  <c r="M17" i="1"/>
  <c r="T17" i="1" s="1"/>
  <c r="N9" i="1"/>
  <c r="AE9" i="1"/>
  <c r="AE19" i="1" s="1"/>
  <c r="AF9" i="1"/>
  <c r="AF19" i="1" s="1"/>
  <c r="AG9" i="1"/>
  <c r="AG19" i="1" s="1"/>
  <c r="B117" i="1"/>
  <c r="U17" i="1"/>
  <c r="B30" i="1"/>
  <c r="B31" i="1" s="1"/>
  <c r="AM9" i="1"/>
  <c r="C30" i="1"/>
  <c r="C31" i="1" s="1"/>
  <c r="M9" i="1"/>
  <c r="D30" i="1"/>
  <c r="D31" i="1" s="1"/>
  <c r="T9" i="1" l="1"/>
  <c r="T19" i="1" s="1"/>
  <c r="M19" i="1"/>
  <c r="S31" i="1"/>
  <c r="R31" i="1"/>
  <c r="T31" i="1" s="1"/>
  <c r="Q9" i="1"/>
  <c r="R9" i="1"/>
  <c r="O30" i="1"/>
  <c r="R30" i="1" s="1"/>
  <c r="CF9" i="1"/>
  <c r="V17" i="1"/>
  <c r="X9" i="1" l="1"/>
  <c r="R19" i="1"/>
  <c r="V9" i="1"/>
  <c r="U9" i="1"/>
  <c r="U19" i="1" s="1"/>
  <c r="S9" i="1"/>
  <c r="S19" i="1" s="1"/>
  <c r="V19" i="1" l="1"/>
  <c r="AC9" i="1"/>
  <c r="AC19" i="1" s="1"/>
  <c r="Z9" i="1"/>
  <c r="Z19" i="1" s="1"/>
  <c r="X19" i="1"/>
  <c r="T4" i="1" l="1"/>
  <c r="T6" i="1" l="1"/>
</calcChain>
</file>

<file path=xl/sharedStrings.xml><?xml version="1.0" encoding="utf-8"?>
<sst xmlns="http://schemas.openxmlformats.org/spreadsheetml/2006/main" count="351" uniqueCount="166">
  <si>
    <t>Project:</t>
  </si>
  <si>
    <t>ELECTRICAL LOADS LIST SUBSTATION</t>
  </si>
  <si>
    <t>Revision:</t>
  </si>
  <si>
    <t>Prepared by:</t>
  </si>
  <si>
    <t>Sheet name</t>
  </si>
  <si>
    <t>Date prepared:</t>
  </si>
  <si>
    <t>No of starters required for Miscellaneous loads</t>
  </si>
  <si>
    <t>Approved by:</t>
  </si>
  <si>
    <t>Do you want to print</t>
  </si>
  <si>
    <t>Date approved:</t>
  </si>
  <si>
    <t>POWER CONSUMPTION</t>
  </si>
  <si>
    <t>PROCUMENT RATING</t>
  </si>
  <si>
    <t>Spare capacity</t>
  </si>
  <si>
    <t>Spare Space</t>
  </si>
  <si>
    <t>Module Size</t>
  </si>
  <si>
    <t xml:space="preserve">Module Height </t>
  </si>
  <si>
    <t>Module Cost</t>
  </si>
  <si>
    <t>VSD Cost</t>
  </si>
  <si>
    <t>Cable Size</t>
  </si>
  <si>
    <t>Voltage Drop</t>
  </si>
  <si>
    <t xml:space="preserve">Indicative max run </t>
  </si>
  <si>
    <t>Current Carrying Capacity</t>
  </si>
  <si>
    <t>Folder Path</t>
  </si>
  <si>
    <t>.</t>
  </si>
  <si>
    <t>Tag No</t>
  </si>
  <si>
    <t>Rev</t>
  </si>
  <si>
    <t>Area Code</t>
  </si>
  <si>
    <t>Type</t>
  </si>
  <si>
    <t>Starter Type</t>
  </si>
  <si>
    <t>Voltage</t>
  </si>
  <si>
    <t>Duty / Standby</t>
  </si>
  <si>
    <t>Equipment Name</t>
  </si>
  <si>
    <t>Construction Workpack</t>
  </si>
  <si>
    <t>Installed kW</t>
  </si>
  <si>
    <t>Efficiency</t>
  </si>
  <si>
    <t>P.F.</t>
  </si>
  <si>
    <t>kVA.</t>
  </si>
  <si>
    <t>tan a</t>
  </si>
  <si>
    <t>Load Factor</t>
  </si>
  <si>
    <t>DIVERSITY/ UTILISATION</t>
  </si>
  <si>
    <t>AVERAGE LOAD FACTOR</t>
  </si>
  <si>
    <t>Max kW</t>
  </si>
  <si>
    <t>Max kVAR</t>
  </si>
  <si>
    <t>Max kVA</t>
  </si>
  <si>
    <t>Avg Load kW</t>
  </si>
  <si>
    <t>Avg Load kVA</t>
  </si>
  <si>
    <t>ON hrs/24</t>
  </si>
  <si>
    <t>kWh/day</t>
  </si>
  <si>
    <t>Days / Annum</t>
  </si>
  <si>
    <t>kWh/Annum</t>
  </si>
  <si>
    <t xml:space="preserve"> Procurement Rating</t>
  </si>
  <si>
    <t>%</t>
  </si>
  <si>
    <t>Cable Size mm2</t>
  </si>
  <si>
    <t>Volt Drop</t>
  </si>
  <si>
    <t>Up stream CB</t>
  </si>
  <si>
    <t>Motor Full load current</t>
  </si>
  <si>
    <t>Field Isolator Amp</t>
  </si>
  <si>
    <t>Distance</t>
  </si>
  <si>
    <t>Cable space req. on cable ladder</t>
  </si>
  <si>
    <t>S. No.</t>
  </si>
  <si>
    <t>Equip Tag No</t>
  </si>
  <si>
    <t>Power or Control</t>
  </si>
  <si>
    <t>Cable Tag No.</t>
  </si>
  <si>
    <t>From</t>
  </si>
  <si>
    <t>To</t>
  </si>
  <si>
    <t>Cable Size (mm2)</t>
  </si>
  <si>
    <t>No. of Cores</t>
  </si>
  <si>
    <t>Cable Voltage</t>
  </si>
  <si>
    <t>Cable Type</t>
  </si>
  <si>
    <t>Length</t>
  </si>
  <si>
    <t>Let through energy</t>
  </si>
  <si>
    <t>Fault Loop</t>
  </si>
  <si>
    <t>Volt Drop %</t>
  </si>
  <si>
    <t>Up stream Circuit Breaker</t>
  </si>
  <si>
    <t>Installed kW rating</t>
  </si>
  <si>
    <t>Unique code for cable</t>
  </si>
  <si>
    <t>Overall Dia</t>
  </si>
  <si>
    <t>Max cable size terminated</t>
  </si>
  <si>
    <t>General</t>
  </si>
  <si>
    <t>DP-001</t>
  </si>
  <si>
    <t>Lighting, small power distribution panel</t>
  </si>
  <si>
    <t>DP-002</t>
  </si>
  <si>
    <t>240V UPS</t>
  </si>
  <si>
    <t>DP-003</t>
  </si>
  <si>
    <t xml:space="preserve">Field Equipment 240V distribution </t>
  </si>
  <si>
    <t>Total</t>
  </si>
  <si>
    <t>`</t>
  </si>
  <si>
    <t>Contingency factor %</t>
  </si>
  <si>
    <t>Estimated Avg. Dist. of Substation to Loads in WP</t>
  </si>
  <si>
    <t>m</t>
  </si>
  <si>
    <t>No. of Spare starters</t>
  </si>
  <si>
    <t>Avg load of each starter (kW)</t>
  </si>
  <si>
    <t>No. of ladders going out of SS (600 mm)</t>
  </si>
  <si>
    <t>Total kW for spare allocation</t>
  </si>
  <si>
    <t>Total MCC load allowed (Calculated + Contingency)</t>
  </si>
  <si>
    <t>DELTA</t>
  </si>
  <si>
    <t>Template</t>
  </si>
  <si>
    <t>Installed KW</t>
  </si>
  <si>
    <t>AVG LOAD (KW)</t>
  </si>
  <si>
    <t>No. of Starters</t>
  </si>
  <si>
    <t>Avg. Starter Load (KW)</t>
  </si>
  <si>
    <t>Contingency based spare Starters</t>
  </si>
  <si>
    <t>Contingency based spare KW Load (KW)</t>
  </si>
  <si>
    <t>Average Starter size (mm)</t>
  </si>
  <si>
    <t>Spare Starters</t>
  </si>
  <si>
    <t>Total No. Starters</t>
  </si>
  <si>
    <t>Single file MCC Length (m)</t>
  </si>
  <si>
    <t>MCC Length Back to Back (m)</t>
  </si>
  <si>
    <t>Switchroom cost (Single File)</t>
  </si>
  <si>
    <t>Switchroom cost (Back to Back)</t>
  </si>
  <si>
    <t>Item</t>
  </si>
  <si>
    <t>Quantity</t>
  </si>
  <si>
    <t>Incomer</t>
  </si>
  <si>
    <t>VSD BOQ</t>
  </si>
  <si>
    <t>MCC BOQ</t>
  </si>
  <si>
    <t xml:space="preserve">KW Rating </t>
  </si>
  <si>
    <t xml:space="preserve">Quantity </t>
  </si>
  <si>
    <t>Defing range of MCC</t>
  </si>
  <si>
    <t>TOTAL</t>
  </si>
  <si>
    <t>Cable ladder BOQ</t>
  </si>
  <si>
    <t>Field Isolator BOQ</t>
  </si>
  <si>
    <t>Quantity (m)</t>
  </si>
  <si>
    <t xml:space="preserve">300 mm cable ladder </t>
  </si>
  <si>
    <t>300 mm cable ladder cover</t>
  </si>
  <si>
    <t xml:space="preserve">600 mm cable ladder </t>
  </si>
  <si>
    <t>600 mm cable ladder cover</t>
  </si>
  <si>
    <t>Sub BoQ</t>
  </si>
  <si>
    <t>ea</t>
  </si>
  <si>
    <t>Voltage of substation</t>
  </si>
  <si>
    <t>Standard Lengths (m)</t>
  </si>
  <si>
    <t>VSD</t>
  </si>
  <si>
    <t>MCC to VSD</t>
  </si>
  <si>
    <t>VSD Dual</t>
  </si>
  <si>
    <t>Field Isolator to motor</t>
  </si>
  <si>
    <t>Ladder size</t>
  </si>
  <si>
    <t>mm</t>
  </si>
  <si>
    <t>Segregation b/w P &amp; C cab</t>
  </si>
  <si>
    <t>Actual usage of ladder %</t>
  </si>
  <si>
    <t xml:space="preserve">Actual usage of ladder </t>
  </si>
  <si>
    <t>Space left on ladder</t>
  </si>
  <si>
    <t>Cable Type for VSD</t>
  </si>
  <si>
    <t>Cable Length for VSD</t>
  </si>
  <si>
    <t>Cable set for VSD</t>
  </si>
  <si>
    <t xml:space="preserve">From </t>
  </si>
  <si>
    <t>MCC</t>
  </si>
  <si>
    <t>Cu XLPE PVC SCN PVC</t>
  </si>
  <si>
    <t>Field Isolator</t>
  </si>
  <si>
    <t>Motor</t>
  </si>
  <si>
    <t>Cu PVC SCN PVC</t>
  </si>
  <si>
    <t>Cable Set for DOL</t>
  </si>
  <si>
    <t>Cable Type for DOL</t>
  </si>
  <si>
    <t>Cable Length for DOL</t>
  </si>
  <si>
    <t>Cu XLPE PVC</t>
  </si>
  <si>
    <t>Cable Type for DOL for less then 7.5</t>
  </si>
  <si>
    <t>Cable Set for DOL less then 7.5</t>
  </si>
  <si>
    <t>Cu PVC PVC</t>
  </si>
  <si>
    <t>Cable Set for Feeder</t>
  </si>
  <si>
    <t>Cable Type for Feeder</t>
  </si>
  <si>
    <t>Cable Length for Feeder</t>
  </si>
  <si>
    <t>Marshalling Box</t>
  </si>
  <si>
    <t>Cable set for VSD No isolator</t>
  </si>
  <si>
    <t>Cable Type for VSD No isolator</t>
  </si>
  <si>
    <t>Cable Length for VSD No isolator</t>
  </si>
  <si>
    <t>Cable Set for DOL No isolator</t>
  </si>
  <si>
    <t>Cable Type for DOL No isolator less than 7.5</t>
  </si>
  <si>
    <t>Cable Length for DOL No isolator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</si>
</sst>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.00_);_(&quot;$&quot;* \(#,##0.00\);_(&quot;$&quot;* &quot;-&quot;??_);_(@_)"/>
    <numFmt numFmtId="165" formatCode="0.0"/>
    <numFmt numFmtId="166" formatCode="#,##0.00_ ;[Red]\-#,##0.00\ "/>
    <numFmt numFmtId="167" formatCode="#,##0.000;\-#,##0.000"/>
    <numFmt numFmtId="168" formatCode="#,##0.0;\-#,##0.0"/>
    <numFmt numFmtId="169" formatCode="#,##0.0_ ;[Red]\-#,##0.0\ "/>
    <numFmt numFmtId="170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rgb="FF163168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rgb="FF222222"/>
      <name val="Arial"/>
      <family val="2"/>
    </font>
    <font>
      <sz val="12"/>
      <color rgb="FF0A010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E5796"/>
        <bgColor indexed="64"/>
      </patternFill>
    </fill>
    <fill>
      <patternFill patternType="solid">
        <fgColor rgb="FF16316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6" fillId="0" borderId="0"/>
  </cellStyleXfs>
  <cellXfs count="2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3" applyFont="1" applyFill="1" applyBorder="1" applyAlignment="1">
      <alignment horizontal="left" vertical="top" wrapText="1"/>
    </xf>
    <xf numFmtId="0" fontId="3" fillId="2" borderId="5" xfId="3" applyFont="1" applyFill="1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center" vertical="center"/>
    </xf>
    <xf numFmtId="9" fontId="0" fillId="0" borderId="0" xfId="2" applyFont="1" applyAlignment="1">
      <alignment horizontal="center" vertical="center"/>
    </xf>
    <xf numFmtId="164" fontId="0" fillId="0" borderId="0" xfId="1" applyFont="1"/>
    <xf numFmtId="0" fontId="0" fillId="0" borderId="0" xfId="2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10" xfId="3" applyFont="1" applyFill="1" applyBorder="1" applyAlignment="1">
      <alignment horizontal="left" vertical="top" wrapText="1"/>
    </xf>
    <xf numFmtId="0" fontId="3" fillId="2" borderId="11" xfId="3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14" fontId="0" fillId="0" borderId="12" xfId="0" applyNumberFormat="1" applyBorder="1" applyAlignment="1">
      <alignment horizontal="left" vertical="top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3" fillId="2" borderId="17" xfId="3" applyFont="1" applyFill="1" applyBorder="1" applyAlignment="1">
      <alignment horizontal="left" vertical="top" wrapText="1"/>
    </xf>
    <xf numFmtId="0" fontId="3" fillId="2" borderId="18" xfId="3" applyFont="1" applyFill="1" applyBorder="1" applyAlignment="1">
      <alignment horizontal="left" vertical="top" wrapText="1"/>
    </xf>
    <xf numFmtId="14" fontId="0" fillId="0" borderId="19" xfId="0" applyNumberForma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37" fontId="5" fillId="0" borderId="1" xfId="0" applyNumberFormat="1" applyFont="1" applyBorder="1" applyAlignment="1">
      <alignment horizontal="left" vertical="center"/>
    </xf>
    <xf numFmtId="37" fontId="5" fillId="0" borderId="21" xfId="0" applyNumberFormat="1" applyFont="1" applyBorder="1" applyAlignment="1">
      <alignment vertical="center"/>
    </xf>
    <xf numFmtId="37" fontId="5" fillId="0" borderId="2" xfId="0" applyNumberFormat="1" applyFont="1" applyBorder="1" applyAlignment="1">
      <alignment horizontal="center" vertical="center" wrapText="1"/>
    </xf>
    <xf numFmtId="37" fontId="5" fillId="0" borderId="21" xfId="0" applyNumberFormat="1" applyFont="1" applyBorder="1" applyAlignment="1">
      <alignment horizontal="center" vertical="center" wrapText="1"/>
    </xf>
    <xf numFmtId="37" fontId="5" fillId="0" borderId="21" xfId="0" applyNumberFormat="1" applyFont="1" applyBorder="1" applyAlignment="1">
      <alignment vertical="center" wrapText="1"/>
    </xf>
    <xf numFmtId="37" fontId="5" fillId="0" borderId="2" xfId="0" applyNumberFormat="1" applyFont="1" applyBorder="1" applyAlignment="1">
      <alignment vertical="center" wrapText="1"/>
    </xf>
    <xf numFmtId="37" fontId="5" fillId="0" borderId="22" xfId="0" applyNumberFormat="1" applyFont="1" applyBorder="1" applyAlignment="1">
      <alignment horizontal="center" vertical="center" wrapText="1"/>
    </xf>
    <xf numFmtId="37" fontId="5" fillId="0" borderId="23" xfId="0" applyNumberFormat="1" applyFont="1" applyBorder="1" applyAlignment="1">
      <alignment horizontal="center" vertical="center" wrapText="1"/>
    </xf>
    <xf numFmtId="37" fontId="5" fillId="0" borderId="24" xfId="0" applyNumberFormat="1" applyFont="1" applyBorder="1" applyAlignment="1">
      <alignment horizontal="center" vertical="center" wrapText="1"/>
    </xf>
    <xf numFmtId="37" fontId="5" fillId="0" borderId="25" xfId="0" applyNumberFormat="1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37" fontId="5" fillId="0" borderId="22" xfId="4" applyNumberFormat="1" applyFont="1" applyBorder="1" applyAlignment="1">
      <alignment horizontal="center" vertical="center" wrapText="1"/>
    </xf>
    <xf numFmtId="37" fontId="5" fillId="0" borderId="24" xfId="4" applyNumberFormat="1" applyFont="1" applyBorder="1" applyAlignment="1">
      <alignment horizontal="center" vertical="center" wrapText="1"/>
    </xf>
    <xf numFmtId="37" fontId="5" fillId="0" borderId="21" xfId="4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164" fontId="7" fillId="0" borderId="21" xfId="1" applyFont="1" applyBorder="1" applyAlignment="1">
      <alignment horizontal="center" vertical="center"/>
    </xf>
    <xf numFmtId="0" fontId="7" fillId="0" borderId="21" xfId="1" applyNumberFormat="1" applyFont="1" applyBorder="1" applyAlignment="1">
      <alignment horizontal="center" vertical="center"/>
    </xf>
    <xf numFmtId="0" fontId="7" fillId="0" borderId="21" xfId="2" applyNumberFormat="1" applyFont="1" applyBorder="1" applyAlignment="1">
      <alignment horizontal="center" vertical="center"/>
    </xf>
    <xf numFmtId="0" fontId="7" fillId="0" borderId="21" xfId="1" applyNumberFormat="1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26" xfId="0" applyFon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8" fillId="4" borderId="27" xfId="0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center"/>
    </xf>
    <xf numFmtId="165" fontId="9" fillId="4" borderId="32" xfId="0" applyNumberFormat="1" applyFont="1" applyFill="1" applyBorder="1" applyAlignment="1">
      <alignment horizontal="center"/>
    </xf>
    <xf numFmtId="0" fontId="8" fillId="4" borderId="32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vertical="center" wrapText="1"/>
    </xf>
    <xf numFmtId="0" fontId="8" fillId="4" borderId="11" xfId="0" applyFont="1" applyFill="1" applyBorder="1" applyAlignment="1">
      <alignment horizontal="right" wrapText="1"/>
    </xf>
    <xf numFmtId="0" fontId="8" fillId="4" borderId="34" xfId="0" applyFont="1" applyFill="1" applyBorder="1" applyAlignment="1">
      <alignment horizontal="center" vertical="center" wrapText="1"/>
    </xf>
    <xf numFmtId="0" fontId="10" fillId="0" borderId="35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36" xfId="0" applyFont="1" applyBorder="1" applyAlignment="1">
      <alignment horizontal="left"/>
    </xf>
    <xf numFmtId="0" fontId="10" fillId="0" borderId="38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39" xfId="0" applyFont="1" applyBorder="1" applyAlignment="1">
      <alignment horizontal="center"/>
    </xf>
    <xf numFmtId="164" fontId="10" fillId="0" borderId="37" xfId="1" applyFont="1" applyBorder="1" applyAlignment="1">
      <alignment horizontal="center" vertical="center"/>
    </xf>
    <xf numFmtId="0" fontId="10" fillId="0" borderId="37" xfId="1" applyNumberFormat="1" applyFont="1" applyBorder="1" applyAlignment="1">
      <alignment horizontal="center" vertical="center"/>
    </xf>
    <xf numFmtId="0" fontId="10" fillId="0" borderId="37" xfId="2" applyNumberFormat="1" applyFont="1" applyBorder="1" applyAlignment="1">
      <alignment horizontal="center" vertical="center"/>
    </xf>
    <xf numFmtId="0" fontId="10" fillId="0" borderId="36" xfId="1" applyNumberFormat="1" applyFont="1" applyBorder="1" applyAlignment="1">
      <alignment horizontal="center" vertical="center"/>
    </xf>
    <xf numFmtId="0" fontId="10" fillId="0" borderId="32" xfId="0" applyFont="1" applyBorder="1"/>
    <xf numFmtId="0" fontId="10" fillId="0" borderId="40" xfId="1" applyNumberFormat="1" applyFont="1" applyBorder="1" applyAlignment="1">
      <alignment horizontal="center" vertical="center"/>
    </xf>
    <xf numFmtId="0" fontId="10" fillId="0" borderId="0" xfId="0" applyFont="1"/>
    <xf numFmtId="0" fontId="0" fillId="0" borderId="32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10" fillId="0" borderId="40" xfId="0" applyFont="1" applyBorder="1" applyAlignment="1">
      <alignment horizontal="center"/>
    </xf>
    <xf numFmtId="0" fontId="10" fillId="0" borderId="41" xfId="0" applyFont="1" applyBorder="1" applyAlignment="1">
      <alignment horizontal="center"/>
    </xf>
    <xf numFmtId="0" fontId="11" fillId="0" borderId="32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left" vertical="center" wrapText="1"/>
    </xf>
    <xf numFmtId="166" fontId="12" fillId="0" borderId="32" xfId="0" applyNumberFormat="1" applyFont="1" applyBorder="1" applyAlignment="1">
      <alignment horizontal="center" vertical="center"/>
    </xf>
    <xf numFmtId="167" fontId="12" fillId="0" borderId="32" xfId="0" applyNumberFormat="1" applyFont="1" applyBorder="1" applyAlignment="1">
      <alignment horizontal="center" vertical="center"/>
    </xf>
    <xf numFmtId="168" fontId="12" fillId="0" borderId="37" xfId="0" applyNumberFormat="1" applyFont="1" applyBorder="1" applyAlignment="1">
      <alignment horizontal="center" vertical="center"/>
    </xf>
    <xf numFmtId="39" fontId="12" fillId="0" borderId="32" xfId="0" applyNumberFormat="1" applyFont="1" applyBorder="1" applyAlignment="1">
      <alignment horizontal="center" vertical="center"/>
    </xf>
    <xf numFmtId="169" fontId="12" fillId="0" borderId="32" xfId="0" applyNumberFormat="1" applyFont="1" applyBorder="1" applyAlignment="1">
      <alignment horizontal="center" vertical="center"/>
    </xf>
    <xf numFmtId="37" fontId="12" fillId="0" borderId="32" xfId="0" applyNumberFormat="1" applyFont="1" applyBorder="1" applyAlignment="1">
      <alignment horizontal="center" vertical="center"/>
    </xf>
    <xf numFmtId="37" fontId="12" fillId="0" borderId="37" xfId="0" applyNumberFormat="1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64" fontId="10" fillId="0" borderId="32" xfId="1" applyFont="1" applyBorder="1"/>
    <xf numFmtId="0" fontId="10" fillId="0" borderId="32" xfId="1" applyNumberFormat="1" applyFont="1" applyBorder="1"/>
    <xf numFmtId="0" fontId="10" fillId="0" borderId="32" xfId="2" applyNumberFormat="1" applyFont="1" applyBorder="1"/>
    <xf numFmtId="0" fontId="10" fillId="0" borderId="12" xfId="1" applyNumberFormat="1" applyFont="1" applyBorder="1"/>
    <xf numFmtId="0" fontId="10" fillId="0" borderId="38" xfId="1" applyNumberFormat="1" applyFont="1" applyBorder="1"/>
    <xf numFmtId="0" fontId="11" fillId="0" borderId="32" xfId="0" applyFont="1" applyBorder="1" applyAlignment="1" applyProtection="1">
      <alignment horizontal="center"/>
      <protection locked="0"/>
    </xf>
    <xf numFmtId="49" fontId="11" fillId="0" borderId="32" xfId="0" applyNumberFormat="1" applyFont="1" applyBorder="1" applyAlignment="1" applyProtection="1">
      <alignment horizontal="center"/>
      <protection locked="0"/>
    </xf>
    <xf numFmtId="165" fontId="11" fillId="0" borderId="32" xfId="0" applyNumberFormat="1" applyFont="1" applyBorder="1" applyAlignment="1">
      <alignment horizontal="center" vertical="center" wrapText="1"/>
    </xf>
    <xf numFmtId="0" fontId="13" fillId="0" borderId="32" xfId="0" applyFont="1" applyBorder="1" applyAlignment="1">
      <alignment horizontal="left"/>
    </xf>
    <xf numFmtId="2" fontId="11" fillId="0" borderId="32" xfId="0" applyNumberFormat="1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9" fontId="11" fillId="0" borderId="32" xfId="2" applyFont="1" applyBorder="1" applyAlignment="1">
      <alignment horizontal="center" vertical="center"/>
    </xf>
    <xf numFmtId="0" fontId="11" fillId="0" borderId="32" xfId="0" applyFont="1" applyBorder="1" applyAlignment="1">
      <alignment horizontal="left"/>
    </xf>
    <xf numFmtId="0" fontId="11" fillId="0" borderId="38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1" fillId="0" borderId="34" xfId="0" applyFont="1" applyBorder="1" applyAlignment="1" applyProtection="1">
      <alignment horizontal="center"/>
      <protection locked="0"/>
    </xf>
    <xf numFmtId="49" fontId="11" fillId="0" borderId="34" xfId="0" applyNumberFormat="1" applyFont="1" applyBorder="1" applyAlignment="1" applyProtection="1">
      <alignment horizontal="center"/>
      <protection locked="0"/>
    </xf>
    <xf numFmtId="165" fontId="11" fillId="0" borderId="34" xfId="0" applyNumberFormat="1" applyFont="1" applyBorder="1" applyAlignment="1">
      <alignment horizontal="center" vertical="center" wrapText="1"/>
    </xf>
    <xf numFmtId="0" fontId="11" fillId="0" borderId="34" xfId="0" applyFont="1" applyBorder="1" applyAlignment="1" applyProtection="1">
      <alignment horizontal="left"/>
      <protection locked="0"/>
    </xf>
    <xf numFmtId="2" fontId="11" fillId="0" borderId="34" xfId="0" applyNumberFormat="1" applyFont="1" applyBorder="1" applyAlignment="1" applyProtection="1">
      <alignment horizontal="center" vertical="center"/>
      <protection locked="0"/>
    </xf>
    <xf numFmtId="0" fontId="11" fillId="0" borderId="34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9" fontId="11" fillId="0" borderId="34" xfId="2" applyFont="1" applyBorder="1" applyAlignment="1">
      <alignment horizontal="center" vertical="center"/>
    </xf>
    <xf numFmtId="164" fontId="10" fillId="0" borderId="34" xfId="1" applyFont="1" applyBorder="1"/>
    <xf numFmtId="0" fontId="10" fillId="0" borderId="34" xfId="1" applyNumberFormat="1" applyFont="1" applyBorder="1"/>
    <xf numFmtId="0" fontId="10" fillId="0" borderId="34" xfId="2" applyNumberFormat="1" applyFont="1" applyBorder="1"/>
    <xf numFmtId="0" fontId="10" fillId="0" borderId="33" xfId="1" applyNumberFormat="1" applyFont="1" applyBorder="1"/>
    <xf numFmtId="0" fontId="10" fillId="0" borderId="45" xfId="0" applyFont="1" applyBorder="1"/>
    <xf numFmtId="0" fontId="10" fillId="0" borderId="43" xfId="1" applyNumberFormat="1" applyFont="1" applyBorder="1"/>
    <xf numFmtId="0" fontId="7" fillId="0" borderId="46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11" fillId="0" borderId="23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left" vertical="center" wrapText="1"/>
    </xf>
    <xf numFmtId="165" fontId="13" fillId="0" borderId="23" xfId="0" applyNumberFormat="1" applyFont="1" applyBorder="1" applyAlignment="1">
      <alignment horizontal="center" vertical="center"/>
    </xf>
    <xf numFmtId="165" fontId="13" fillId="0" borderId="22" xfId="0" applyNumberFormat="1" applyFont="1" applyBorder="1" applyAlignment="1">
      <alignment horizontal="center" vertical="center"/>
    </xf>
    <xf numFmtId="165" fontId="13" fillId="0" borderId="47" xfId="0" applyNumberFormat="1" applyFont="1" applyBorder="1" applyAlignment="1">
      <alignment horizontal="center" vertical="center"/>
    </xf>
    <xf numFmtId="164" fontId="13" fillId="0" borderId="23" xfId="1" applyFont="1" applyBorder="1" applyAlignment="1">
      <alignment horizontal="center" vertical="center"/>
    </xf>
    <xf numFmtId="0" fontId="13" fillId="0" borderId="23" xfId="1" applyNumberFormat="1" applyFont="1" applyBorder="1" applyAlignment="1">
      <alignment horizontal="center" vertical="center"/>
    </xf>
    <xf numFmtId="0" fontId="13" fillId="0" borderId="23" xfId="2" applyNumberFormat="1" applyFont="1" applyBorder="1" applyAlignment="1">
      <alignment horizontal="center" vertical="center"/>
    </xf>
    <xf numFmtId="0" fontId="13" fillId="0" borderId="24" xfId="1" applyNumberFormat="1" applyFont="1" applyBorder="1" applyAlignment="1">
      <alignment horizontal="center" vertical="center"/>
    </xf>
    <xf numFmtId="0" fontId="0" fillId="0" borderId="24" xfId="0" applyBorder="1"/>
    <xf numFmtId="0" fontId="13" fillId="0" borderId="47" xfId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165" fontId="13" fillId="0" borderId="0" xfId="0" applyNumberFormat="1" applyFont="1" applyAlignment="1">
      <alignment horizontal="center" vertical="center"/>
    </xf>
    <xf numFmtId="165" fontId="13" fillId="0" borderId="9" xfId="0" applyNumberFormat="1" applyFont="1" applyBorder="1" applyAlignment="1">
      <alignment horizontal="center" vertical="center"/>
    </xf>
    <xf numFmtId="165" fontId="13" fillId="0" borderId="48" xfId="0" applyNumberFormat="1" applyFont="1" applyBorder="1" applyAlignment="1">
      <alignment horizontal="center" vertical="center"/>
    </xf>
    <xf numFmtId="164" fontId="13" fillId="0" borderId="0" xfId="1" applyFont="1" applyAlignment="1">
      <alignment horizontal="center" vertical="center"/>
    </xf>
    <xf numFmtId="0" fontId="13" fillId="0" borderId="12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 wrapText="1"/>
    </xf>
    <xf numFmtId="165" fontId="13" fillId="0" borderId="32" xfId="0" applyNumberFormat="1" applyFont="1" applyBorder="1" applyAlignment="1">
      <alignment horizontal="center" vertical="center"/>
    </xf>
    <xf numFmtId="165" fontId="13" fillId="0" borderId="49" xfId="0" applyNumberFormat="1" applyFont="1" applyBorder="1" applyAlignment="1">
      <alignment horizontal="center" vertical="center"/>
    </xf>
    <xf numFmtId="0" fontId="7" fillId="6" borderId="8" xfId="0" applyFont="1" applyFill="1" applyBorder="1" applyAlignment="1">
      <alignment horizontal="left"/>
    </xf>
    <xf numFmtId="0" fontId="7" fillId="6" borderId="0" xfId="0" applyFont="1" applyFill="1" applyAlignment="1">
      <alignment horizontal="left"/>
    </xf>
    <xf numFmtId="0" fontId="11" fillId="0" borderId="50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7" fillId="0" borderId="50" xfId="1" applyNumberFormat="1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center" vertical="center" wrapText="1"/>
    </xf>
    <xf numFmtId="165" fontId="13" fillId="0" borderId="19" xfId="0" applyNumberFormat="1" applyFont="1" applyBorder="1" applyAlignment="1">
      <alignment horizontal="center" vertical="center"/>
    </xf>
    <xf numFmtId="165" fontId="13" fillId="0" borderId="15" xfId="0" applyNumberFormat="1" applyFont="1" applyBorder="1" applyAlignment="1">
      <alignment horizontal="center" vertical="center"/>
    </xf>
    <xf numFmtId="165" fontId="13" fillId="0" borderId="51" xfId="0" applyNumberFormat="1" applyFont="1" applyBorder="1" applyAlignment="1">
      <alignment horizontal="center" vertical="center"/>
    </xf>
    <xf numFmtId="165" fontId="13" fillId="0" borderId="16" xfId="0" applyNumberFormat="1" applyFont="1" applyBorder="1" applyAlignment="1">
      <alignment horizontal="center" vertical="center"/>
    </xf>
    <xf numFmtId="165" fontId="13" fillId="0" borderId="52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8" fillId="7" borderId="53" xfId="0" applyFont="1" applyFill="1" applyBorder="1" applyAlignment="1">
      <alignment horizontal="center" vertical="center" wrapText="1"/>
    </xf>
    <xf numFmtId="0" fontId="8" fillId="7" borderId="24" xfId="0" applyFont="1" applyFill="1" applyBorder="1" applyAlignment="1">
      <alignment horizontal="center" vertical="center" wrapText="1"/>
    </xf>
    <xf numFmtId="9" fontId="8" fillId="7" borderId="24" xfId="2" applyFont="1" applyFill="1" applyBorder="1" applyAlignment="1">
      <alignment horizontal="center" vertical="center" wrapText="1"/>
    </xf>
    <xf numFmtId="0" fontId="8" fillId="7" borderId="24" xfId="0" applyFont="1" applyFill="1" applyBorder="1" applyAlignment="1">
      <alignment horizontal="center" wrapText="1"/>
    </xf>
    <xf numFmtId="0" fontId="8" fillId="7" borderId="47" xfId="0" applyFont="1" applyFill="1" applyBorder="1" applyAlignment="1">
      <alignment horizontal="center" wrapText="1"/>
    </xf>
    <xf numFmtId="164" fontId="8" fillId="0" borderId="0" xfId="1" applyFont="1" applyAlignment="1">
      <alignment horizontal="center" vertical="center" wrapText="1"/>
    </xf>
    <xf numFmtId="0" fontId="0" fillId="0" borderId="0" xfId="2" applyNumberFormat="1" applyFont="1" applyAlignment="1">
      <alignment horizontal="center" vertical="center"/>
    </xf>
    <xf numFmtId="0" fontId="0" fillId="0" borderId="0" xfId="1" applyNumberFormat="1" applyFont="1"/>
    <xf numFmtId="0" fontId="0" fillId="8" borderId="54" xfId="0" applyFill="1" applyBorder="1" applyAlignment="1">
      <alignment horizontal="center"/>
    </xf>
    <xf numFmtId="0" fontId="14" fillId="8" borderId="54" xfId="0" applyFont="1" applyFill="1" applyBorder="1" applyAlignment="1">
      <alignment horizontal="center"/>
    </xf>
    <xf numFmtId="9" fontId="0" fillId="8" borderId="54" xfId="2" applyFont="1" applyFill="1" applyBorder="1" applyAlignment="1">
      <alignment horizontal="center"/>
    </xf>
    <xf numFmtId="164" fontId="0" fillId="8" borderId="54" xfId="1" applyFont="1" applyFill="1" applyBorder="1" applyAlignment="1">
      <alignment horizontal="center"/>
    </xf>
    <xf numFmtId="164" fontId="0" fillId="8" borderId="36" xfId="1" applyFont="1" applyFill="1" applyBorder="1" applyAlignment="1">
      <alignment horizontal="center"/>
    </xf>
    <xf numFmtId="170" fontId="0" fillId="0" borderId="54" xfId="1" applyNumberFormat="1" applyFont="1" applyBorder="1" applyAlignment="1">
      <alignment horizontal="center"/>
    </xf>
    <xf numFmtId="170" fontId="0" fillId="0" borderId="0" xfId="1" applyNumberFormat="1" applyFont="1" applyAlignment="1">
      <alignment horizontal="center" vertical="center"/>
    </xf>
    <xf numFmtId="0" fontId="0" fillId="0" borderId="12" xfId="0" applyBorder="1" applyAlignment="1">
      <alignment horizontal="center"/>
    </xf>
    <xf numFmtId="9" fontId="0" fillId="0" borderId="12" xfId="2" applyFont="1" applyBorder="1" applyAlignment="1">
      <alignment horizontal="center"/>
    </xf>
    <xf numFmtId="164" fontId="0" fillId="0" borderId="12" xfId="1" applyFont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14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164" fontId="7" fillId="7" borderId="27" xfId="1" applyFont="1" applyFill="1" applyBorder="1" applyAlignment="1">
      <alignment horizontal="center" vertical="center" wrapText="1"/>
    </xf>
    <xf numFmtId="164" fontId="7" fillId="7" borderId="31" xfId="1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7" fillId="9" borderId="4" xfId="0" applyFont="1" applyFill="1" applyBorder="1" applyAlignment="1">
      <alignment vertical="center"/>
    </xf>
    <xf numFmtId="0" fontId="7" fillId="9" borderId="5" xfId="0" applyFont="1" applyFill="1" applyBorder="1" applyAlignment="1">
      <alignment vertical="center"/>
    </xf>
    <xf numFmtId="0" fontId="7" fillId="9" borderId="7" xfId="0" applyFont="1" applyFill="1" applyBorder="1" applyAlignment="1">
      <alignment vertical="center"/>
    </xf>
    <xf numFmtId="164" fontId="7" fillId="7" borderId="55" xfId="1" applyFont="1" applyFill="1" applyBorder="1" applyAlignment="1">
      <alignment horizontal="center" vertical="center" wrapText="1"/>
    </xf>
    <xf numFmtId="164" fontId="7" fillId="7" borderId="45" xfId="1" applyFont="1" applyFill="1" applyBorder="1" applyAlignment="1">
      <alignment horizontal="center" vertical="center" wrapText="1"/>
    </xf>
    <xf numFmtId="164" fontId="7" fillId="7" borderId="41" xfId="1" applyFont="1" applyFill="1" applyBorder="1" applyAlignment="1">
      <alignment horizontal="center" vertical="center" wrapText="1"/>
    </xf>
    <xf numFmtId="164" fontId="7" fillId="7" borderId="38" xfId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10" borderId="41" xfId="0" applyFont="1" applyFill="1" applyBorder="1" applyAlignment="1">
      <alignment horizontal="center"/>
    </xf>
    <xf numFmtId="0" fontId="0" fillId="0" borderId="38" xfId="0" applyBorder="1"/>
    <xf numFmtId="0" fontId="15" fillId="0" borderId="0" xfId="0" applyFont="1"/>
    <xf numFmtId="0" fontId="7" fillId="10" borderId="55" xfId="0" applyFont="1" applyFill="1" applyBorder="1" applyAlignment="1">
      <alignment horizontal="center"/>
    </xf>
    <xf numFmtId="0" fontId="0" fillId="0" borderId="56" xfId="0" applyBorder="1"/>
    <xf numFmtId="0" fontId="7" fillId="0" borderId="57" xfId="0" applyFont="1" applyBorder="1" applyAlignment="1">
      <alignment horizontal="left"/>
    </xf>
    <xf numFmtId="0" fontId="7" fillId="0" borderId="58" xfId="0" applyFont="1" applyBorder="1"/>
    <xf numFmtId="0" fontId="7" fillId="10" borderId="42" xfId="0" applyFont="1" applyFill="1" applyBorder="1" applyAlignment="1">
      <alignment horizontal="center"/>
    </xf>
    <xf numFmtId="0" fontId="7" fillId="10" borderId="11" xfId="0" applyFont="1" applyFill="1" applyBorder="1" applyAlignment="1">
      <alignment horizontal="center"/>
    </xf>
    <xf numFmtId="0" fontId="7" fillId="10" borderId="44" xfId="0" applyFont="1" applyFill="1" applyBorder="1" applyAlignment="1">
      <alignment horizontal="center"/>
    </xf>
    <xf numFmtId="0" fontId="7" fillId="0" borderId="32" xfId="0" applyFont="1" applyBorder="1" applyAlignment="1">
      <alignment horizontal="left"/>
    </xf>
    <xf numFmtId="0" fontId="7" fillId="0" borderId="32" xfId="0" applyFont="1" applyBorder="1"/>
    <xf numFmtId="164" fontId="7" fillId="7" borderId="32" xfId="1" applyFont="1" applyFill="1" applyBorder="1" applyAlignment="1">
      <alignment horizontal="center" vertical="center" wrapText="1"/>
    </xf>
    <xf numFmtId="0" fontId="7" fillId="10" borderId="41" xfId="0" applyFont="1" applyFill="1" applyBorder="1" applyAlignment="1">
      <alignment horizontal="left"/>
    </xf>
    <xf numFmtId="0" fontId="0" fillId="0" borderId="32" xfId="0" applyBorder="1"/>
    <xf numFmtId="164" fontId="7" fillId="7" borderId="27" xfId="1" applyFont="1" applyFill="1" applyBorder="1" applyAlignment="1">
      <alignment horizontal="center" vertical="center"/>
    </xf>
    <xf numFmtId="0" fontId="7" fillId="0" borderId="0" xfId="0" applyFont="1"/>
    <xf numFmtId="0" fontId="0" fillId="0" borderId="12" xfId="0" applyBorder="1"/>
    <xf numFmtId="0" fontId="7" fillId="0" borderId="32" xfId="0" applyFont="1" applyBorder="1" applyAlignment="1">
      <alignment vertical="center"/>
    </xf>
    <xf numFmtId="0" fontId="7" fillId="0" borderId="12" xfId="0" applyFont="1" applyBorder="1" applyAlignment="1">
      <alignment vertical="center"/>
    </xf>
  </cellXfs>
  <cellStyles count="5">
    <cellStyle name="Currency" xfId="1" builtinId="4"/>
    <cellStyle name="Normal" xfId="0" builtinId="0"/>
    <cellStyle name="Normal 2" xfId="4" xr:uid="{EF488EC2-7FAE-FA4C-A0C5-AA60C6178743}"/>
    <cellStyle name="Normal 4" xfId="3" xr:uid="{9BA3C7B4-3760-4A4F-B82B-8B39CFDBA17A}"/>
    <cellStyle name="Per cent" xfId="2" builtinId="5"/>
  </cellStyles>
  <dxfs count="7"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bgColor rgb="FFFF66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249382</xdr:colOff>
      <xdr:row>0</xdr:row>
      <xdr:rowOff>96983</xdr:rowOff>
    </xdr:from>
    <xdr:to>
      <xdr:col>5</xdr:col>
      <xdr:colOff>692727</xdr:colOff>
      <xdr:row>5</xdr:row>
      <xdr:rowOff>110837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58955A-11BA-9548-BBE1-024BFDA46EE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49382" y="96983"/>
          <a:ext cx="5282045" cy="966354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van/Google%20Drive/Documents/Job/Technogen/OneDrive_1_18-09-2020/E-Load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nogencomau.sharepoint.com/Users/a.gahalan/Downloads/XX-XXX-XX-XXX-XXX-Excel%20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nogencomau.sharepoint.com/Users/a.gahalan/AppData/Local/Microsoft/Windows/INetCache/Content.Outlook/TIR0EH99/2070-000-MLST-001_A%20(WIP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nogencomau.sharepoint.com/sites/03Admin/Shared%20Documents/3.10%20R%20&amp;%20D/3.10.1%20e-Max/3.10.1.1%20E-Max%20Engineering%20Automation/Software/Trials/Test%20Samples/MEL%20to%20ELL%20Yaoure/2037-000-MLST-001_B%20-%20TECHNOGEN%20M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Standard Details"/>
      <sheetName val="MEL"/>
      <sheetName val="Refresh"/>
      <sheetName val="ELECTRICAL LOAD SUMMARY"/>
      <sheetName val="MCC Number"/>
      <sheetName val="Template for MCC"/>
      <sheetName val="Cable Lookup"/>
      <sheetName val="Cable Calculator"/>
      <sheetName val="Motor Data"/>
      <sheetName val="Database"/>
      <sheetName val="VSD Cost Database"/>
      <sheetName val="TagNumber"/>
      <sheetName val="Rev Pivot"/>
      <sheetName val="Area"/>
      <sheetName val="DataPivot"/>
      <sheetName val="Cable Database"/>
      <sheetName val="Change Management"/>
    </sheetNames>
    <sheetDataSet>
      <sheetData sheetId="0"/>
      <sheetData sheetId="1">
        <row r="5">
          <cell r="E5" t="str">
            <v>No</v>
          </cell>
        </row>
        <row r="6">
          <cell r="E6" t="str">
            <v>No</v>
          </cell>
        </row>
        <row r="10">
          <cell r="E10" t="str">
            <v>POS4</v>
          </cell>
        </row>
        <row r="12">
          <cell r="E12" t="str">
            <v>Users\Ramaish Nathan\Documents\POS4</v>
          </cell>
        </row>
        <row r="15">
          <cell r="E15" t="str">
            <v>8 Pair</v>
          </cell>
        </row>
        <row r="16">
          <cell r="E16" t="str">
            <v>4 Pair</v>
          </cell>
        </row>
        <row r="17">
          <cell r="E17" t="str">
            <v>4 Pair</v>
          </cell>
        </row>
        <row r="18">
          <cell r="E18" t="str">
            <v>2 Pair</v>
          </cell>
        </row>
        <row r="21">
          <cell r="E21" t="str">
            <v>Talison</v>
          </cell>
        </row>
        <row r="22">
          <cell r="E22" t="str">
            <v>A</v>
          </cell>
        </row>
        <row r="23">
          <cell r="E23" t="str">
            <v>AG</v>
          </cell>
        </row>
        <row r="24">
          <cell r="E24">
            <v>44109</v>
          </cell>
        </row>
        <row r="25">
          <cell r="E25" t="str">
            <v>RN</v>
          </cell>
        </row>
        <row r="26">
          <cell r="E26">
            <v>44109</v>
          </cell>
        </row>
        <row r="37">
          <cell r="E37">
            <v>0</v>
          </cell>
        </row>
        <row r="38">
          <cell r="E38">
            <v>3</v>
          </cell>
        </row>
        <row r="39">
          <cell r="E39">
            <v>45</v>
          </cell>
        </row>
        <row r="44">
          <cell r="C44">
            <v>370</v>
          </cell>
        </row>
        <row r="47">
          <cell r="D47">
            <v>8000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B3">
            <v>0.06</v>
          </cell>
          <cell r="C3">
            <v>0.54500000000000004</v>
          </cell>
          <cell r="D3">
            <v>0.55000000000000004</v>
          </cell>
        </row>
        <row r="4">
          <cell r="B4">
            <v>0.09</v>
          </cell>
          <cell r="C4">
            <v>0.54500000000000004</v>
          </cell>
          <cell r="D4">
            <v>0.55000000000000004</v>
          </cell>
          <cell r="Q4">
            <v>0.75</v>
          </cell>
          <cell r="R4">
            <v>10</v>
          </cell>
        </row>
        <row r="5">
          <cell r="B5">
            <v>0.12</v>
          </cell>
          <cell r="C5">
            <v>0.6</v>
          </cell>
          <cell r="D5">
            <v>0.63</v>
          </cell>
          <cell r="Q5">
            <v>1.1000000000000001</v>
          </cell>
          <cell r="R5">
            <v>10</v>
          </cell>
        </row>
        <row r="6">
          <cell r="B6">
            <v>0.18</v>
          </cell>
          <cell r="C6">
            <v>0.63500000000000001</v>
          </cell>
          <cell r="D6">
            <v>0.7</v>
          </cell>
          <cell r="Q6">
            <v>1.5</v>
          </cell>
          <cell r="R6">
            <v>10</v>
          </cell>
        </row>
        <row r="7">
          <cell r="B7">
            <v>0.25</v>
          </cell>
          <cell r="C7">
            <v>0.7</v>
          </cell>
          <cell r="D7">
            <v>0.7</v>
          </cell>
          <cell r="Q7">
            <v>2.2000000000000002</v>
          </cell>
          <cell r="R7">
            <v>10</v>
          </cell>
        </row>
        <row r="8">
          <cell r="B8">
            <v>0.37</v>
          </cell>
          <cell r="C8">
            <v>0.745</v>
          </cell>
          <cell r="D8">
            <v>0.69499999999999995</v>
          </cell>
          <cell r="Q8">
            <v>3</v>
          </cell>
          <cell r="R8">
            <v>10</v>
          </cell>
        </row>
        <row r="9">
          <cell r="B9">
            <v>0.55000000000000004</v>
          </cell>
          <cell r="C9">
            <v>0.71499999999999997</v>
          </cell>
          <cell r="D9">
            <v>0.74</v>
          </cell>
          <cell r="Q9">
            <v>4</v>
          </cell>
          <cell r="R9">
            <v>10</v>
          </cell>
        </row>
        <row r="10">
          <cell r="B10">
            <v>0.7</v>
          </cell>
          <cell r="C10">
            <v>0.75</v>
          </cell>
          <cell r="D10">
            <v>0.74</v>
          </cell>
          <cell r="Q10">
            <v>5.5</v>
          </cell>
          <cell r="R10">
            <v>50</v>
          </cell>
        </row>
        <row r="11">
          <cell r="B11">
            <v>0.75</v>
          </cell>
          <cell r="C11">
            <v>0.84499999999999997</v>
          </cell>
          <cell r="D11">
            <v>0.745</v>
          </cell>
          <cell r="Q11">
            <v>7.5</v>
          </cell>
          <cell r="R11">
            <v>50</v>
          </cell>
        </row>
        <row r="12">
          <cell r="B12">
            <v>1.1000000000000001</v>
          </cell>
          <cell r="C12">
            <v>0.86</v>
          </cell>
          <cell r="D12">
            <v>0.80500000000000005</v>
          </cell>
          <cell r="Q12">
            <v>11</v>
          </cell>
          <cell r="R12">
            <v>50</v>
          </cell>
        </row>
        <row r="13">
          <cell r="B13">
            <v>1.5</v>
          </cell>
          <cell r="C13">
            <v>0.87</v>
          </cell>
          <cell r="D13">
            <v>0.76</v>
          </cell>
          <cell r="Q13">
            <v>15</v>
          </cell>
          <cell r="R13">
            <v>50</v>
          </cell>
        </row>
        <row r="14">
          <cell r="B14">
            <v>2.2000000000000002</v>
          </cell>
          <cell r="C14">
            <v>0.88500000000000001</v>
          </cell>
          <cell r="D14">
            <v>0.81</v>
          </cell>
          <cell r="Q14">
            <v>18.5</v>
          </cell>
          <cell r="R14">
            <v>50</v>
          </cell>
        </row>
        <row r="15">
          <cell r="B15">
            <v>3</v>
          </cell>
          <cell r="C15">
            <v>0.89500000000000002</v>
          </cell>
          <cell r="D15">
            <v>0.78</v>
          </cell>
          <cell r="Q15">
            <v>22</v>
          </cell>
          <cell r="R15">
            <v>50</v>
          </cell>
        </row>
        <row r="16">
          <cell r="B16">
            <v>4</v>
          </cell>
          <cell r="C16">
            <v>0.9</v>
          </cell>
          <cell r="D16">
            <v>0.82</v>
          </cell>
          <cell r="Q16">
            <v>30</v>
          </cell>
          <cell r="R16">
            <v>95</v>
          </cell>
        </row>
        <row r="17">
          <cell r="B17">
            <v>5.5</v>
          </cell>
          <cell r="C17">
            <v>0.91</v>
          </cell>
          <cell r="D17">
            <v>0.85499999999999998</v>
          </cell>
          <cell r="Q17">
            <v>37</v>
          </cell>
          <cell r="R17">
            <v>95</v>
          </cell>
        </row>
        <row r="18">
          <cell r="B18">
            <v>7.5</v>
          </cell>
          <cell r="C18">
            <v>0.91700000000000004</v>
          </cell>
          <cell r="D18">
            <v>0.85</v>
          </cell>
          <cell r="Q18">
            <v>45</v>
          </cell>
          <cell r="R18">
            <v>95</v>
          </cell>
        </row>
        <row r="19">
          <cell r="B19">
            <v>11</v>
          </cell>
          <cell r="C19">
            <v>0.92900000000000005</v>
          </cell>
          <cell r="D19">
            <v>0.86</v>
          </cell>
          <cell r="Q19">
            <v>55</v>
          </cell>
          <cell r="R19">
            <v>185</v>
          </cell>
        </row>
        <row r="20">
          <cell r="B20">
            <v>15</v>
          </cell>
          <cell r="C20">
            <v>0.93</v>
          </cell>
          <cell r="D20">
            <v>0.86</v>
          </cell>
          <cell r="Q20">
            <v>75</v>
          </cell>
          <cell r="R20">
            <v>185</v>
          </cell>
        </row>
        <row r="21">
          <cell r="B21">
            <v>18.5</v>
          </cell>
          <cell r="C21">
            <v>0.94</v>
          </cell>
          <cell r="D21">
            <v>0.83</v>
          </cell>
          <cell r="Q21">
            <v>90</v>
          </cell>
          <cell r="R21">
            <v>185</v>
          </cell>
        </row>
        <row r="22">
          <cell r="B22">
            <v>22</v>
          </cell>
          <cell r="C22">
            <v>0.94499999999999995</v>
          </cell>
          <cell r="D22">
            <v>0.83</v>
          </cell>
          <cell r="Q22">
            <v>110</v>
          </cell>
          <cell r="R22">
            <v>185</v>
          </cell>
        </row>
        <row r="23">
          <cell r="B23">
            <v>30</v>
          </cell>
          <cell r="C23">
            <v>0.94499999999999995</v>
          </cell>
          <cell r="D23">
            <v>0.86</v>
          </cell>
          <cell r="Q23">
            <v>132</v>
          </cell>
          <cell r="R23">
            <v>185</v>
          </cell>
        </row>
        <row r="24">
          <cell r="B24">
            <v>37</v>
          </cell>
          <cell r="C24">
            <v>0.95400000000000007</v>
          </cell>
          <cell r="D24">
            <v>0.85</v>
          </cell>
          <cell r="Q24">
            <v>150</v>
          </cell>
          <cell r="R24">
            <v>185</v>
          </cell>
        </row>
        <row r="25">
          <cell r="B25">
            <v>45</v>
          </cell>
          <cell r="C25">
            <v>0.95400000000000007</v>
          </cell>
          <cell r="D25">
            <v>0.85499999999999998</v>
          </cell>
          <cell r="Q25">
            <v>185</v>
          </cell>
          <cell r="R25">
            <v>185</v>
          </cell>
        </row>
        <row r="26">
          <cell r="B26">
            <v>55</v>
          </cell>
          <cell r="C26">
            <v>0.95799999999999996</v>
          </cell>
          <cell r="D26">
            <v>0.86</v>
          </cell>
        </row>
        <row r="27">
          <cell r="B27">
            <v>75</v>
          </cell>
          <cell r="C27">
            <v>0.95700000000000007</v>
          </cell>
          <cell r="D27">
            <v>0.86</v>
          </cell>
        </row>
        <row r="28">
          <cell r="B28">
            <v>90</v>
          </cell>
          <cell r="C28">
            <v>0.96200000000000008</v>
          </cell>
          <cell r="D28">
            <v>0.86499999999999999</v>
          </cell>
        </row>
        <row r="29">
          <cell r="B29">
            <v>110</v>
          </cell>
          <cell r="C29">
            <v>0.96400000000000008</v>
          </cell>
          <cell r="D29">
            <v>0.875</v>
          </cell>
        </row>
        <row r="30">
          <cell r="B30">
            <v>132</v>
          </cell>
          <cell r="C30">
            <v>0.96700000000000008</v>
          </cell>
          <cell r="D30">
            <v>0.88</v>
          </cell>
        </row>
        <row r="31">
          <cell r="B31">
            <v>150</v>
          </cell>
          <cell r="C31">
            <v>0.96900000000000008</v>
          </cell>
          <cell r="D31">
            <v>0.88</v>
          </cell>
        </row>
        <row r="32">
          <cell r="B32">
            <v>160</v>
          </cell>
          <cell r="C32">
            <v>0.96</v>
          </cell>
          <cell r="D32">
            <v>0.88</v>
          </cell>
        </row>
        <row r="33">
          <cell r="B33">
            <v>185</v>
          </cell>
          <cell r="C33">
            <v>0.97</v>
          </cell>
          <cell r="D33">
            <v>0.88500000000000001</v>
          </cell>
        </row>
        <row r="34">
          <cell r="B34">
            <v>200</v>
          </cell>
          <cell r="C34">
            <v>0.96499999999999997</v>
          </cell>
          <cell r="D34">
            <v>0.87</v>
          </cell>
        </row>
        <row r="35">
          <cell r="B35">
            <v>220</v>
          </cell>
          <cell r="C35">
            <v>0.96099999999999997</v>
          </cell>
          <cell r="D35">
            <v>0.87</v>
          </cell>
        </row>
        <row r="36">
          <cell r="B36">
            <v>250</v>
          </cell>
          <cell r="C36">
            <v>0.96099999999999997</v>
          </cell>
          <cell r="D36">
            <v>0.87</v>
          </cell>
        </row>
        <row r="37">
          <cell r="B37">
            <v>260</v>
          </cell>
          <cell r="C37">
            <v>0.96099999999999997</v>
          </cell>
          <cell r="D37">
            <v>0.87</v>
          </cell>
        </row>
        <row r="38">
          <cell r="B38">
            <v>265</v>
          </cell>
          <cell r="C38">
            <v>0.96099999999999997</v>
          </cell>
          <cell r="D38">
            <v>0.87</v>
          </cell>
        </row>
        <row r="39">
          <cell r="B39">
            <v>300</v>
          </cell>
          <cell r="C39">
            <v>0.96099999999999997</v>
          </cell>
          <cell r="D39">
            <v>0.87</v>
          </cell>
        </row>
        <row r="40">
          <cell r="B40">
            <v>315</v>
          </cell>
          <cell r="C40">
            <v>0.96200000000000008</v>
          </cell>
          <cell r="D40">
            <v>0.875</v>
          </cell>
        </row>
        <row r="41">
          <cell r="B41">
            <v>335</v>
          </cell>
          <cell r="C41">
            <v>0.96200000000000008</v>
          </cell>
          <cell r="D41">
            <v>0.875</v>
          </cell>
        </row>
        <row r="42">
          <cell r="B42">
            <v>355</v>
          </cell>
          <cell r="C42">
            <v>0.96200000000000008</v>
          </cell>
          <cell r="D42">
            <v>0.875</v>
          </cell>
        </row>
        <row r="43">
          <cell r="B43">
            <v>375</v>
          </cell>
          <cell r="C43">
            <v>0.96</v>
          </cell>
          <cell r="D43">
            <v>0.86499999999999999</v>
          </cell>
        </row>
        <row r="44">
          <cell r="B44">
            <v>400</v>
          </cell>
          <cell r="C44">
            <v>0.96</v>
          </cell>
          <cell r="D44">
            <v>0.86499999999999999</v>
          </cell>
        </row>
        <row r="45">
          <cell r="B45">
            <v>450</v>
          </cell>
          <cell r="C45">
            <v>0.96499999999999997</v>
          </cell>
          <cell r="D45">
            <v>0.85</v>
          </cell>
        </row>
        <row r="46">
          <cell r="B46">
            <v>465</v>
          </cell>
          <cell r="C46">
            <v>0.96499999999999997</v>
          </cell>
          <cell r="D46">
            <v>0.85</v>
          </cell>
        </row>
        <row r="47">
          <cell r="B47">
            <v>500</v>
          </cell>
          <cell r="C47">
            <v>0.96499999999999997</v>
          </cell>
          <cell r="D47">
            <v>0.85</v>
          </cell>
        </row>
        <row r="48">
          <cell r="B48">
            <v>510</v>
          </cell>
          <cell r="C48">
            <v>0.96499999999999997</v>
          </cell>
          <cell r="D48">
            <v>0.85</v>
          </cell>
        </row>
        <row r="49">
          <cell r="B49">
            <v>700</v>
          </cell>
          <cell r="C49">
            <v>0.96499999999999997</v>
          </cell>
          <cell r="D49">
            <v>0.85</v>
          </cell>
          <cell r="N49">
            <v>1</v>
          </cell>
          <cell r="O49">
            <v>0.5</v>
          </cell>
        </row>
        <row r="50">
          <cell r="B50">
            <v>710</v>
          </cell>
          <cell r="C50">
            <v>0.96699999999999997</v>
          </cell>
          <cell r="D50">
            <v>0.83</v>
          </cell>
          <cell r="N50">
            <v>2</v>
          </cell>
          <cell r="O50">
            <v>0.4</v>
          </cell>
        </row>
        <row r="51">
          <cell r="B51">
            <v>800</v>
          </cell>
          <cell r="C51">
            <v>0.96899999999999997</v>
          </cell>
          <cell r="D51">
            <v>0.81899999999999995</v>
          </cell>
          <cell r="N51">
            <v>3</v>
          </cell>
          <cell r="O51">
            <v>0.3</v>
          </cell>
        </row>
        <row r="52">
          <cell r="B52">
            <v>1500</v>
          </cell>
          <cell r="C52">
            <v>0.96699999999999997</v>
          </cell>
          <cell r="D52">
            <v>0.82299999999999995</v>
          </cell>
          <cell r="N52">
            <v>4</v>
          </cell>
          <cell r="O52">
            <v>0.22</v>
          </cell>
        </row>
        <row r="53">
          <cell r="B53">
            <v>6000</v>
          </cell>
          <cell r="C53">
            <v>0.96</v>
          </cell>
          <cell r="D53">
            <v>0.82</v>
          </cell>
          <cell r="N53">
            <v>5</v>
          </cell>
          <cell r="O53">
            <v>0.2</v>
          </cell>
        </row>
        <row r="56">
          <cell r="D56">
            <v>0.9</v>
          </cell>
        </row>
        <row r="63">
          <cell r="A63" t="str">
            <v>AA</v>
          </cell>
          <cell r="B63" t="str">
            <v>ANALYSER ONLINE</v>
          </cell>
          <cell r="C63">
            <v>0.7</v>
          </cell>
          <cell r="D63">
            <v>0.95</v>
          </cell>
        </row>
        <row r="64">
          <cell r="A64" t="str">
            <v>AG</v>
          </cell>
          <cell r="B64" t="str">
            <v>AGITATOR / STIRRER</v>
          </cell>
          <cell r="C64">
            <v>0.85</v>
          </cell>
          <cell r="D64">
            <v>0.95</v>
          </cell>
        </row>
        <row r="65">
          <cell r="A65" t="str">
            <v>BB</v>
          </cell>
          <cell r="B65" t="str">
            <v>BAG BREAKER</v>
          </cell>
          <cell r="C65">
            <v>0.9</v>
          </cell>
          <cell r="D65">
            <v>0.1</v>
          </cell>
        </row>
        <row r="66">
          <cell r="A66" t="str">
            <v>BR</v>
          </cell>
          <cell r="B66" t="str">
            <v>BRAKES</v>
          </cell>
          <cell r="C66">
            <v>0.75</v>
          </cell>
          <cell r="D66">
            <v>0.95</v>
          </cell>
        </row>
        <row r="67">
          <cell r="A67" t="str">
            <v>BL</v>
          </cell>
          <cell r="B67" t="str">
            <v>BLOWER</v>
          </cell>
          <cell r="C67">
            <v>0.8</v>
          </cell>
          <cell r="D67">
            <v>0.95</v>
          </cell>
        </row>
        <row r="68">
          <cell r="A68" t="str">
            <v>CN</v>
          </cell>
          <cell r="B68" t="str">
            <v>CRANE / HOIST</v>
          </cell>
          <cell r="C68">
            <v>0.5</v>
          </cell>
          <cell r="D68">
            <v>0.1</v>
          </cell>
        </row>
        <row r="69">
          <cell r="A69" t="str">
            <v>CO</v>
          </cell>
          <cell r="B69" t="str">
            <v>CHILLER</v>
          </cell>
          <cell r="C69">
            <v>0.85</v>
          </cell>
          <cell r="D69">
            <v>0.95</v>
          </cell>
        </row>
        <row r="70">
          <cell r="A70" t="str">
            <v>CP</v>
          </cell>
          <cell r="B70" t="str">
            <v>COMPRESSOR</v>
          </cell>
          <cell r="C70">
            <v>0.9</v>
          </cell>
          <cell r="D70">
            <v>0.95</v>
          </cell>
        </row>
        <row r="71">
          <cell r="A71" t="str">
            <v>CR</v>
          </cell>
          <cell r="B71" t="str">
            <v>CRUSHER</v>
          </cell>
          <cell r="C71">
            <v>0.8</v>
          </cell>
          <cell r="D71">
            <v>0.6</v>
          </cell>
        </row>
        <row r="72">
          <cell r="A72" t="str">
            <v>CV</v>
          </cell>
          <cell r="B72" t="str">
            <v>CONVEYOR</v>
          </cell>
          <cell r="C72">
            <v>0.9</v>
          </cell>
          <cell r="D72">
            <v>0.95</v>
          </cell>
        </row>
        <row r="73">
          <cell r="A73" t="str">
            <v>DC</v>
          </cell>
          <cell r="B73" t="str">
            <v>DUST COLLECTOR</v>
          </cell>
          <cell r="C73">
            <v>0.7</v>
          </cell>
          <cell r="D73">
            <v>0.95</v>
          </cell>
        </row>
        <row r="74">
          <cell r="A74" t="str">
            <v>DR</v>
          </cell>
          <cell r="B74" t="str">
            <v>DRIER</v>
          </cell>
          <cell r="C74">
            <v>0.8</v>
          </cell>
          <cell r="D74">
            <v>0.95</v>
          </cell>
        </row>
        <row r="75">
          <cell r="A75" t="str">
            <v>FC</v>
          </cell>
          <cell r="B75" t="str">
            <v>FLOTATION CELL</v>
          </cell>
          <cell r="C75">
            <v>0.8</v>
          </cell>
          <cell r="D75">
            <v>0.95</v>
          </cell>
        </row>
        <row r="76">
          <cell r="A76" t="str">
            <v>FD</v>
          </cell>
          <cell r="B76" t="str">
            <v>FEEDER</v>
          </cell>
          <cell r="C76">
            <v>0.85</v>
          </cell>
          <cell r="D76">
            <v>0.95</v>
          </cell>
        </row>
        <row r="77">
          <cell r="A77" t="str">
            <v>FN</v>
          </cell>
          <cell r="B77" t="str">
            <v>FAN / BLOWER</v>
          </cell>
          <cell r="C77">
            <v>0.8</v>
          </cell>
          <cell r="D77">
            <v>0.95</v>
          </cell>
        </row>
        <row r="78">
          <cell r="A78" t="str">
            <v>FT</v>
          </cell>
          <cell r="B78" t="str">
            <v>FILTER</v>
          </cell>
          <cell r="C78">
            <v>0.8</v>
          </cell>
          <cell r="D78">
            <v>0.95</v>
          </cell>
        </row>
        <row r="79">
          <cell r="A79" t="str">
            <v>GA</v>
          </cell>
          <cell r="B79" t="str">
            <v>GATE (ISOLATION)</v>
          </cell>
          <cell r="C79">
            <v>0.8</v>
          </cell>
          <cell r="D79">
            <v>0.1</v>
          </cell>
        </row>
        <row r="80">
          <cell r="A80" t="str">
            <v>HE</v>
          </cell>
          <cell r="B80" t="str">
            <v>HEATER / OVEN</v>
          </cell>
          <cell r="C80">
            <v>1</v>
          </cell>
          <cell r="D80">
            <v>0.95</v>
          </cell>
        </row>
        <row r="81">
          <cell r="A81" t="str">
            <v>HP</v>
          </cell>
          <cell r="B81" t="str">
            <v>HYDRAULIC POWER PACK</v>
          </cell>
          <cell r="C81">
            <v>0.7</v>
          </cell>
          <cell r="D81">
            <v>0.95</v>
          </cell>
        </row>
        <row r="82">
          <cell r="A82" t="str">
            <v>HPP</v>
          </cell>
          <cell r="B82" t="str">
            <v>HYDRAULIC POWER PACK</v>
          </cell>
          <cell r="C82">
            <v>0.7</v>
          </cell>
          <cell r="D82">
            <v>0.95</v>
          </cell>
        </row>
        <row r="83">
          <cell r="A83" t="str">
            <v>HX</v>
          </cell>
          <cell r="B83" t="str">
            <v>HEAT EXCHANGER</v>
          </cell>
          <cell r="C83">
            <v>0.9</v>
          </cell>
          <cell r="D83">
            <v>0.95</v>
          </cell>
        </row>
        <row r="84">
          <cell r="A84" t="str">
            <v>LS</v>
          </cell>
          <cell r="B84" t="str">
            <v>LUBRICATION SYSTEM</v>
          </cell>
          <cell r="C84">
            <v>0.7</v>
          </cell>
          <cell r="D84">
            <v>0.95</v>
          </cell>
        </row>
        <row r="85">
          <cell r="A85" t="str">
            <v>MD</v>
          </cell>
          <cell r="B85" t="str">
            <v>METAL DETECTOR</v>
          </cell>
          <cell r="C85">
            <v>0.8</v>
          </cell>
          <cell r="D85">
            <v>0.95</v>
          </cell>
        </row>
        <row r="86">
          <cell r="A86" t="str">
            <v>MG</v>
          </cell>
          <cell r="B86" t="str">
            <v>MAGNET</v>
          </cell>
          <cell r="C86">
            <v>1</v>
          </cell>
          <cell r="D86">
            <v>0.95</v>
          </cell>
        </row>
        <row r="87">
          <cell r="A87" t="str">
            <v>ML</v>
          </cell>
          <cell r="B87" t="str">
            <v>MILL</v>
          </cell>
          <cell r="C87">
            <v>0.75</v>
          </cell>
          <cell r="D87">
            <v>0.95</v>
          </cell>
        </row>
        <row r="88">
          <cell r="A88" t="str">
            <v>MS</v>
          </cell>
          <cell r="B88" t="str">
            <v>MAGNETIC SEPARATOR</v>
          </cell>
          <cell r="C88">
            <v>0.7</v>
          </cell>
          <cell r="D88">
            <v>0.95</v>
          </cell>
        </row>
        <row r="89">
          <cell r="A89" t="str">
            <v>PP</v>
          </cell>
          <cell r="B89" t="str">
            <v>PUMP</v>
          </cell>
          <cell r="C89">
            <v>0.75</v>
          </cell>
          <cell r="D89">
            <v>0.95</v>
          </cell>
        </row>
        <row r="90">
          <cell r="A90" t="str">
            <v>RB</v>
          </cell>
          <cell r="B90" t="str">
            <v>ROCK BREAKER</v>
          </cell>
          <cell r="C90">
            <v>0.75</v>
          </cell>
          <cell r="D90">
            <v>0.1</v>
          </cell>
        </row>
        <row r="91">
          <cell r="A91" t="str">
            <v>SA</v>
          </cell>
          <cell r="B91" t="str">
            <v>SAMPLER</v>
          </cell>
          <cell r="C91">
            <v>0.9</v>
          </cell>
          <cell r="D91">
            <v>0.1</v>
          </cell>
        </row>
        <row r="92">
          <cell r="A92" t="str">
            <v>SK</v>
          </cell>
          <cell r="B92" t="str">
            <v>STACK / FLUE</v>
          </cell>
        </row>
        <row r="93">
          <cell r="A93" t="str">
            <v>SN</v>
          </cell>
          <cell r="B93" t="str">
            <v>SCREEN</v>
          </cell>
          <cell r="C93">
            <v>0.9</v>
          </cell>
          <cell r="D93">
            <v>0.95</v>
          </cell>
        </row>
        <row r="94">
          <cell r="A94" t="str">
            <v>ST</v>
          </cell>
          <cell r="B94" t="str">
            <v>SHAKING TABLE</v>
          </cell>
          <cell r="C94">
            <v>0.8</v>
          </cell>
          <cell r="D94">
            <v>0.95</v>
          </cell>
        </row>
        <row r="95">
          <cell r="A95" t="str">
            <v>TH</v>
          </cell>
          <cell r="B95" t="str">
            <v>THICKENER</v>
          </cell>
          <cell r="C95">
            <v>0.7</v>
          </cell>
          <cell r="D95">
            <v>0.95</v>
          </cell>
        </row>
        <row r="96">
          <cell r="A96" t="str">
            <v>WN</v>
          </cell>
          <cell r="B96" t="str">
            <v>WINCH</v>
          </cell>
          <cell r="C96">
            <v>0.9</v>
          </cell>
          <cell r="D96">
            <v>0.1</v>
          </cell>
        </row>
        <row r="97">
          <cell r="A97" t="str">
            <v>WT</v>
          </cell>
          <cell r="B97" t="str">
            <v>WEIGHTOMETER / SCALE</v>
          </cell>
          <cell r="C97">
            <v>0.7</v>
          </cell>
          <cell r="D97">
            <v>0.95</v>
          </cell>
        </row>
        <row r="98">
          <cell r="A98" t="str">
            <v>XA</v>
          </cell>
          <cell r="C98">
            <v>0.75</v>
          </cell>
          <cell r="D98">
            <v>0.95</v>
          </cell>
        </row>
        <row r="99">
          <cell r="A99" t="str">
            <v>XM</v>
          </cell>
          <cell r="C99">
            <v>1</v>
          </cell>
          <cell r="D99">
            <v>0.95</v>
          </cell>
        </row>
      </sheetData>
      <sheetData sheetId="11">
        <row r="4">
          <cell r="A4" t="str">
            <v>KW Rating to</v>
          </cell>
          <cell r="B4" t="str">
            <v>KW rating from</v>
          </cell>
          <cell r="C4" t="str">
            <v>Description</v>
          </cell>
          <cell r="D4" t="str">
            <v xml:space="preserve">Cost </v>
          </cell>
          <cell r="E4" t="str">
            <v xml:space="preserve">Cost </v>
          </cell>
          <cell r="F4" t="str">
            <v xml:space="preserve">Cost </v>
          </cell>
          <cell r="G4" t="str">
            <v xml:space="preserve">Cost </v>
          </cell>
          <cell r="H4" t="str">
            <v xml:space="preserve">Cost </v>
          </cell>
          <cell r="I4" t="str">
            <v xml:space="preserve">Cost </v>
          </cell>
          <cell r="J4" t="str">
            <v xml:space="preserve">Cost </v>
          </cell>
          <cell r="K4" t="str">
            <v xml:space="preserve">Cost </v>
          </cell>
        </row>
        <row r="5">
          <cell r="A5">
            <v>0.01</v>
          </cell>
          <cell r="B5">
            <v>0.54</v>
          </cell>
        </row>
        <row r="6">
          <cell r="A6">
            <v>0.55000000000000004</v>
          </cell>
          <cell r="B6">
            <v>0.74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L6">
            <v>1254</v>
          </cell>
        </row>
        <row r="7">
          <cell r="A7">
            <v>0.75</v>
          </cell>
          <cell r="B7">
            <v>1.0900000000000001</v>
          </cell>
          <cell r="E7">
            <v>629.58000000000004</v>
          </cell>
          <cell r="F7">
            <v>314.89</v>
          </cell>
          <cell r="G7">
            <v>314.89</v>
          </cell>
          <cell r="H7">
            <v>0</v>
          </cell>
          <cell r="I7">
            <v>0</v>
          </cell>
          <cell r="J7">
            <v>1161.8</v>
          </cell>
          <cell r="K7">
            <v>1254</v>
          </cell>
          <cell r="L7">
            <v>1254</v>
          </cell>
        </row>
        <row r="8">
          <cell r="A8">
            <v>1.1000000000000001</v>
          </cell>
          <cell r="B8">
            <v>1.49</v>
          </cell>
          <cell r="F8">
            <v>331.53</v>
          </cell>
          <cell r="G8">
            <v>0</v>
          </cell>
          <cell r="H8">
            <v>0</v>
          </cell>
          <cell r="I8">
            <v>0</v>
          </cell>
          <cell r="L8">
            <v>1254</v>
          </cell>
        </row>
        <row r="9">
          <cell r="A9">
            <v>1.5</v>
          </cell>
          <cell r="B9">
            <v>2.1900000000000004</v>
          </cell>
          <cell r="E9">
            <v>822.36</v>
          </cell>
          <cell r="F9">
            <v>0</v>
          </cell>
          <cell r="G9">
            <v>388</v>
          </cell>
          <cell r="H9">
            <v>0</v>
          </cell>
          <cell r="I9">
            <v>0</v>
          </cell>
          <cell r="J9">
            <v>1161.8</v>
          </cell>
          <cell r="K9">
            <v>1254</v>
          </cell>
          <cell r="L9">
            <v>1254</v>
          </cell>
        </row>
        <row r="10">
          <cell r="A10">
            <v>2.2000000000000002</v>
          </cell>
          <cell r="B10">
            <v>2.99</v>
          </cell>
          <cell r="F10">
            <v>410.12</v>
          </cell>
          <cell r="G10">
            <v>0</v>
          </cell>
          <cell r="H10">
            <v>802</v>
          </cell>
          <cell r="I10">
            <v>1007</v>
          </cell>
          <cell r="J10">
            <v>1161.8</v>
          </cell>
          <cell r="K10">
            <v>1254</v>
          </cell>
          <cell r="L10">
            <v>1254</v>
          </cell>
        </row>
        <row r="11">
          <cell r="A11">
            <v>3</v>
          </cell>
          <cell r="B11">
            <v>3.99</v>
          </cell>
          <cell r="D11">
            <v>788.2</v>
          </cell>
          <cell r="E11">
            <v>921.06</v>
          </cell>
          <cell r="F11">
            <v>0</v>
          </cell>
          <cell r="G11">
            <v>445</v>
          </cell>
          <cell r="H11">
            <v>0</v>
          </cell>
          <cell r="I11">
            <v>0</v>
          </cell>
          <cell r="L11">
            <v>1434</v>
          </cell>
        </row>
        <row r="12">
          <cell r="A12">
            <v>4</v>
          </cell>
          <cell r="B12">
            <v>5.49</v>
          </cell>
          <cell r="F12">
            <v>503.03</v>
          </cell>
          <cell r="G12">
            <v>503</v>
          </cell>
          <cell r="H12">
            <v>862</v>
          </cell>
          <cell r="I12">
            <v>1057</v>
          </cell>
          <cell r="J12">
            <v>1224.3</v>
          </cell>
          <cell r="K12">
            <v>1434</v>
          </cell>
          <cell r="L12">
            <v>1434</v>
          </cell>
        </row>
        <row r="13">
          <cell r="A13">
            <v>5.5</v>
          </cell>
          <cell r="B13">
            <v>7.49</v>
          </cell>
          <cell r="E13">
            <v>1165.08</v>
          </cell>
          <cell r="F13">
            <v>585.30999999999995</v>
          </cell>
          <cell r="G13">
            <v>585</v>
          </cell>
          <cell r="H13">
            <v>956</v>
          </cell>
          <cell r="I13">
            <v>1158</v>
          </cell>
          <cell r="J13">
            <v>1341.8</v>
          </cell>
          <cell r="K13">
            <v>1434</v>
          </cell>
          <cell r="L13">
            <v>1434</v>
          </cell>
        </row>
        <row r="14">
          <cell r="A14">
            <v>7.5</v>
          </cell>
          <cell r="B14">
            <v>10.99</v>
          </cell>
          <cell r="D14">
            <v>1293.25</v>
          </cell>
          <cell r="E14">
            <v>1328.04</v>
          </cell>
          <cell r="F14">
            <v>674.98</v>
          </cell>
          <cell r="G14">
            <v>674</v>
          </cell>
          <cell r="H14">
            <v>1000</v>
          </cell>
          <cell r="I14">
            <v>1169</v>
          </cell>
          <cell r="J14">
            <v>1511.8</v>
          </cell>
          <cell r="K14">
            <v>1619</v>
          </cell>
          <cell r="L14">
            <v>1619</v>
          </cell>
        </row>
        <row r="15">
          <cell r="A15">
            <v>11</v>
          </cell>
          <cell r="B15">
            <v>14.99</v>
          </cell>
          <cell r="E15">
            <v>1563.66</v>
          </cell>
          <cell r="F15">
            <v>808.58</v>
          </cell>
          <cell r="G15">
            <v>808</v>
          </cell>
          <cell r="H15">
            <v>1154</v>
          </cell>
          <cell r="I15">
            <v>1305</v>
          </cell>
          <cell r="J15">
            <v>1811.8</v>
          </cell>
          <cell r="K15">
            <v>1919</v>
          </cell>
          <cell r="L15">
            <v>1919</v>
          </cell>
        </row>
        <row r="16">
          <cell r="A16">
            <v>15</v>
          </cell>
          <cell r="B16">
            <v>18.489999999999998</v>
          </cell>
          <cell r="D16">
            <v>1786.75</v>
          </cell>
          <cell r="F16">
            <v>1008.73</v>
          </cell>
          <cell r="G16">
            <v>1008</v>
          </cell>
          <cell r="H16">
            <v>1319</v>
          </cell>
          <cell r="I16">
            <v>1567</v>
          </cell>
          <cell r="J16">
            <v>2076.8000000000002</v>
          </cell>
          <cell r="K16">
            <v>2199</v>
          </cell>
          <cell r="L16">
            <v>2199</v>
          </cell>
        </row>
        <row r="17">
          <cell r="A17">
            <v>18.5</v>
          </cell>
          <cell r="B17">
            <v>21.99</v>
          </cell>
          <cell r="D17">
            <v>2031.05</v>
          </cell>
          <cell r="E17">
            <v>2206</v>
          </cell>
          <cell r="F17">
            <v>1164.04</v>
          </cell>
          <cell r="G17">
            <v>1164</v>
          </cell>
          <cell r="H17">
            <v>1548</v>
          </cell>
          <cell r="I17">
            <v>1791</v>
          </cell>
          <cell r="J17">
            <v>2404.3000000000002</v>
          </cell>
          <cell r="K17">
            <v>2541.5</v>
          </cell>
          <cell r="L17">
            <v>2541.5</v>
          </cell>
        </row>
        <row r="18">
          <cell r="A18">
            <v>22</v>
          </cell>
          <cell r="B18">
            <v>29.99</v>
          </cell>
          <cell r="F18">
            <v>1340.62</v>
          </cell>
          <cell r="G18">
            <v>1340</v>
          </cell>
          <cell r="H18">
            <v>1831</v>
          </cell>
          <cell r="I18">
            <v>2072</v>
          </cell>
          <cell r="J18">
            <v>2806.8</v>
          </cell>
          <cell r="K18">
            <v>3016.5</v>
          </cell>
          <cell r="L18">
            <v>3016.5</v>
          </cell>
        </row>
        <row r="19">
          <cell r="A19">
            <v>30</v>
          </cell>
          <cell r="B19">
            <v>31.99</v>
          </cell>
          <cell r="E19">
            <v>2998</v>
          </cell>
          <cell r="F19">
            <v>1591.63</v>
          </cell>
          <cell r="G19">
            <v>1591</v>
          </cell>
          <cell r="H19">
            <v>2098</v>
          </cell>
          <cell r="I19">
            <v>2433</v>
          </cell>
          <cell r="J19">
            <v>3504.3</v>
          </cell>
          <cell r="K19">
            <v>3766.5</v>
          </cell>
          <cell r="L19">
            <v>3766.5</v>
          </cell>
        </row>
        <row r="20">
          <cell r="A20">
            <v>32</v>
          </cell>
          <cell r="B20">
            <v>36.99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L20">
            <v>4291.5</v>
          </cell>
        </row>
        <row r="21">
          <cell r="A21">
            <v>37</v>
          </cell>
          <cell r="B21">
            <v>44.99</v>
          </cell>
          <cell r="D21">
            <v>3471.3</v>
          </cell>
          <cell r="F21">
            <v>1937.85</v>
          </cell>
          <cell r="G21">
            <v>1937</v>
          </cell>
          <cell r="H21">
            <v>2544</v>
          </cell>
          <cell r="I21">
            <v>3053</v>
          </cell>
          <cell r="J21">
            <v>3909.3</v>
          </cell>
          <cell r="K21">
            <v>4291.5</v>
          </cell>
          <cell r="L21">
            <v>4291.5</v>
          </cell>
        </row>
        <row r="22">
          <cell r="A22">
            <v>45</v>
          </cell>
          <cell r="B22">
            <v>49.99</v>
          </cell>
          <cell r="F22">
            <v>2380.69</v>
          </cell>
          <cell r="G22">
            <v>2380</v>
          </cell>
          <cell r="H22">
            <v>2972</v>
          </cell>
          <cell r="I22">
            <v>3521</v>
          </cell>
          <cell r="J22">
            <v>4963.3</v>
          </cell>
          <cell r="K22">
            <v>5216.5</v>
          </cell>
          <cell r="L22">
            <v>5216.5</v>
          </cell>
        </row>
        <row r="23">
          <cell r="A23">
            <v>50</v>
          </cell>
          <cell r="B23">
            <v>54.99</v>
          </cell>
          <cell r="E23">
            <v>5055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L23">
            <v>5841.5</v>
          </cell>
        </row>
        <row r="24">
          <cell r="A24">
            <v>55</v>
          </cell>
          <cell r="B24">
            <v>74.989999999999995</v>
          </cell>
          <cell r="D24">
            <v>5128.8999999999996</v>
          </cell>
          <cell r="E24">
            <v>5055</v>
          </cell>
          <cell r="F24">
            <v>2695.02</v>
          </cell>
          <cell r="G24">
            <v>2695</v>
          </cell>
          <cell r="H24">
            <v>3389</v>
          </cell>
          <cell r="I24">
            <v>4334</v>
          </cell>
          <cell r="J24">
            <v>5538.3</v>
          </cell>
          <cell r="K24">
            <v>5841.5</v>
          </cell>
          <cell r="L24">
            <v>5841.5</v>
          </cell>
        </row>
        <row r="25">
          <cell r="A25">
            <v>75</v>
          </cell>
          <cell r="B25">
            <v>89.99</v>
          </cell>
          <cell r="E25">
            <v>5676</v>
          </cell>
          <cell r="F25">
            <v>3092.55</v>
          </cell>
          <cell r="G25">
            <v>3092</v>
          </cell>
          <cell r="H25">
            <v>4103</v>
          </cell>
          <cell r="I25">
            <v>4840</v>
          </cell>
          <cell r="J25">
            <v>5988.3</v>
          </cell>
          <cell r="K25">
            <v>6341.5</v>
          </cell>
          <cell r="L25">
            <v>6341.5</v>
          </cell>
        </row>
        <row r="26">
          <cell r="A26">
            <v>90</v>
          </cell>
          <cell r="B26">
            <v>109.99</v>
          </cell>
          <cell r="D26">
            <v>8044.05</v>
          </cell>
          <cell r="F26">
            <v>4070.67</v>
          </cell>
          <cell r="G26">
            <v>4070</v>
          </cell>
          <cell r="H26">
            <v>4521</v>
          </cell>
          <cell r="I26">
            <v>5235</v>
          </cell>
          <cell r="J26">
            <v>6663.3</v>
          </cell>
          <cell r="K26">
            <v>7041.5</v>
          </cell>
          <cell r="L26">
            <v>7041.5</v>
          </cell>
        </row>
        <row r="27">
          <cell r="A27">
            <v>110</v>
          </cell>
          <cell r="B27">
            <v>131.99</v>
          </cell>
          <cell r="F27">
            <v>4924.45</v>
          </cell>
          <cell r="G27">
            <v>4924</v>
          </cell>
          <cell r="H27">
            <v>5092</v>
          </cell>
          <cell r="I27">
            <v>5763</v>
          </cell>
          <cell r="J27">
            <v>8688.2999999999993</v>
          </cell>
          <cell r="K27">
            <v>9279</v>
          </cell>
          <cell r="L27">
            <v>9279</v>
          </cell>
        </row>
        <row r="28">
          <cell r="A28">
            <v>132</v>
          </cell>
          <cell r="B28">
            <v>149.99</v>
          </cell>
          <cell r="F28">
            <v>5865.59</v>
          </cell>
          <cell r="G28">
            <v>5865</v>
          </cell>
          <cell r="H28">
            <v>6433</v>
          </cell>
          <cell r="I28">
            <v>7587</v>
          </cell>
          <cell r="J28">
            <v>10263.299999999999</v>
          </cell>
          <cell r="K28">
            <v>10979</v>
          </cell>
          <cell r="L28">
            <v>10979</v>
          </cell>
        </row>
        <row r="29">
          <cell r="A29">
            <v>150</v>
          </cell>
          <cell r="B29">
            <v>179.99</v>
          </cell>
          <cell r="F29">
            <v>6978.69</v>
          </cell>
          <cell r="G29">
            <v>6978</v>
          </cell>
          <cell r="H29">
            <v>8019</v>
          </cell>
          <cell r="I29">
            <v>8928</v>
          </cell>
          <cell r="J29">
            <v>12163.3</v>
          </cell>
          <cell r="K29">
            <v>13054</v>
          </cell>
          <cell r="L29">
            <v>13054</v>
          </cell>
        </row>
        <row r="30">
          <cell r="A30">
            <v>180</v>
          </cell>
          <cell r="B30">
            <v>199.99</v>
          </cell>
          <cell r="D30">
            <v>16750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L30">
            <v>15346.5</v>
          </cell>
        </row>
        <row r="31">
          <cell r="A31">
            <v>200</v>
          </cell>
          <cell r="B31">
            <v>249.99</v>
          </cell>
          <cell r="D31">
            <v>16750</v>
          </cell>
          <cell r="F31">
            <v>8590.09</v>
          </cell>
          <cell r="G31">
            <v>8590</v>
          </cell>
          <cell r="H31">
            <v>9689</v>
          </cell>
          <cell r="I31">
            <v>10598</v>
          </cell>
          <cell r="J31">
            <v>14238.3</v>
          </cell>
          <cell r="K31">
            <v>15346.5</v>
          </cell>
          <cell r="L31">
            <v>15346.5</v>
          </cell>
        </row>
        <row r="32">
          <cell r="A32">
            <v>250</v>
          </cell>
          <cell r="B32">
            <v>279.99</v>
          </cell>
          <cell r="D32">
            <v>18785</v>
          </cell>
          <cell r="F32">
            <v>10561.59</v>
          </cell>
          <cell r="G32">
            <v>15852</v>
          </cell>
          <cell r="H32">
            <v>11469</v>
          </cell>
          <cell r="I32">
            <v>12400</v>
          </cell>
          <cell r="K32">
            <v>20096.5</v>
          </cell>
          <cell r="L32">
            <v>20096.5</v>
          </cell>
        </row>
        <row r="33">
          <cell r="A33">
            <v>280</v>
          </cell>
          <cell r="B33">
            <v>314.99</v>
          </cell>
          <cell r="D33">
            <v>23170</v>
          </cell>
          <cell r="F33">
            <v>0</v>
          </cell>
          <cell r="G33">
            <v>0</v>
          </cell>
          <cell r="H33">
            <v>0</v>
          </cell>
          <cell r="I33">
            <v>16318</v>
          </cell>
          <cell r="K33">
            <v>22996.5</v>
          </cell>
          <cell r="L33">
            <v>22996.5</v>
          </cell>
        </row>
        <row r="34">
          <cell r="A34">
            <v>315</v>
          </cell>
          <cell r="B34">
            <v>349.99</v>
          </cell>
          <cell r="G34">
            <v>18211</v>
          </cell>
          <cell r="H34">
            <v>14230</v>
          </cell>
          <cell r="I34">
            <v>0</v>
          </cell>
          <cell r="K34">
            <v>30521.5</v>
          </cell>
          <cell r="L34">
            <v>30521.5</v>
          </cell>
        </row>
        <row r="35">
          <cell r="A35">
            <v>350</v>
          </cell>
          <cell r="B35">
            <v>399.99</v>
          </cell>
          <cell r="F35">
            <v>0</v>
          </cell>
          <cell r="G35">
            <v>20347</v>
          </cell>
          <cell r="H35">
            <v>0</v>
          </cell>
          <cell r="I35">
            <v>0</v>
          </cell>
          <cell r="L35">
            <v>35371.5</v>
          </cell>
        </row>
        <row r="36">
          <cell r="A36">
            <v>400</v>
          </cell>
          <cell r="B36">
            <v>449.99</v>
          </cell>
          <cell r="F36">
            <v>0</v>
          </cell>
          <cell r="G36">
            <v>0</v>
          </cell>
          <cell r="H36">
            <v>21460</v>
          </cell>
          <cell r="I36">
            <v>23548</v>
          </cell>
          <cell r="K36">
            <v>35371.5</v>
          </cell>
          <cell r="L36">
            <v>35371.5</v>
          </cell>
        </row>
        <row r="37">
          <cell r="A37">
            <v>450</v>
          </cell>
          <cell r="B37">
            <v>499.99</v>
          </cell>
          <cell r="F37">
            <v>24816.89</v>
          </cell>
          <cell r="G37">
            <v>0</v>
          </cell>
          <cell r="H37">
            <v>0</v>
          </cell>
          <cell r="I37">
            <v>0</v>
          </cell>
          <cell r="L37">
            <v>40646.5</v>
          </cell>
        </row>
        <row r="38">
          <cell r="A38">
            <v>500</v>
          </cell>
          <cell r="B38">
            <v>559.99</v>
          </cell>
          <cell r="F38">
            <v>0</v>
          </cell>
          <cell r="G38">
            <v>0</v>
          </cell>
          <cell r="H38">
            <v>25460</v>
          </cell>
          <cell r="I38">
            <v>29350</v>
          </cell>
          <cell r="K38">
            <v>40646.5</v>
          </cell>
          <cell r="L38">
            <v>40646.5</v>
          </cell>
        </row>
        <row r="39">
          <cell r="A39">
            <v>560</v>
          </cell>
          <cell r="B39">
            <v>629.99</v>
          </cell>
          <cell r="F39">
            <v>0</v>
          </cell>
          <cell r="G39">
            <v>0</v>
          </cell>
          <cell r="H39">
            <v>29812</v>
          </cell>
          <cell r="I39">
            <v>33900</v>
          </cell>
          <cell r="K39">
            <v>56246.5</v>
          </cell>
          <cell r="L39">
            <v>56246.5</v>
          </cell>
        </row>
        <row r="40">
          <cell r="A40">
            <v>630</v>
          </cell>
          <cell r="B40">
            <v>700</v>
          </cell>
          <cell r="F40">
            <v>0</v>
          </cell>
          <cell r="G40">
            <v>58329</v>
          </cell>
          <cell r="H40">
            <v>0</v>
          </cell>
          <cell r="I40">
            <v>0</v>
          </cell>
          <cell r="K40">
            <v>61146.5</v>
          </cell>
          <cell r="L40">
            <v>61146.5</v>
          </cell>
        </row>
        <row r="41">
          <cell r="A41">
            <v>710</v>
          </cell>
          <cell r="L41">
            <v>80000</v>
          </cell>
        </row>
        <row r="42">
          <cell r="A42">
            <v>800</v>
          </cell>
          <cell r="L42">
            <v>85000</v>
          </cell>
        </row>
        <row r="43">
          <cell r="A43">
            <v>1500</v>
          </cell>
          <cell r="L43">
            <v>90000</v>
          </cell>
        </row>
        <row r="44">
          <cell r="A44">
            <v>3000</v>
          </cell>
          <cell r="L44">
            <v>100000</v>
          </cell>
        </row>
        <row r="45">
          <cell r="A45">
            <v>6000</v>
          </cell>
          <cell r="L45">
            <v>150000</v>
          </cell>
        </row>
        <row r="65">
          <cell r="A65" t="str">
            <v xml:space="preserve">MCC Module Pricing </v>
          </cell>
        </row>
        <row r="66">
          <cell r="A66" t="str">
            <v xml:space="preserve">VSD - 415 V Feeder Module </v>
          </cell>
          <cell r="D66" t="str">
            <v xml:space="preserve">DOL Drives - 415 V Starter Module </v>
          </cell>
          <cell r="F66" t="str">
            <v>Standard Module Size</v>
          </cell>
          <cell r="G66" t="str">
            <v>Standard Module Height</v>
          </cell>
          <cell r="J66" t="str">
            <v>KW Rating</v>
          </cell>
          <cell r="K66" t="str">
            <v>Motor Amp Rating</v>
          </cell>
          <cell r="L66" t="str">
            <v>CB Size Amp</v>
          </cell>
        </row>
        <row r="67">
          <cell r="A67" t="str">
            <v>KW Rating</v>
          </cell>
          <cell r="B67" t="str">
            <v>Cost</v>
          </cell>
          <cell r="D67" t="str">
            <v>KW Rating</v>
          </cell>
          <cell r="E67" t="str">
            <v>Cost</v>
          </cell>
          <cell r="J67">
            <v>0.18</v>
          </cell>
          <cell r="K67">
            <v>0.6</v>
          </cell>
          <cell r="L67">
            <v>20</v>
          </cell>
        </row>
        <row r="68">
          <cell r="A68">
            <v>0.12</v>
          </cell>
          <cell r="B68">
            <v>2989.85</v>
          </cell>
          <cell r="D68">
            <v>0.12</v>
          </cell>
          <cell r="E68">
            <v>3500</v>
          </cell>
          <cell r="F68">
            <v>3</v>
          </cell>
          <cell r="G68">
            <v>167</v>
          </cell>
          <cell r="J68">
            <v>0.25</v>
          </cell>
          <cell r="K68">
            <v>0.8</v>
          </cell>
          <cell r="L68">
            <v>20</v>
          </cell>
        </row>
        <row r="69">
          <cell r="A69">
            <v>0.18</v>
          </cell>
          <cell r="B69">
            <v>2989.85</v>
          </cell>
          <cell r="D69">
            <v>0.18</v>
          </cell>
          <cell r="E69">
            <v>3500</v>
          </cell>
          <cell r="F69">
            <v>3</v>
          </cell>
          <cell r="G69">
            <v>167</v>
          </cell>
          <cell r="J69">
            <v>0.37</v>
          </cell>
          <cell r="K69">
            <v>1.1000000000000001</v>
          </cell>
          <cell r="L69">
            <v>20</v>
          </cell>
        </row>
        <row r="70">
          <cell r="A70">
            <v>0.37</v>
          </cell>
          <cell r="B70">
            <v>2989.85</v>
          </cell>
          <cell r="D70">
            <v>0.37</v>
          </cell>
          <cell r="E70">
            <v>3500</v>
          </cell>
          <cell r="F70">
            <v>4</v>
          </cell>
          <cell r="G70">
            <v>227</v>
          </cell>
          <cell r="J70">
            <v>0.55000000000000004</v>
          </cell>
          <cell r="K70">
            <v>1.5</v>
          </cell>
          <cell r="L70">
            <v>20</v>
          </cell>
        </row>
        <row r="71">
          <cell r="A71">
            <v>0.55000000000000004</v>
          </cell>
          <cell r="B71">
            <v>2989.85</v>
          </cell>
          <cell r="D71">
            <v>0.55000000000000004</v>
          </cell>
          <cell r="E71">
            <v>3500</v>
          </cell>
          <cell r="F71">
            <v>4</v>
          </cell>
          <cell r="G71">
            <v>227</v>
          </cell>
          <cell r="J71">
            <v>0.75</v>
          </cell>
          <cell r="K71">
            <v>1.8</v>
          </cell>
          <cell r="L71">
            <v>20</v>
          </cell>
        </row>
        <row r="72">
          <cell r="A72">
            <v>0.75</v>
          </cell>
          <cell r="B72">
            <v>2989.85</v>
          </cell>
          <cell r="D72">
            <v>0.75</v>
          </cell>
          <cell r="E72">
            <v>3500</v>
          </cell>
          <cell r="F72">
            <v>4</v>
          </cell>
          <cell r="G72">
            <v>227</v>
          </cell>
          <cell r="J72">
            <v>1.1000000000000001</v>
          </cell>
          <cell r="K72">
            <v>2.6</v>
          </cell>
          <cell r="L72">
            <v>20</v>
          </cell>
        </row>
        <row r="73">
          <cell r="A73">
            <v>1.1000000000000001</v>
          </cell>
          <cell r="B73">
            <v>2989.85</v>
          </cell>
          <cell r="D73">
            <v>1.1000000000000001</v>
          </cell>
          <cell r="E73">
            <v>3750</v>
          </cell>
          <cell r="F73">
            <v>4</v>
          </cell>
          <cell r="G73">
            <v>227</v>
          </cell>
          <cell r="J73">
            <v>1.5</v>
          </cell>
          <cell r="K73">
            <v>3.4</v>
          </cell>
          <cell r="L73">
            <v>20</v>
          </cell>
        </row>
        <row r="74">
          <cell r="A74">
            <v>1.5</v>
          </cell>
          <cell r="B74">
            <v>2989.85</v>
          </cell>
          <cell r="D74">
            <v>1.5</v>
          </cell>
          <cell r="E74">
            <v>3750</v>
          </cell>
          <cell r="F74">
            <v>4</v>
          </cell>
          <cell r="G74">
            <v>227</v>
          </cell>
          <cell r="J74">
            <v>2.2000000000000002</v>
          </cell>
          <cell r="K74">
            <v>4.8</v>
          </cell>
          <cell r="L74">
            <v>20</v>
          </cell>
        </row>
        <row r="75">
          <cell r="A75">
            <v>2.2000000000000002</v>
          </cell>
          <cell r="B75">
            <v>2989.85</v>
          </cell>
          <cell r="D75">
            <v>2.2000000000000002</v>
          </cell>
          <cell r="E75">
            <v>3750</v>
          </cell>
          <cell r="F75">
            <v>4</v>
          </cell>
          <cell r="G75">
            <v>227</v>
          </cell>
          <cell r="J75">
            <v>3</v>
          </cell>
          <cell r="K75">
            <v>6.5</v>
          </cell>
          <cell r="L75">
            <v>20</v>
          </cell>
        </row>
        <row r="76">
          <cell r="A76">
            <v>3</v>
          </cell>
          <cell r="B76">
            <v>2989.85</v>
          </cell>
          <cell r="D76">
            <v>3</v>
          </cell>
          <cell r="E76">
            <v>3750</v>
          </cell>
          <cell r="F76">
            <v>4</v>
          </cell>
          <cell r="G76">
            <v>227</v>
          </cell>
          <cell r="J76">
            <v>4</v>
          </cell>
          <cell r="K76">
            <v>8.1999999999999993</v>
          </cell>
          <cell r="L76">
            <v>20</v>
          </cell>
        </row>
        <row r="77">
          <cell r="A77">
            <v>4</v>
          </cell>
          <cell r="B77">
            <v>2989.85</v>
          </cell>
          <cell r="D77">
            <v>4</v>
          </cell>
          <cell r="E77">
            <v>3750</v>
          </cell>
          <cell r="F77">
            <v>4</v>
          </cell>
          <cell r="G77">
            <v>227</v>
          </cell>
          <cell r="J77">
            <v>5.5</v>
          </cell>
          <cell r="K77">
            <v>11</v>
          </cell>
          <cell r="L77">
            <v>20</v>
          </cell>
        </row>
        <row r="78">
          <cell r="A78">
            <v>5.5</v>
          </cell>
          <cell r="B78">
            <v>3259.9</v>
          </cell>
          <cell r="D78">
            <v>5.5</v>
          </cell>
          <cell r="E78">
            <v>3900</v>
          </cell>
          <cell r="F78">
            <v>4</v>
          </cell>
          <cell r="G78">
            <v>227</v>
          </cell>
          <cell r="J78">
            <v>7.5</v>
          </cell>
          <cell r="K78">
            <v>14</v>
          </cell>
          <cell r="L78">
            <v>32</v>
          </cell>
        </row>
        <row r="79">
          <cell r="A79">
            <v>7.5</v>
          </cell>
          <cell r="B79">
            <v>3259.9</v>
          </cell>
          <cell r="D79">
            <v>7.5</v>
          </cell>
          <cell r="E79">
            <v>3900</v>
          </cell>
          <cell r="F79">
            <v>5</v>
          </cell>
          <cell r="G79">
            <v>287</v>
          </cell>
          <cell r="J79">
            <v>10</v>
          </cell>
          <cell r="K79">
            <v>17</v>
          </cell>
          <cell r="L79">
            <v>32</v>
          </cell>
        </row>
        <row r="80">
          <cell r="A80">
            <v>11</v>
          </cell>
          <cell r="B80">
            <v>3259.9</v>
          </cell>
          <cell r="D80">
            <v>11</v>
          </cell>
          <cell r="E80">
            <v>3950</v>
          </cell>
          <cell r="F80">
            <v>5</v>
          </cell>
          <cell r="G80">
            <v>287</v>
          </cell>
          <cell r="J80">
            <v>11</v>
          </cell>
          <cell r="K80">
            <v>21</v>
          </cell>
          <cell r="L80">
            <v>32</v>
          </cell>
        </row>
        <row r="81">
          <cell r="A81">
            <v>15</v>
          </cell>
          <cell r="B81">
            <v>4024.55</v>
          </cell>
          <cell r="D81">
            <v>15</v>
          </cell>
          <cell r="E81">
            <v>3950</v>
          </cell>
          <cell r="F81">
            <v>5</v>
          </cell>
          <cell r="G81">
            <v>287</v>
          </cell>
          <cell r="J81">
            <v>15</v>
          </cell>
          <cell r="K81">
            <v>28</v>
          </cell>
          <cell r="L81">
            <v>50</v>
          </cell>
        </row>
        <row r="82">
          <cell r="A82">
            <v>18.5</v>
          </cell>
          <cell r="B82">
            <v>4024.55</v>
          </cell>
          <cell r="D82">
            <v>18.5</v>
          </cell>
          <cell r="E82">
            <v>3950</v>
          </cell>
          <cell r="F82">
            <v>5</v>
          </cell>
          <cell r="G82">
            <v>287</v>
          </cell>
          <cell r="J82">
            <v>18.5</v>
          </cell>
          <cell r="K82">
            <v>34</v>
          </cell>
          <cell r="L82">
            <v>63</v>
          </cell>
        </row>
        <row r="83">
          <cell r="A83">
            <v>22</v>
          </cell>
          <cell r="B83">
            <v>4024.55</v>
          </cell>
          <cell r="D83">
            <v>22</v>
          </cell>
          <cell r="E83">
            <v>3950</v>
          </cell>
          <cell r="F83">
            <v>5</v>
          </cell>
          <cell r="G83">
            <v>287</v>
          </cell>
          <cell r="J83">
            <v>22</v>
          </cell>
          <cell r="K83">
            <v>40</v>
          </cell>
          <cell r="L83">
            <v>63</v>
          </cell>
        </row>
        <row r="84">
          <cell r="A84">
            <v>30</v>
          </cell>
          <cell r="B84">
            <v>4271.8500000000004</v>
          </cell>
          <cell r="D84">
            <v>30</v>
          </cell>
          <cell r="E84">
            <v>4300</v>
          </cell>
          <cell r="F84">
            <v>6</v>
          </cell>
          <cell r="G84">
            <v>347</v>
          </cell>
          <cell r="J84">
            <v>30</v>
          </cell>
          <cell r="K84">
            <v>55</v>
          </cell>
          <cell r="L84">
            <v>100</v>
          </cell>
        </row>
        <row r="85">
          <cell r="A85">
            <v>37</v>
          </cell>
          <cell r="B85">
            <v>4271.8500000000004</v>
          </cell>
          <cell r="D85">
            <v>37</v>
          </cell>
          <cell r="E85">
            <v>4300</v>
          </cell>
          <cell r="F85">
            <v>6</v>
          </cell>
          <cell r="G85">
            <v>347</v>
          </cell>
          <cell r="J85">
            <v>37</v>
          </cell>
          <cell r="K85">
            <v>66</v>
          </cell>
          <cell r="L85">
            <v>100</v>
          </cell>
        </row>
        <row r="86">
          <cell r="A86">
            <v>45</v>
          </cell>
          <cell r="B86">
            <v>4271.8500000000004</v>
          </cell>
          <cell r="D86">
            <v>45</v>
          </cell>
          <cell r="E86">
            <v>5300</v>
          </cell>
          <cell r="F86">
            <v>10</v>
          </cell>
          <cell r="G86">
            <v>587</v>
          </cell>
          <cell r="J86">
            <v>45</v>
          </cell>
          <cell r="K86">
            <v>80</v>
          </cell>
          <cell r="L86">
            <v>160</v>
          </cell>
        </row>
        <row r="87">
          <cell r="A87">
            <v>55</v>
          </cell>
          <cell r="B87">
            <v>6062.8</v>
          </cell>
          <cell r="D87">
            <v>55</v>
          </cell>
          <cell r="E87">
            <v>5300</v>
          </cell>
          <cell r="F87">
            <v>10</v>
          </cell>
          <cell r="G87">
            <v>587</v>
          </cell>
          <cell r="J87">
            <v>55</v>
          </cell>
          <cell r="K87">
            <v>97</v>
          </cell>
          <cell r="L87">
            <v>250</v>
          </cell>
        </row>
        <row r="88">
          <cell r="A88">
            <v>75</v>
          </cell>
          <cell r="B88">
            <v>6062.8</v>
          </cell>
          <cell r="D88">
            <v>75</v>
          </cell>
          <cell r="E88">
            <v>5900</v>
          </cell>
          <cell r="F88">
            <v>12</v>
          </cell>
          <cell r="G88">
            <v>707</v>
          </cell>
          <cell r="J88">
            <v>75</v>
          </cell>
          <cell r="K88">
            <v>130</v>
          </cell>
          <cell r="L88">
            <v>250</v>
          </cell>
        </row>
        <row r="89">
          <cell r="A89">
            <v>90</v>
          </cell>
          <cell r="B89">
            <v>6062.8</v>
          </cell>
          <cell r="D89">
            <v>90</v>
          </cell>
          <cell r="E89">
            <v>6500</v>
          </cell>
          <cell r="F89">
            <v>25</v>
          </cell>
          <cell r="G89">
            <v>1307</v>
          </cell>
          <cell r="J89">
            <v>90</v>
          </cell>
          <cell r="K89">
            <v>155</v>
          </cell>
          <cell r="L89">
            <v>250</v>
          </cell>
        </row>
        <row r="90">
          <cell r="A90">
            <v>110</v>
          </cell>
          <cell r="B90">
            <v>6062.8</v>
          </cell>
          <cell r="D90">
            <v>110</v>
          </cell>
          <cell r="E90">
            <v>6900</v>
          </cell>
          <cell r="F90">
            <v>25</v>
          </cell>
          <cell r="G90">
            <v>1307</v>
          </cell>
          <cell r="J90">
            <v>110</v>
          </cell>
          <cell r="K90">
            <v>189</v>
          </cell>
          <cell r="L90">
            <v>400</v>
          </cell>
        </row>
        <row r="91">
          <cell r="A91">
            <v>132</v>
          </cell>
          <cell r="B91">
            <v>6941.7</v>
          </cell>
          <cell r="D91">
            <v>132</v>
          </cell>
          <cell r="E91">
            <v>6900</v>
          </cell>
          <cell r="F91">
            <v>25</v>
          </cell>
          <cell r="G91">
            <v>1307</v>
          </cell>
          <cell r="J91">
            <v>132</v>
          </cell>
          <cell r="K91">
            <v>225</v>
          </cell>
          <cell r="L91">
            <v>400</v>
          </cell>
        </row>
        <row r="92">
          <cell r="A92">
            <v>150</v>
          </cell>
          <cell r="B92">
            <v>6941.7</v>
          </cell>
          <cell r="F92">
            <v>25</v>
          </cell>
          <cell r="G92">
            <v>1307</v>
          </cell>
          <cell r="J92">
            <v>150</v>
          </cell>
          <cell r="K92">
            <v>250</v>
          </cell>
          <cell r="L92">
            <v>400</v>
          </cell>
        </row>
        <row r="93">
          <cell r="A93">
            <v>185</v>
          </cell>
          <cell r="B93">
            <v>6941.7</v>
          </cell>
          <cell r="F93">
            <v>25</v>
          </cell>
          <cell r="G93">
            <v>1307</v>
          </cell>
          <cell r="J93">
            <v>160</v>
          </cell>
          <cell r="K93">
            <v>270</v>
          </cell>
          <cell r="L93">
            <v>630</v>
          </cell>
        </row>
        <row r="94">
          <cell r="A94">
            <v>220</v>
          </cell>
          <cell r="B94">
            <v>7921.35</v>
          </cell>
          <cell r="F94">
            <v>25</v>
          </cell>
          <cell r="G94">
            <v>1307</v>
          </cell>
          <cell r="J94">
            <v>185</v>
          </cell>
          <cell r="K94">
            <v>325</v>
          </cell>
          <cell r="L94">
            <v>630</v>
          </cell>
        </row>
        <row r="95">
          <cell r="A95">
            <v>250</v>
          </cell>
          <cell r="B95">
            <v>7921.35</v>
          </cell>
          <cell r="F95">
            <v>27</v>
          </cell>
          <cell r="G95">
            <v>1427</v>
          </cell>
          <cell r="J95">
            <v>200</v>
          </cell>
          <cell r="K95">
            <v>361</v>
          </cell>
          <cell r="L95">
            <v>630</v>
          </cell>
        </row>
        <row r="96">
          <cell r="A96">
            <v>280</v>
          </cell>
          <cell r="B96">
            <v>10030.1</v>
          </cell>
          <cell r="F96">
            <v>27</v>
          </cell>
          <cell r="G96">
            <v>1427</v>
          </cell>
          <cell r="J96">
            <v>220</v>
          </cell>
          <cell r="K96">
            <v>383</v>
          </cell>
          <cell r="L96">
            <v>630</v>
          </cell>
        </row>
        <row r="97">
          <cell r="A97">
            <v>315</v>
          </cell>
          <cell r="B97">
            <v>10030.1</v>
          </cell>
          <cell r="F97">
            <v>27</v>
          </cell>
          <cell r="G97">
            <v>1427</v>
          </cell>
          <cell r="J97">
            <v>250</v>
          </cell>
          <cell r="K97">
            <v>425</v>
          </cell>
          <cell r="L97">
            <v>630</v>
          </cell>
        </row>
        <row r="98">
          <cell r="A98">
            <v>350</v>
          </cell>
          <cell r="B98">
            <v>10030.1</v>
          </cell>
          <cell r="F98">
            <v>27</v>
          </cell>
          <cell r="G98">
            <v>1427</v>
          </cell>
          <cell r="J98">
            <v>315</v>
          </cell>
          <cell r="K98">
            <v>530</v>
          </cell>
          <cell r="L98">
            <v>800</v>
          </cell>
        </row>
        <row r="99">
          <cell r="A99">
            <v>400</v>
          </cell>
          <cell r="B99">
            <v>10030.1</v>
          </cell>
          <cell r="F99">
            <v>27</v>
          </cell>
          <cell r="G99">
            <v>1427</v>
          </cell>
        </row>
        <row r="100">
          <cell r="A100">
            <v>450</v>
          </cell>
          <cell r="B100">
            <v>10030.1</v>
          </cell>
          <cell r="F100">
            <v>27</v>
          </cell>
          <cell r="G100">
            <v>1427</v>
          </cell>
        </row>
      </sheetData>
      <sheetData sheetId="12"/>
      <sheetData sheetId="13"/>
      <sheetData sheetId="14"/>
      <sheetData sheetId="15">
        <row r="3">
          <cell r="A3" t="str">
            <v>Tag No</v>
          </cell>
          <cell r="B3" t="str">
            <v>Area</v>
          </cell>
          <cell r="C3" t="str">
            <v>Type</v>
          </cell>
          <cell r="D3" t="str">
            <v>MCC Number</v>
          </cell>
          <cell r="E3" t="str">
            <v>Number</v>
          </cell>
          <cell r="F3" t="str">
            <v>Installed Power kW</v>
          </cell>
          <cell r="G3" t="str">
            <v>Starter Type</v>
          </cell>
          <cell r="H3" t="str">
            <v>Construction Workpack</v>
          </cell>
          <cell r="I3" t="str">
            <v>Voltage</v>
          </cell>
          <cell r="J3" t="str">
            <v>Duty/
Standby</v>
          </cell>
          <cell r="K3" t="str">
            <v xml:space="preserve"> Procurement Rating</v>
          </cell>
          <cell r="L3" t="str">
            <v>Rev</v>
          </cell>
          <cell r="M3" t="str">
            <v>Equipment Name</v>
          </cell>
          <cell r="N3" t="str">
            <v>Rating Description</v>
          </cell>
        </row>
        <row r="4">
          <cell r="A4" t="str">
            <v>(blank)</v>
          </cell>
          <cell r="B4" t="str">
            <v>(blank)</v>
          </cell>
          <cell r="C4" t="str">
            <v>(blank)</v>
          </cell>
          <cell r="D4" t="str">
            <v>(blank)</v>
          </cell>
          <cell r="E4" t="str">
            <v>(blank)</v>
          </cell>
          <cell r="F4" t="str">
            <v>(blank)</v>
          </cell>
          <cell r="G4" t="str">
            <v>(blank)</v>
          </cell>
          <cell r="H4" t="str">
            <v>(blank)</v>
          </cell>
          <cell r="I4" t="str">
            <v>(blank)</v>
          </cell>
          <cell r="J4" t="str">
            <v>(blank)</v>
          </cell>
          <cell r="K4" t="str">
            <v>(blank)</v>
          </cell>
          <cell r="L4" t="str">
            <v>(blank)</v>
          </cell>
          <cell r="M4" t="str">
            <v>(blank)</v>
          </cell>
          <cell r="N4" t="str">
            <v>(blank)</v>
          </cell>
        </row>
        <row r="5">
          <cell r="A5" t="str">
            <v>3100FD001 (A)</v>
          </cell>
          <cell r="B5">
            <v>3100</v>
          </cell>
          <cell r="C5" t="str">
            <v>FD</v>
          </cell>
          <cell r="D5" t="str">
            <v>Switchroom 1</v>
          </cell>
          <cell r="E5" t="str">
            <v>001 (A)</v>
          </cell>
          <cell r="F5">
            <v>14.914020670832649</v>
          </cell>
          <cell r="G5" t="str">
            <v>DOL</v>
          </cell>
          <cell r="H5">
            <v>5</v>
          </cell>
          <cell r="I5">
            <v>415</v>
          </cell>
          <cell r="J5" t="str">
            <v>DUTY</v>
          </cell>
          <cell r="K5">
            <v>4</v>
          </cell>
          <cell r="L5" t="str">
            <v>A</v>
          </cell>
          <cell r="M5" t="str">
            <v>Compaction Feed Bucket Elevator</v>
          </cell>
          <cell r="N5" t="str">
            <v>Prelim Post Award Data</v>
          </cell>
        </row>
        <row r="6">
          <cell r="A6" t="str">
            <v>3100CV002</v>
          </cell>
          <cell r="B6">
            <v>3100</v>
          </cell>
          <cell r="C6" t="str">
            <v>CV</v>
          </cell>
          <cell r="D6" t="str">
            <v>Switchroom 1</v>
          </cell>
          <cell r="E6" t="str">
            <v>002</v>
          </cell>
          <cell r="F6">
            <v>7.4570103354163244</v>
          </cell>
          <cell r="G6" t="str">
            <v>DOL</v>
          </cell>
          <cell r="H6">
            <v>5</v>
          </cell>
          <cell r="I6">
            <v>415</v>
          </cell>
          <cell r="J6" t="str">
            <v>DUTY</v>
          </cell>
          <cell r="K6">
            <v>4</v>
          </cell>
          <cell r="L6" t="str">
            <v>A</v>
          </cell>
          <cell r="M6" t="str">
            <v>Compactor Feed Drag Conveyor</v>
          </cell>
          <cell r="N6" t="str">
            <v>Prelim Post Award Data</v>
          </cell>
        </row>
        <row r="7">
          <cell r="A7" t="str">
            <v>3100CV003 (A)</v>
          </cell>
          <cell r="B7">
            <v>3100</v>
          </cell>
          <cell r="C7" t="str">
            <v>CV</v>
          </cell>
          <cell r="D7" t="str">
            <v>Switchroom 1</v>
          </cell>
          <cell r="E7" t="str">
            <v>003 (A)</v>
          </cell>
          <cell r="F7">
            <v>7.4570103354163244</v>
          </cell>
          <cell r="G7" t="str">
            <v>DOL</v>
          </cell>
          <cell r="H7">
            <v>5</v>
          </cell>
          <cell r="I7">
            <v>415</v>
          </cell>
          <cell r="J7" t="str">
            <v>DUTY</v>
          </cell>
          <cell r="K7">
            <v>4</v>
          </cell>
          <cell r="L7" t="str">
            <v>A</v>
          </cell>
          <cell r="M7" t="str">
            <v>Metering Screw Conveyor</v>
          </cell>
          <cell r="N7" t="str">
            <v>Prelim Post Award Data</v>
          </cell>
        </row>
        <row r="8">
          <cell r="A8" t="str">
            <v>3100AA001</v>
          </cell>
          <cell r="B8">
            <v>3100</v>
          </cell>
          <cell r="C8" t="str">
            <v>AA</v>
          </cell>
          <cell r="D8" t="str">
            <v>Switchroom 1</v>
          </cell>
          <cell r="E8" t="str">
            <v>001</v>
          </cell>
          <cell r="F8">
            <v>745.70103354163246</v>
          </cell>
          <cell r="G8" t="str">
            <v>VSD</v>
          </cell>
          <cell r="H8">
            <v>6</v>
          </cell>
          <cell r="I8">
            <v>415</v>
          </cell>
          <cell r="J8" t="str">
            <v>DUTY</v>
          </cell>
          <cell r="K8">
            <v>4</v>
          </cell>
          <cell r="L8" t="str">
            <v>A</v>
          </cell>
          <cell r="M8" t="str">
            <v>Compactor</v>
          </cell>
          <cell r="N8" t="str">
            <v>Prelim Post Award Data</v>
          </cell>
        </row>
        <row r="9">
          <cell r="A9" t="str">
            <v>3100FD001</v>
          </cell>
          <cell r="B9">
            <v>3100</v>
          </cell>
          <cell r="C9" t="str">
            <v>FD</v>
          </cell>
          <cell r="D9" t="str">
            <v>Switchroom 1</v>
          </cell>
          <cell r="E9" t="str">
            <v>001</v>
          </cell>
          <cell r="F9">
            <v>111.85515503124486</v>
          </cell>
          <cell r="G9" t="str">
            <v>Feeder</v>
          </cell>
          <cell r="H9">
            <v>6</v>
          </cell>
          <cell r="I9">
            <v>415</v>
          </cell>
          <cell r="J9" t="str">
            <v>DUTY</v>
          </cell>
          <cell r="K9">
            <v>4</v>
          </cell>
          <cell r="L9" t="str">
            <v>A</v>
          </cell>
          <cell r="M9" t="str">
            <v>Force Feeders</v>
          </cell>
          <cell r="N9" t="str">
            <v>Prelim Post Award Data</v>
          </cell>
        </row>
        <row r="10">
          <cell r="A10" t="str">
            <v>3100RB001</v>
          </cell>
          <cell r="B10">
            <v>3100</v>
          </cell>
          <cell r="C10" t="str">
            <v>RB</v>
          </cell>
          <cell r="D10" t="str">
            <v>Switchroom 1</v>
          </cell>
          <cell r="E10" t="str">
            <v>001</v>
          </cell>
          <cell r="F10">
            <v>22.371031006248973</v>
          </cell>
          <cell r="G10" t="str">
            <v>DOL</v>
          </cell>
          <cell r="H10">
            <v>6</v>
          </cell>
          <cell r="I10">
            <v>415</v>
          </cell>
          <cell r="J10" t="str">
            <v>DUTY</v>
          </cell>
          <cell r="K10">
            <v>4</v>
          </cell>
          <cell r="L10" t="str">
            <v>A</v>
          </cell>
          <cell r="M10" t="str">
            <v>Flake Breaker</v>
          </cell>
          <cell r="N10" t="str">
            <v>Prelim Post Award Data</v>
          </cell>
        </row>
        <row r="11">
          <cell r="A11" t="str">
            <v>3100CV004 (A)</v>
          </cell>
          <cell r="B11">
            <v>3100</v>
          </cell>
          <cell r="C11" t="str">
            <v>CV</v>
          </cell>
          <cell r="D11" t="str">
            <v>Switchroom 1</v>
          </cell>
          <cell r="E11" t="str">
            <v>004 (A)</v>
          </cell>
          <cell r="F11">
            <v>7.4570103354163244</v>
          </cell>
          <cell r="G11" t="str">
            <v>DOL</v>
          </cell>
          <cell r="H11">
            <v>6</v>
          </cell>
          <cell r="I11">
            <v>415</v>
          </cell>
          <cell r="J11" t="str">
            <v>DUTY</v>
          </cell>
          <cell r="K11">
            <v>4</v>
          </cell>
          <cell r="L11" t="str">
            <v>A</v>
          </cell>
          <cell r="M11" t="str">
            <v>Compactor Flake Drag Conveyor</v>
          </cell>
          <cell r="N11" t="str">
            <v>Prelim Post Award Data</v>
          </cell>
        </row>
        <row r="12">
          <cell r="A12" t="str">
            <v>3100FD002</v>
          </cell>
          <cell r="B12">
            <v>3100</v>
          </cell>
          <cell r="C12" t="str">
            <v>FD</v>
          </cell>
          <cell r="D12" t="str">
            <v>Switchroom 1</v>
          </cell>
          <cell r="E12" t="str">
            <v>002</v>
          </cell>
          <cell r="F12">
            <v>29.828041341665298</v>
          </cell>
          <cell r="G12" t="str">
            <v>DOL</v>
          </cell>
          <cell r="H12">
            <v>5</v>
          </cell>
          <cell r="I12">
            <v>415</v>
          </cell>
          <cell r="J12" t="str">
            <v>DUTY</v>
          </cell>
          <cell r="K12">
            <v>4</v>
          </cell>
          <cell r="L12" t="str">
            <v>A</v>
          </cell>
          <cell r="M12" t="str">
            <v>Compaction Screen Bucket Elevator</v>
          </cell>
          <cell r="N12" t="str">
            <v>Prelim Post Award Data</v>
          </cell>
        </row>
        <row r="13">
          <cell r="A13" t="str">
            <v>3100SN001</v>
          </cell>
          <cell r="B13">
            <v>3100</v>
          </cell>
          <cell r="C13" t="str">
            <v>SN</v>
          </cell>
          <cell r="D13" t="str">
            <v>Switchroom 1</v>
          </cell>
          <cell r="E13" t="str">
            <v>001</v>
          </cell>
          <cell r="F13">
            <v>14.914020670832649</v>
          </cell>
          <cell r="G13" t="str">
            <v>DOL</v>
          </cell>
          <cell r="H13">
            <v>5</v>
          </cell>
          <cell r="I13">
            <v>415</v>
          </cell>
          <cell r="J13" t="str">
            <v>DUTY</v>
          </cell>
          <cell r="K13">
            <v>4</v>
          </cell>
          <cell r="L13" t="str">
            <v>A</v>
          </cell>
          <cell r="M13" t="str">
            <v>Compaction Screen</v>
          </cell>
          <cell r="N13" t="str">
            <v>Prelim Post Award Data</v>
          </cell>
        </row>
        <row r="14">
          <cell r="A14" t="str">
            <v>3100CR001</v>
          </cell>
          <cell r="B14">
            <v>3100</v>
          </cell>
          <cell r="C14" t="str">
            <v>CR</v>
          </cell>
          <cell r="D14" t="str">
            <v>Switchroom 1</v>
          </cell>
          <cell r="E14" t="str">
            <v>001</v>
          </cell>
          <cell r="F14">
            <v>149.14020670832647</v>
          </cell>
          <cell r="G14" t="str">
            <v>VSD</v>
          </cell>
          <cell r="H14">
            <v>5</v>
          </cell>
          <cell r="I14">
            <v>415</v>
          </cell>
          <cell r="J14" t="str">
            <v>DUTY</v>
          </cell>
          <cell r="K14">
            <v>4</v>
          </cell>
          <cell r="L14" t="str">
            <v>A</v>
          </cell>
          <cell r="M14" t="str">
            <v>Crusher</v>
          </cell>
          <cell r="N14" t="str">
            <v>Prelim Post Award Data</v>
          </cell>
        </row>
        <row r="15">
          <cell r="A15" t="str">
            <v>3100CV004</v>
          </cell>
          <cell r="B15">
            <v>3100</v>
          </cell>
          <cell r="C15" t="str">
            <v>CV</v>
          </cell>
          <cell r="D15" t="str">
            <v>Switchroom 1</v>
          </cell>
          <cell r="E15" t="str">
            <v>004</v>
          </cell>
          <cell r="F15">
            <v>5</v>
          </cell>
          <cell r="G15" t="str">
            <v>DOL</v>
          </cell>
          <cell r="H15">
            <v>5</v>
          </cell>
          <cell r="I15">
            <v>415</v>
          </cell>
          <cell r="J15" t="str">
            <v>DUTY</v>
          </cell>
          <cell r="K15">
            <v>4</v>
          </cell>
          <cell r="L15" t="str">
            <v>A</v>
          </cell>
          <cell r="M15" t="str">
            <v>Crushed Flake Drag Conveyor</v>
          </cell>
          <cell r="N15" t="str">
            <v>Prelim Post Award Data</v>
          </cell>
        </row>
        <row r="16">
          <cell r="A16" t="str">
            <v>3100CV005</v>
          </cell>
          <cell r="B16">
            <v>3100</v>
          </cell>
          <cell r="C16" t="str">
            <v>CV</v>
          </cell>
          <cell r="D16" t="str">
            <v>Switchroom 1</v>
          </cell>
          <cell r="E16" t="str">
            <v>005</v>
          </cell>
          <cell r="F16">
            <v>7.4570103354163244</v>
          </cell>
          <cell r="G16" t="str">
            <v>DOL</v>
          </cell>
          <cell r="H16">
            <v>5</v>
          </cell>
          <cell r="I16">
            <v>415</v>
          </cell>
          <cell r="J16" t="str">
            <v>DUTY</v>
          </cell>
          <cell r="K16">
            <v>4</v>
          </cell>
          <cell r="L16" t="str">
            <v>A</v>
          </cell>
          <cell r="M16" t="str">
            <v>Fines Recycle Drag Conveyor</v>
          </cell>
          <cell r="N16" t="str">
            <v>Prelim Post Award Data</v>
          </cell>
        </row>
        <row r="17">
          <cell r="A17" t="str">
            <v>3100CV001</v>
          </cell>
          <cell r="B17">
            <v>3100</v>
          </cell>
          <cell r="C17" t="str">
            <v>CV</v>
          </cell>
          <cell r="D17" t="str">
            <v>Switchroom 1</v>
          </cell>
          <cell r="E17" t="str">
            <v>001</v>
          </cell>
          <cell r="F17">
            <v>5</v>
          </cell>
          <cell r="G17" t="str">
            <v>DOL</v>
          </cell>
          <cell r="H17">
            <v>4</v>
          </cell>
          <cell r="I17">
            <v>415</v>
          </cell>
          <cell r="J17" t="str">
            <v>DUTY</v>
          </cell>
          <cell r="K17">
            <v>4</v>
          </cell>
          <cell r="L17" t="str">
            <v>A</v>
          </cell>
          <cell r="M17" t="str">
            <v>Granular Product Belt Conveyor</v>
          </cell>
          <cell r="N17" t="str">
            <v>Prelim Post Award Data</v>
          </cell>
        </row>
        <row r="18">
          <cell r="A18" t="str">
            <v>3100AG001</v>
          </cell>
          <cell r="B18">
            <v>3100</v>
          </cell>
          <cell r="C18" t="str">
            <v>AG</v>
          </cell>
          <cell r="D18" t="str">
            <v>Switchroom 1</v>
          </cell>
          <cell r="E18" t="str">
            <v>001</v>
          </cell>
          <cell r="F18">
            <v>11.185515503124487</v>
          </cell>
          <cell r="G18" t="str">
            <v>DOL</v>
          </cell>
          <cell r="H18">
            <v>4</v>
          </cell>
          <cell r="I18">
            <v>415</v>
          </cell>
          <cell r="J18" t="str">
            <v>DUTY</v>
          </cell>
          <cell r="K18">
            <v>4</v>
          </cell>
          <cell r="L18" t="str">
            <v>A</v>
          </cell>
          <cell r="M18" t="str">
            <v>Granular Product Curing Drum</v>
          </cell>
          <cell r="N18" t="str">
            <v>Prelim Post Award Data</v>
          </cell>
        </row>
        <row r="19">
          <cell r="A19" t="str">
            <v>3100AG002 (A)</v>
          </cell>
          <cell r="B19">
            <v>3100</v>
          </cell>
          <cell r="C19" t="str">
            <v>AG</v>
          </cell>
          <cell r="D19" t="str">
            <v>Switchroom 1</v>
          </cell>
          <cell r="E19" t="str">
            <v>002 (A)</v>
          </cell>
          <cell r="F19">
            <v>7.4570103354163244</v>
          </cell>
          <cell r="G19" t="str">
            <v>DOL</v>
          </cell>
          <cell r="H19">
            <v>4</v>
          </cell>
          <cell r="I19">
            <v>415</v>
          </cell>
          <cell r="J19" t="str">
            <v>DUTY</v>
          </cell>
          <cell r="K19">
            <v>4</v>
          </cell>
          <cell r="L19" t="str">
            <v>A</v>
          </cell>
          <cell r="M19" t="str">
            <v>Reagent Screw Mixer</v>
          </cell>
          <cell r="N19" t="str">
            <v>Prelim Post Award Data</v>
          </cell>
        </row>
        <row r="20">
          <cell r="A20" t="str">
            <v>3100PP001</v>
          </cell>
          <cell r="B20">
            <v>3100</v>
          </cell>
          <cell r="C20" t="str">
            <v>PP</v>
          </cell>
          <cell r="D20" t="str">
            <v>Switchroom 1</v>
          </cell>
          <cell r="E20" t="str">
            <v>001</v>
          </cell>
          <cell r="F20">
            <v>3.7285051677081622</v>
          </cell>
          <cell r="G20" t="str">
            <v>DOL</v>
          </cell>
          <cell r="H20">
            <v>5</v>
          </cell>
          <cell r="I20">
            <v>415</v>
          </cell>
          <cell r="J20" t="str">
            <v>DUTY</v>
          </cell>
          <cell r="K20">
            <v>4</v>
          </cell>
          <cell r="L20" t="str">
            <v>A</v>
          </cell>
          <cell r="M20" t="str">
            <v>Dedusting Oil Pump</v>
          </cell>
          <cell r="N20" t="str">
            <v>Prelim Post Award Data</v>
          </cell>
        </row>
        <row r="21">
          <cell r="A21" t="str">
            <v>3100CV012</v>
          </cell>
          <cell r="B21">
            <v>3100</v>
          </cell>
          <cell r="C21" t="str">
            <v>CV</v>
          </cell>
          <cell r="D21" t="str">
            <v>Switchroom 1</v>
          </cell>
          <cell r="E21" t="str">
            <v>012</v>
          </cell>
          <cell r="F21">
            <v>14.914020670832649</v>
          </cell>
          <cell r="G21" t="str">
            <v>DOL</v>
          </cell>
          <cell r="H21">
            <v>5</v>
          </cell>
          <cell r="I21">
            <v>415</v>
          </cell>
          <cell r="J21" t="str">
            <v>DUTY</v>
          </cell>
          <cell r="K21">
            <v>4</v>
          </cell>
          <cell r="L21" t="str">
            <v>A</v>
          </cell>
          <cell r="M21" t="str">
            <v>Final Product Belt Conveyor</v>
          </cell>
          <cell r="N21" t="str">
            <v>Prelim Post Award Data</v>
          </cell>
        </row>
        <row r="22">
          <cell r="A22" t="str">
            <v>3100CV003</v>
          </cell>
          <cell r="B22">
            <v>3100</v>
          </cell>
          <cell r="C22" t="str">
            <v>CV</v>
          </cell>
          <cell r="D22" t="str">
            <v>Switchroom 1</v>
          </cell>
          <cell r="E22" t="str">
            <v>003</v>
          </cell>
          <cell r="F22">
            <v>5.5927577515622433</v>
          </cell>
          <cell r="G22" t="str">
            <v>DOL</v>
          </cell>
          <cell r="H22">
            <v>5</v>
          </cell>
          <cell r="I22">
            <v>415</v>
          </cell>
          <cell r="J22" t="str">
            <v>DUTY</v>
          </cell>
          <cell r="K22">
            <v>4</v>
          </cell>
          <cell r="L22" t="str">
            <v>A</v>
          </cell>
          <cell r="M22" t="str">
            <v>Compaction Area Dust Recycle Screw Conveyor</v>
          </cell>
          <cell r="N22" t="str">
            <v>Prelim Post Award Data</v>
          </cell>
        </row>
        <row r="23">
          <cell r="A23" t="str">
            <v>3100CV010</v>
          </cell>
          <cell r="B23">
            <v>3100</v>
          </cell>
          <cell r="C23" t="str">
            <v>CV</v>
          </cell>
          <cell r="D23" t="str">
            <v>Switchroom 1</v>
          </cell>
          <cell r="E23" t="str">
            <v>010</v>
          </cell>
          <cell r="F23">
            <v>5</v>
          </cell>
          <cell r="G23" t="str">
            <v>DOL</v>
          </cell>
          <cell r="H23">
            <v>5</v>
          </cell>
          <cell r="I23">
            <v>415</v>
          </cell>
          <cell r="J23" t="str">
            <v>DUTY</v>
          </cell>
          <cell r="K23">
            <v>4</v>
          </cell>
          <cell r="L23" t="str">
            <v>A</v>
          </cell>
          <cell r="M23" t="str">
            <v>Dust Recycle Drag Conveyor</v>
          </cell>
          <cell r="N23" t="str">
            <v>Prelim Post Award Data</v>
          </cell>
        </row>
        <row r="24">
          <cell r="A24" t="str">
            <v>3100FN001</v>
          </cell>
          <cell r="B24">
            <v>3100</v>
          </cell>
          <cell r="C24" t="str">
            <v>FN</v>
          </cell>
          <cell r="D24" t="str">
            <v>Switchroom 1</v>
          </cell>
          <cell r="E24" t="str">
            <v>001</v>
          </cell>
          <cell r="F24">
            <v>29.828041341665298</v>
          </cell>
          <cell r="G24" t="str">
            <v>DOL</v>
          </cell>
          <cell r="H24">
            <v>5</v>
          </cell>
          <cell r="I24">
            <v>415</v>
          </cell>
          <cell r="J24" t="str">
            <v>DUTY</v>
          </cell>
          <cell r="K24">
            <v>4</v>
          </cell>
          <cell r="L24" t="str">
            <v>A</v>
          </cell>
          <cell r="M24" t="str">
            <v>Compaction Area Dust Recycle Fan</v>
          </cell>
          <cell r="N24" t="str">
            <v>Prelim Post Award Data</v>
          </cell>
        </row>
        <row r="25">
          <cell r="A25" t="str">
            <v>3100GA002</v>
          </cell>
          <cell r="B25">
            <v>3100</v>
          </cell>
          <cell r="C25" t="str">
            <v>GA</v>
          </cell>
          <cell r="D25" t="str">
            <v>Switchroom 1</v>
          </cell>
          <cell r="E25" t="str">
            <v>002</v>
          </cell>
          <cell r="F25">
            <v>1.1185515503124486</v>
          </cell>
          <cell r="G25" t="str">
            <v>DOL</v>
          </cell>
          <cell r="H25">
            <v>5</v>
          </cell>
          <cell r="I25">
            <v>415</v>
          </cell>
          <cell r="J25" t="str">
            <v>DUTY</v>
          </cell>
          <cell r="K25">
            <v>4</v>
          </cell>
          <cell r="L25" t="str">
            <v>A</v>
          </cell>
          <cell r="M25" t="str">
            <v>Loadout Area Dust Recycle Rotary Valve</v>
          </cell>
          <cell r="N25" t="str">
            <v>Prelim Post Award Data</v>
          </cell>
        </row>
        <row r="26">
          <cell r="A26" t="str">
            <v>3100CV011</v>
          </cell>
          <cell r="B26">
            <v>3100</v>
          </cell>
          <cell r="C26" t="str">
            <v>CV</v>
          </cell>
          <cell r="D26" t="str">
            <v>Switchroom 1</v>
          </cell>
          <cell r="E26" t="str">
            <v>011</v>
          </cell>
          <cell r="F26">
            <v>11.2</v>
          </cell>
          <cell r="G26" t="str">
            <v>DOL</v>
          </cell>
          <cell r="H26">
            <v>5</v>
          </cell>
          <cell r="I26">
            <v>415</v>
          </cell>
          <cell r="J26" t="str">
            <v>DUTY</v>
          </cell>
          <cell r="K26">
            <v>4</v>
          </cell>
          <cell r="L26" t="str">
            <v>A</v>
          </cell>
          <cell r="M26" t="str">
            <v>Fines Bypass Drag Conveyor</v>
          </cell>
          <cell r="N26" t="str">
            <v>Prelim Post Award Data</v>
          </cell>
        </row>
        <row r="27">
          <cell r="A27" t="str">
            <v>3100CP001A</v>
          </cell>
          <cell r="B27">
            <v>3100</v>
          </cell>
          <cell r="C27" t="str">
            <v>CP</v>
          </cell>
          <cell r="D27" t="str">
            <v>Switchroom 1</v>
          </cell>
          <cell r="E27" t="str">
            <v>001A</v>
          </cell>
          <cell r="F27">
            <v>95</v>
          </cell>
          <cell r="G27" t="str">
            <v>DOL</v>
          </cell>
          <cell r="H27">
            <v>5</v>
          </cell>
          <cell r="I27">
            <v>415</v>
          </cell>
          <cell r="J27" t="str">
            <v>DUTY</v>
          </cell>
          <cell r="K27">
            <v>4</v>
          </cell>
          <cell r="L27" t="str">
            <v>A</v>
          </cell>
          <cell r="M27" t="str">
            <v xml:space="preserve">Cooling  Skid </v>
          </cell>
          <cell r="N27" t="str">
            <v>Prelim Post Award Data</v>
          </cell>
        </row>
        <row r="28">
          <cell r="A28" t="str">
            <v>3100CP001B</v>
          </cell>
          <cell r="B28">
            <v>3100</v>
          </cell>
          <cell r="C28" t="str">
            <v>CP</v>
          </cell>
          <cell r="D28" t="str">
            <v>Switchroom 1</v>
          </cell>
          <cell r="E28" t="str">
            <v>001B</v>
          </cell>
          <cell r="F28">
            <v>30</v>
          </cell>
          <cell r="G28" t="str">
            <v>DOL</v>
          </cell>
          <cell r="H28">
            <v>5</v>
          </cell>
          <cell r="I28">
            <v>415</v>
          </cell>
          <cell r="J28" t="str">
            <v>DUTY</v>
          </cell>
          <cell r="K28">
            <v>4</v>
          </cell>
          <cell r="L28" t="str">
            <v>A</v>
          </cell>
          <cell r="M28" t="str">
            <v xml:space="preserve">Cooling  Skid </v>
          </cell>
          <cell r="N28" t="str">
            <v>Prelim Post Award Data</v>
          </cell>
        </row>
        <row r="29">
          <cell r="A29" t="str">
            <v>3100CV014</v>
          </cell>
          <cell r="B29">
            <v>3100</v>
          </cell>
          <cell r="C29" t="str">
            <v>CV</v>
          </cell>
          <cell r="D29" t="str">
            <v>Switchroom 1</v>
          </cell>
          <cell r="E29" t="str">
            <v>014</v>
          </cell>
          <cell r="F29">
            <v>14.914020670832649</v>
          </cell>
          <cell r="G29" t="str">
            <v>DOL</v>
          </cell>
          <cell r="H29">
            <v>6</v>
          </cell>
          <cell r="I29">
            <v>415</v>
          </cell>
          <cell r="J29" t="str">
            <v>DUTY</v>
          </cell>
          <cell r="K29">
            <v>4</v>
          </cell>
          <cell r="L29" t="str">
            <v>A</v>
          </cell>
          <cell r="M29" t="str">
            <v>SSOP Transfer Belt Conveyor</v>
          </cell>
          <cell r="N29" t="str">
            <v>Prelim Post Award Data</v>
          </cell>
        </row>
        <row r="30">
          <cell r="A30" t="str">
            <v>3100CV015</v>
          </cell>
          <cell r="B30">
            <v>3100</v>
          </cell>
          <cell r="C30" t="str">
            <v>CV</v>
          </cell>
          <cell r="D30" t="str">
            <v>Switchroom 1</v>
          </cell>
          <cell r="E30" t="str">
            <v>015</v>
          </cell>
          <cell r="F30">
            <v>14.914020670832649</v>
          </cell>
          <cell r="G30" t="str">
            <v>DOL</v>
          </cell>
          <cell r="H30">
            <v>5</v>
          </cell>
          <cell r="I30">
            <v>415</v>
          </cell>
          <cell r="J30" t="str">
            <v>DUTY</v>
          </cell>
          <cell r="K30">
            <v>4</v>
          </cell>
          <cell r="L30" t="str">
            <v>A</v>
          </cell>
          <cell r="M30" t="str">
            <v>WSSOP Product Belt Conveyor</v>
          </cell>
          <cell r="N30" t="str">
            <v>Prelim Post Award Data</v>
          </cell>
        </row>
        <row r="31">
          <cell r="A31" t="str">
            <v>3100AG002</v>
          </cell>
          <cell r="B31">
            <v>3100</v>
          </cell>
          <cell r="C31" t="str">
            <v>AG</v>
          </cell>
          <cell r="D31" t="str">
            <v>Switchroom 2</v>
          </cell>
          <cell r="E31" t="str">
            <v>002</v>
          </cell>
          <cell r="F31">
            <v>29.8</v>
          </cell>
          <cell r="G31" t="str">
            <v>DOL</v>
          </cell>
          <cell r="H31">
            <v>5</v>
          </cell>
          <cell r="I31">
            <v>415</v>
          </cell>
          <cell r="J31" t="str">
            <v>DUTY</v>
          </cell>
          <cell r="K31">
            <v>4</v>
          </cell>
          <cell r="L31" t="str">
            <v>A</v>
          </cell>
          <cell r="M31" t="str">
            <v>Reagent Mixer</v>
          </cell>
          <cell r="N31" t="str">
            <v>Prelim Post Award Data</v>
          </cell>
        </row>
        <row r="32">
          <cell r="A32" t="str">
            <v>3100FN011</v>
          </cell>
          <cell r="B32">
            <v>3100</v>
          </cell>
          <cell r="C32" t="str">
            <v>FN</v>
          </cell>
          <cell r="D32" t="str">
            <v>Switchroom 3</v>
          </cell>
          <cell r="E32" t="str">
            <v>011</v>
          </cell>
          <cell r="F32">
            <v>29.8</v>
          </cell>
          <cell r="G32" t="str">
            <v>DOL</v>
          </cell>
          <cell r="H32">
            <v>5</v>
          </cell>
          <cell r="I32">
            <v>415</v>
          </cell>
          <cell r="J32" t="str">
            <v>DUTY</v>
          </cell>
          <cell r="K32">
            <v>4</v>
          </cell>
          <cell r="L32" t="str">
            <v>A</v>
          </cell>
          <cell r="M32" t="str">
            <v>Loadout Area Dust Recycle Fan</v>
          </cell>
          <cell r="N32" t="str">
            <v>Prelim Post Award Data</v>
          </cell>
        </row>
        <row r="33">
          <cell r="A33" t="str">
            <v>Grand Total</v>
          </cell>
        </row>
      </sheetData>
      <sheetData sheetId="16">
        <row r="4">
          <cell r="A4" t="str">
            <v>Cu PVC PVC12C+E</v>
          </cell>
          <cell r="B4" t="str">
            <v>Cu PVC PVC</v>
          </cell>
          <cell r="C4">
            <v>1</v>
          </cell>
          <cell r="D4" t="str">
            <v>2C+E</v>
          </cell>
          <cell r="E4">
            <v>11</v>
          </cell>
          <cell r="F4">
            <v>15</v>
          </cell>
          <cell r="G4">
            <v>40</v>
          </cell>
        </row>
        <row r="5">
          <cell r="A5" t="str">
            <v>Cu PVC PVC1.52C+E</v>
          </cell>
          <cell r="B5" t="str">
            <v>Cu PVC PVC</v>
          </cell>
          <cell r="C5">
            <v>1.5</v>
          </cell>
          <cell r="D5" t="str">
            <v>2C+E</v>
          </cell>
          <cell r="E5">
            <v>11.3</v>
          </cell>
          <cell r="F5">
            <v>20</v>
          </cell>
          <cell r="G5">
            <v>45</v>
          </cell>
        </row>
        <row r="6">
          <cell r="A6" t="str">
            <v>Cu PVC PVC2.52C+E</v>
          </cell>
          <cell r="B6" t="str">
            <v>Cu PVC PVC</v>
          </cell>
          <cell r="C6">
            <v>2.5</v>
          </cell>
          <cell r="D6" t="str">
            <v>2C+E</v>
          </cell>
          <cell r="E6">
            <v>12.9</v>
          </cell>
          <cell r="F6">
            <v>26</v>
          </cell>
          <cell r="G6">
            <v>50</v>
          </cell>
        </row>
        <row r="7">
          <cell r="A7" t="str">
            <v>Cu PVC PVC42C+E</v>
          </cell>
          <cell r="B7" t="str">
            <v>Cu PVC PVC</v>
          </cell>
          <cell r="C7">
            <v>4</v>
          </cell>
          <cell r="D7" t="str">
            <v>2C+E</v>
          </cell>
          <cell r="E7">
            <v>14</v>
          </cell>
          <cell r="F7">
            <v>33</v>
          </cell>
          <cell r="G7">
            <v>55</v>
          </cell>
        </row>
        <row r="8">
          <cell r="A8" t="str">
            <v>Cu PVC PVC62C+E</v>
          </cell>
          <cell r="B8" t="str">
            <v>Cu PVC PVC</v>
          </cell>
          <cell r="C8">
            <v>6</v>
          </cell>
          <cell r="D8" t="str">
            <v>2C+E</v>
          </cell>
          <cell r="E8">
            <v>16.5</v>
          </cell>
          <cell r="F8">
            <v>43</v>
          </cell>
          <cell r="G8">
            <v>65</v>
          </cell>
        </row>
        <row r="9">
          <cell r="A9" t="str">
            <v>Cu PVC PVC102C+E</v>
          </cell>
          <cell r="B9" t="str">
            <v>Cu PVC PVC</v>
          </cell>
          <cell r="C9">
            <v>10</v>
          </cell>
          <cell r="D9" t="str">
            <v>2C+E</v>
          </cell>
          <cell r="E9">
            <v>18.600000000000001</v>
          </cell>
          <cell r="F9">
            <v>59</v>
          </cell>
          <cell r="G9">
            <v>75</v>
          </cell>
        </row>
        <row r="10">
          <cell r="A10" t="str">
            <v>Cu PVC PVC162C+E</v>
          </cell>
          <cell r="B10" t="str">
            <v>Cu PVC PVC</v>
          </cell>
          <cell r="C10">
            <v>16</v>
          </cell>
          <cell r="D10" t="str">
            <v>2C+E</v>
          </cell>
          <cell r="E10">
            <v>20.966666666666701</v>
          </cell>
          <cell r="F10">
            <v>71</v>
          </cell>
          <cell r="G10">
            <v>85</v>
          </cell>
        </row>
        <row r="11">
          <cell r="A11" t="str">
            <v>Cu PVC PVC252C+E</v>
          </cell>
          <cell r="B11" t="str">
            <v>Cu PVC PVC</v>
          </cell>
          <cell r="C11">
            <v>25</v>
          </cell>
          <cell r="D11" t="str">
            <v>2C+E</v>
          </cell>
          <cell r="E11">
            <v>23.266666666666701</v>
          </cell>
          <cell r="F11">
            <v>84</v>
          </cell>
          <cell r="G11">
            <v>95</v>
          </cell>
        </row>
        <row r="12">
          <cell r="A12" t="str">
            <v>Cu PVC PVC352C+E</v>
          </cell>
          <cell r="B12" t="str">
            <v>Cu PVC PVC</v>
          </cell>
          <cell r="C12">
            <v>35</v>
          </cell>
          <cell r="D12" t="str">
            <v>2C+E</v>
          </cell>
          <cell r="E12">
            <v>25.566666666666698</v>
          </cell>
          <cell r="F12">
            <v>97</v>
          </cell>
          <cell r="G12">
            <v>105</v>
          </cell>
        </row>
        <row r="13">
          <cell r="A13" t="str">
            <v>Cu PVC PVC502C+E</v>
          </cell>
          <cell r="B13" t="str">
            <v>Cu PVC PVC</v>
          </cell>
          <cell r="C13">
            <v>50</v>
          </cell>
          <cell r="D13" t="str">
            <v>2C+E</v>
          </cell>
          <cell r="E13">
            <v>27.866666666666699</v>
          </cell>
          <cell r="F13">
            <v>110</v>
          </cell>
          <cell r="G13">
            <v>115</v>
          </cell>
        </row>
        <row r="14">
          <cell r="A14" t="str">
            <v>Cu PVC PVC702C+E</v>
          </cell>
          <cell r="B14" t="str">
            <v>Cu PVC PVC</v>
          </cell>
          <cell r="C14">
            <v>70</v>
          </cell>
          <cell r="D14" t="str">
            <v>2C+E</v>
          </cell>
          <cell r="E14">
            <v>30.1666666666667</v>
          </cell>
          <cell r="F14">
            <v>123</v>
          </cell>
          <cell r="G14">
            <v>125</v>
          </cell>
        </row>
        <row r="15">
          <cell r="A15" t="str">
            <v>Cu PVC PVC952C+E</v>
          </cell>
          <cell r="B15" t="str">
            <v>Cu PVC PVC</v>
          </cell>
          <cell r="C15">
            <v>95</v>
          </cell>
          <cell r="D15" t="str">
            <v>2C+E</v>
          </cell>
          <cell r="E15">
            <v>32.466666666666697</v>
          </cell>
          <cell r="F15">
            <v>136</v>
          </cell>
          <cell r="G15">
            <v>135</v>
          </cell>
        </row>
        <row r="16">
          <cell r="A16" t="str">
            <v>Cu PVC PVC1202C+E</v>
          </cell>
          <cell r="B16" t="str">
            <v>Cu PVC PVC</v>
          </cell>
          <cell r="C16">
            <v>120</v>
          </cell>
          <cell r="D16" t="str">
            <v>2C+E</v>
          </cell>
          <cell r="E16">
            <v>34.766666666666701</v>
          </cell>
          <cell r="F16">
            <v>149</v>
          </cell>
          <cell r="G16">
            <v>145</v>
          </cell>
        </row>
        <row r="17">
          <cell r="A17" t="str">
            <v>Cu PVC PVC1502C+E</v>
          </cell>
          <cell r="B17" t="str">
            <v>Cu PVC PVC</v>
          </cell>
          <cell r="C17">
            <v>150</v>
          </cell>
          <cell r="D17" t="str">
            <v>2C+E</v>
          </cell>
          <cell r="E17">
            <v>37.066666666666698</v>
          </cell>
          <cell r="F17">
            <v>162</v>
          </cell>
          <cell r="G17">
            <v>155</v>
          </cell>
        </row>
        <row r="18">
          <cell r="A18" t="str">
            <v>Cu PVC PVC1852C+E</v>
          </cell>
          <cell r="B18" t="str">
            <v>Cu PVC PVC</v>
          </cell>
          <cell r="C18">
            <v>185</v>
          </cell>
          <cell r="D18" t="str">
            <v>2C+E</v>
          </cell>
          <cell r="E18">
            <v>39.366666666666703</v>
          </cell>
          <cell r="F18">
            <v>175</v>
          </cell>
          <cell r="G18">
            <v>165</v>
          </cell>
        </row>
        <row r="19">
          <cell r="A19" t="str">
            <v>Cu PVC PVC13C+E</v>
          </cell>
          <cell r="B19" t="str">
            <v>Cu PVC PVC</v>
          </cell>
          <cell r="C19">
            <v>1</v>
          </cell>
          <cell r="D19" t="str">
            <v>3C+E</v>
          </cell>
          <cell r="E19">
            <v>11</v>
          </cell>
          <cell r="F19">
            <v>18</v>
          </cell>
          <cell r="G19">
            <v>45</v>
          </cell>
        </row>
        <row r="20">
          <cell r="A20" t="str">
            <v>Cu PVC PVC1.53C+E</v>
          </cell>
          <cell r="B20" t="str">
            <v>Cu PVC PVC</v>
          </cell>
          <cell r="C20">
            <v>1.5</v>
          </cell>
          <cell r="D20" t="str">
            <v>3C+E</v>
          </cell>
          <cell r="E20">
            <v>11.3</v>
          </cell>
          <cell r="F20">
            <v>18</v>
          </cell>
          <cell r="G20">
            <v>45</v>
          </cell>
        </row>
        <row r="21">
          <cell r="A21" t="str">
            <v>Cu PVC PVC2.53C+E</v>
          </cell>
          <cell r="B21" t="str">
            <v>Cu PVC PVC</v>
          </cell>
          <cell r="C21">
            <v>2.5</v>
          </cell>
          <cell r="D21" t="str">
            <v>3C+E</v>
          </cell>
          <cell r="E21">
            <v>12.3</v>
          </cell>
          <cell r="F21">
            <v>25</v>
          </cell>
          <cell r="G21">
            <v>50</v>
          </cell>
        </row>
        <row r="22">
          <cell r="A22" t="str">
            <v>Cu PVC PVC43C+E</v>
          </cell>
          <cell r="B22" t="str">
            <v>Cu PVC PVC</v>
          </cell>
          <cell r="C22">
            <v>4</v>
          </cell>
          <cell r="D22" t="str">
            <v>3C+E</v>
          </cell>
          <cell r="E22">
            <v>14.4</v>
          </cell>
          <cell r="F22">
            <v>33</v>
          </cell>
          <cell r="G22">
            <v>55</v>
          </cell>
        </row>
        <row r="23">
          <cell r="A23" t="str">
            <v>Cu PVC PVC63C+E</v>
          </cell>
          <cell r="B23" t="str">
            <v>Cu PVC PVC</v>
          </cell>
          <cell r="C23">
            <v>6</v>
          </cell>
          <cell r="D23" t="str">
            <v>3C+E</v>
          </cell>
          <cell r="E23">
            <v>15.6</v>
          </cell>
          <cell r="F23">
            <v>39</v>
          </cell>
          <cell r="G23">
            <v>60</v>
          </cell>
        </row>
        <row r="24">
          <cell r="A24" t="str">
            <v>Cu PVC PVC103C+E</v>
          </cell>
          <cell r="B24" t="str">
            <v>Cu PVC PVC</v>
          </cell>
          <cell r="C24">
            <v>10</v>
          </cell>
          <cell r="D24" t="str">
            <v>3C+E</v>
          </cell>
          <cell r="E24">
            <v>18.399999999999999</v>
          </cell>
          <cell r="F24">
            <v>57</v>
          </cell>
          <cell r="G24">
            <v>70</v>
          </cell>
        </row>
        <row r="25">
          <cell r="A25" t="str">
            <v>Cu PVC PVC163C+E</v>
          </cell>
          <cell r="B25" t="str">
            <v>Cu PVC PVC</v>
          </cell>
          <cell r="C25">
            <v>16</v>
          </cell>
          <cell r="D25" t="str">
            <v>3C+E</v>
          </cell>
          <cell r="E25">
            <v>20.7</v>
          </cell>
          <cell r="F25">
            <v>80</v>
          </cell>
          <cell r="G25">
            <v>80</v>
          </cell>
        </row>
        <row r="26">
          <cell r="A26" t="str">
            <v>Cu PVC PVC253C+E</v>
          </cell>
          <cell r="B26" t="str">
            <v>Cu PVC PVC</v>
          </cell>
          <cell r="C26">
            <v>25</v>
          </cell>
          <cell r="D26" t="str">
            <v>3C+E</v>
          </cell>
          <cell r="E26">
            <v>23.8</v>
          </cell>
          <cell r="F26">
            <v>113</v>
          </cell>
          <cell r="G26">
            <v>100</v>
          </cell>
        </row>
        <row r="27">
          <cell r="A27" t="str">
            <v>Cu PVC PVC353C+E</v>
          </cell>
          <cell r="B27" t="str">
            <v>Cu PVC PVC</v>
          </cell>
          <cell r="C27">
            <v>35</v>
          </cell>
          <cell r="D27" t="str">
            <v>3C+E</v>
          </cell>
          <cell r="E27">
            <v>26.5</v>
          </cell>
          <cell r="F27">
            <v>148</v>
          </cell>
          <cell r="G27">
            <v>160</v>
          </cell>
        </row>
        <row r="28">
          <cell r="A28" t="str">
            <v>Cu PVC PVC503C+E</v>
          </cell>
          <cell r="B28" t="str">
            <v>Cu PVC PVC</v>
          </cell>
          <cell r="C28">
            <v>50</v>
          </cell>
          <cell r="D28" t="str">
            <v>3C+E</v>
          </cell>
          <cell r="E28">
            <v>30.6</v>
          </cell>
          <cell r="F28">
            <v>202</v>
          </cell>
          <cell r="G28">
            <v>190</v>
          </cell>
        </row>
        <row r="29">
          <cell r="A29" t="str">
            <v>Cu PVC PVC703C+E</v>
          </cell>
          <cell r="B29" t="str">
            <v>Cu PVC PVC</v>
          </cell>
          <cell r="C29">
            <v>70</v>
          </cell>
          <cell r="D29" t="str">
            <v>3C+E</v>
          </cell>
          <cell r="E29">
            <v>34.700000000000003</v>
          </cell>
          <cell r="F29">
            <v>275</v>
          </cell>
          <cell r="G29">
            <v>210</v>
          </cell>
        </row>
        <row r="30">
          <cell r="A30" t="str">
            <v>Cu PVC PVC953C+E</v>
          </cell>
          <cell r="B30" t="str">
            <v>Cu PVC PVC</v>
          </cell>
          <cell r="C30">
            <v>95</v>
          </cell>
          <cell r="D30" t="str">
            <v>3C+E</v>
          </cell>
          <cell r="E30">
            <v>39.5</v>
          </cell>
          <cell r="F30">
            <v>368</v>
          </cell>
          <cell r="G30">
            <v>240</v>
          </cell>
        </row>
        <row r="31">
          <cell r="A31" t="str">
            <v>Cu PVC PVC1203C+E</v>
          </cell>
          <cell r="B31" t="str">
            <v>Cu PVC PVC</v>
          </cell>
          <cell r="C31">
            <v>120</v>
          </cell>
          <cell r="D31" t="str">
            <v>3C+E</v>
          </cell>
          <cell r="E31">
            <v>43.2</v>
          </cell>
          <cell r="F31">
            <v>452</v>
          </cell>
          <cell r="G31">
            <v>260</v>
          </cell>
        </row>
        <row r="32">
          <cell r="A32" t="str">
            <v>Cu PVC PVC1503C+E</v>
          </cell>
          <cell r="B32" t="str">
            <v>Cu PVC PVC</v>
          </cell>
          <cell r="C32">
            <v>150</v>
          </cell>
          <cell r="D32" t="str">
            <v>3C+E</v>
          </cell>
          <cell r="E32">
            <v>28.4</v>
          </cell>
          <cell r="F32">
            <v>565</v>
          </cell>
          <cell r="G32">
            <v>300</v>
          </cell>
        </row>
        <row r="33">
          <cell r="A33" t="str">
            <v>Cu PVC PVC1853C+E</v>
          </cell>
          <cell r="B33" t="str">
            <v>Cu PVC PVC</v>
          </cell>
          <cell r="C33">
            <v>185</v>
          </cell>
          <cell r="D33" t="str">
            <v>3C+E</v>
          </cell>
          <cell r="E33">
            <v>53.7</v>
          </cell>
          <cell r="F33">
            <v>706</v>
          </cell>
          <cell r="G33">
            <v>320</v>
          </cell>
        </row>
        <row r="34">
          <cell r="A34" t="str">
            <v>Cu PVC PVC2403C+E</v>
          </cell>
          <cell r="B34" t="str">
            <v>Cu PVC PVC</v>
          </cell>
          <cell r="C34">
            <v>240</v>
          </cell>
          <cell r="D34" t="str">
            <v>3C+E</v>
          </cell>
          <cell r="E34">
            <v>61</v>
          </cell>
          <cell r="F34">
            <v>926</v>
          </cell>
          <cell r="G34">
            <v>370</v>
          </cell>
        </row>
        <row r="35">
          <cell r="A35" t="str">
            <v>Cu PVC PVC3003C+E</v>
          </cell>
          <cell r="B35" t="str">
            <v>Cu PVC PVC</v>
          </cell>
          <cell r="C35">
            <v>300</v>
          </cell>
          <cell r="D35" t="str">
            <v>3C+E</v>
          </cell>
          <cell r="E35">
            <v>67.599999999999994</v>
          </cell>
          <cell r="F35">
            <v>1150</v>
          </cell>
          <cell r="G35">
            <v>410</v>
          </cell>
        </row>
        <row r="36">
          <cell r="A36" t="str">
            <v>Cu PVC PVC4003C+E</v>
          </cell>
          <cell r="B36" t="str">
            <v>Cu PVC PVC</v>
          </cell>
          <cell r="C36">
            <v>400</v>
          </cell>
          <cell r="D36" t="str">
            <v>3C+E</v>
          </cell>
          <cell r="E36">
            <v>72</v>
          </cell>
          <cell r="F36">
            <v>1220</v>
          </cell>
          <cell r="G36">
            <v>470</v>
          </cell>
        </row>
        <row r="37">
          <cell r="A37" t="str">
            <v>Cu PVC PVC5003C+E</v>
          </cell>
          <cell r="B37" t="str">
            <v>Cu PVC PVC</v>
          </cell>
          <cell r="C37">
            <v>500</v>
          </cell>
          <cell r="D37" t="str">
            <v>3C+E</v>
          </cell>
          <cell r="E37">
            <v>82</v>
          </cell>
          <cell r="F37">
            <v>1300</v>
          </cell>
          <cell r="G37">
            <v>520</v>
          </cell>
        </row>
        <row r="38">
          <cell r="A38" t="str">
            <v>Cu PVC PVC6303C+E</v>
          </cell>
          <cell r="B38" t="str">
            <v>Cu PVC PVC</v>
          </cell>
          <cell r="C38">
            <v>630</v>
          </cell>
          <cell r="D38" t="str">
            <v>3C+E</v>
          </cell>
          <cell r="E38">
            <v>92</v>
          </cell>
          <cell r="F38">
            <v>1450</v>
          </cell>
          <cell r="G38">
            <v>600</v>
          </cell>
        </row>
        <row r="39">
          <cell r="A39" t="str">
            <v>Cu XLPE PVC1.52C+E</v>
          </cell>
          <cell r="B39" t="str">
            <v>Cu XLPE PVC</v>
          </cell>
          <cell r="C39">
            <v>1.5</v>
          </cell>
          <cell r="D39" t="str">
            <v>2C+E</v>
          </cell>
          <cell r="E39">
            <v>10.1</v>
          </cell>
          <cell r="F39">
            <v>14</v>
          </cell>
          <cell r="G39">
            <v>41</v>
          </cell>
        </row>
        <row r="40">
          <cell r="A40" t="str">
            <v>Cu XLPE PVC2.52C+E</v>
          </cell>
          <cell r="B40" t="str">
            <v>Cu XLPE PVC</v>
          </cell>
          <cell r="C40">
            <v>2.5</v>
          </cell>
          <cell r="D40" t="str">
            <v>2C+E</v>
          </cell>
          <cell r="E40">
            <v>11.3</v>
          </cell>
          <cell r="F40">
            <v>19</v>
          </cell>
          <cell r="G40">
            <v>46</v>
          </cell>
        </row>
        <row r="41">
          <cell r="A41" t="str">
            <v>Cu XLPE PVC42C+E</v>
          </cell>
          <cell r="B41" t="str">
            <v>Cu XLPE PVC</v>
          </cell>
          <cell r="C41">
            <v>4</v>
          </cell>
          <cell r="D41" t="str">
            <v>2C+E</v>
          </cell>
          <cell r="E41">
            <v>12.2</v>
          </cell>
          <cell r="F41">
            <v>23</v>
          </cell>
          <cell r="G41">
            <v>49</v>
          </cell>
        </row>
        <row r="42">
          <cell r="A42" t="str">
            <v>Cu XLPE PVC62C+E</v>
          </cell>
          <cell r="B42" t="str">
            <v>Cu XLPE PVC</v>
          </cell>
          <cell r="C42">
            <v>6</v>
          </cell>
          <cell r="D42" t="str">
            <v>2C+E</v>
          </cell>
          <cell r="E42">
            <v>13.2</v>
          </cell>
          <cell r="F42">
            <v>29</v>
          </cell>
          <cell r="G42">
            <v>53</v>
          </cell>
        </row>
        <row r="43">
          <cell r="A43" t="str">
            <v>Cu XLPE PVC102C+E</v>
          </cell>
          <cell r="B43" t="str">
            <v>Cu XLPE PVC</v>
          </cell>
          <cell r="C43">
            <v>10</v>
          </cell>
          <cell r="D43" t="str">
            <v>2C+E</v>
          </cell>
          <cell r="E43">
            <v>15.1</v>
          </cell>
          <cell r="F43">
            <v>41</v>
          </cell>
          <cell r="G43">
            <v>61</v>
          </cell>
        </row>
        <row r="44">
          <cell r="A44" t="str">
            <v>Cu XLPE PVC162C+E</v>
          </cell>
          <cell r="B44" t="str">
            <v>Cu XLPE PVC</v>
          </cell>
          <cell r="C44">
            <v>16</v>
          </cell>
          <cell r="D44" t="str">
            <v>2C+E</v>
          </cell>
          <cell r="E44">
            <v>17.399999999999999</v>
          </cell>
          <cell r="F44">
            <v>54</v>
          </cell>
          <cell r="G44">
            <v>70</v>
          </cell>
        </row>
        <row r="45">
          <cell r="A45" t="str">
            <v>Cu XLPE PVC252C+E</v>
          </cell>
          <cell r="B45" t="str">
            <v>Cu XLPE PVC</v>
          </cell>
          <cell r="C45">
            <v>25</v>
          </cell>
          <cell r="D45" t="str">
            <v>2C+E</v>
          </cell>
          <cell r="E45">
            <v>21</v>
          </cell>
          <cell r="F45">
            <v>75.400000000000006</v>
          </cell>
          <cell r="G45">
            <v>85</v>
          </cell>
        </row>
        <row r="46">
          <cell r="A46" t="str">
            <v>Cu XLPE PVC43C+E</v>
          </cell>
          <cell r="B46" t="str">
            <v>Cu XLPE PVC</v>
          </cell>
          <cell r="C46">
            <v>4</v>
          </cell>
          <cell r="D46" t="str">
            <v>3C+E</v>
          </cell>
          <cell r="E46">
            <v>14</v>
          </cell>
          <cell r="F46">
            <v>35</v>
          </cell>
          <cell r="G46">
            <v>55</v>
          </cell>
        </row>
        <row r="47">
          <cell r="A47" t="str">
            <v>Cu XLPE PVC63C+E</v>
          </cell>
          <cell r="B47" t="str">
            <v>Cu XLPE PVC</v>
          </cell>
          <cell r="C47">
            <v>6</v>
          </cell>
          <cell r="D47" t="str">
            <v>3C+E</v>
          </cell>
          <cell r="E47">
            <v>15.1</v>
          </cell>
          <cell r="F47">
            <v>41</v>
          </cell>
          <cell r="G47">
            <v>61</v>
          </cell>
        </row>
        <row r="48">
          <cell r="A48" t="str">
            <v>Cu XLPE PVC103C+E</v>
          </cell>
          <cell r="B48" t="str">
            <v>Cu XLPE PVC</v>
          </cell>
          <cell r="C48">
            <v>10</v>
          </cell>
          <cell r="D48" t="str">
            <v>3C+E</v>
          </cell>
          <cell r="E48">
            <v>17.399999999999999</v>
          </cell>
          <cell r="F48">
            <v>54</v>
          </cell>
          <cell r="G48">
            <v>70</v>
          </cell>
        </row>
        <row r="49">
          <cell r="A49" t="str">
            <v>Cu XLPE PVC163C+E</v>
          </cell>
          <cell r="B49" t="str">
            <v>Cu XLPE PVC</v>
          </cell>
          <cell r="C49">
            <v>16</v>
          </cell>
          <cell r="D49" t="str">
            <v>3C+E</v>
          </cell>
          <cell r="E49">
            <v>21</v>
          </cell>
          <cell r="F49">
            <v>75.400000000000006</v>
          </cell>
          <cell r="G49">
            <v>85</v>
          </cell>
        </row>
        <row r="50">
          <cell r="A50" t="str">
            <v>Cu XLPE PVC253C+E</v>
          </cell>
          <cell r="B50" t="str">
            <v>Cu XLPE PVC</v>
          </cell>
          <cell r="C50">
            <v>25</v>
          </cell>
          <cell r="D50" t="str">
            <v>3C+E</v>
          </cell>
          <cell r="E50">
            <v>22.4</v>
          </cell>
          <cell r="F50">
            <v>102</v>
          </cell>
          <cell r="G50">
            <v>90</v>
          </cell>
        </row>
        <row r="51">
          <cell r="A51" t="str">
            <v>Cu XLPE PVC353C+E</v>
          </cell>
          <cell r="B51" t="str">
            <v>Cu XLPE PVC</v>
          </cell>
          <cell r="C51">
            <v>35</v>
          </cell>
          <cell r="D51" t="str">
            <v>3C+E</v>
          </cell>
          <cell r="E51">
            <v>25</v>
          </cell>
          <cell r="F51">
            <v>136</v>
          </cell>
          <cell r="G51">
            <v>150</v>
          </cell>
        </row>
        <row r="52">
          <cell r="A52" t="str">
            <v>Cu XLPE PVC503C+E</v>
          </cell>
          <cell r="B52" t="str">
            <v>Cu XLPE PVC</v>
          </cell>
          <cell r="C52">
            <v>50</v>
          </cell>
          <cell r="D52" t="str">
            <v>3C+E</v>
          </cell>
          <cell r="E52">
            <v>28.5</v>
          </cell>
          <cell r="F52">
            <v>183</v>
          </cell>
          <cell r="G52">
            <v>170</v>
          </cell>
        </row>
        <row r="53">
          <cell r="A53" t="str">
            <v>Cu XLPE PVC703C+E</v>
          </cell>
          <cell r="B53" t="str">
            <v>Cu XLPE PVC</v>
          </cell>
          <cell r="C53">
            <v>70</v>
          </cell>
          <cell r="D53" t="str">
            <v>3C+E</v>
          </cell>
          <cell r="E53">
            <v>33</v>
          </cell>
          <cell r="F53">
            <v>254</v>
          </cell>
          <cell r="G53">
            <v>200</v>
          </cell>
        </row>
        <row r="54">
          <cell r="A54" t="str">
            <v>Cu XLPE PVC953C+E</v>
          </cell>
          <cell r="B54" t="str">
            <v>Cu XLPE PVC</v>
          </cell>
          <cell r="C54">
            <v>95</v>
          </cell>
          <cell r="D54" t="str">
            <v>3C+E</v>
          </cell>
          <cell r="E54">
            <v>37</v>
          </cell>
          <cell r="F54">
            <v>336</v>
          </cell>
          <cell r="G54">
            <v>220</v>
          </cell>
        </row>
        <row r="55">
          <cell r="A55" t="str">
            <v>Cu XLPE PVC1203C+E</v>
          </cell>
          <cell r="B55" t="str">
            <v>Cu XLPE PVC</v>
          </cell>
          <cell r="C55">
            <v>120</v>
          </cell>
          <cell r="D55" t="str">
            <v>3C+E</v>
          </cell>
          <cell r="E55">
            <v>41</v>
          </cell>
          <cell r="F55">
            <v>422</v>
          </cell>
          <cell r="G55">
            <v>245</v>
          </cell>
        </row>
        <row r="56">
          <cell r="A56" t="str">
            <v>Cu XLPE PVC1503C+E</v>
          </cell>
          <cell r="B56" t="str">
            <v>Cu XLPE PVC</v>
          </cell>
          <cell r="C56">
            <v>150</v>
          </cell>
          <cell r="D56" t="str">
            <v>3C+E</v>
          </cell>
          <cell r="E56">
            <v>46</v>
          </cell>
          <cell r="F56">
            <v>525</v>
          </cell>
          <cell r="G56">
            <v>275</v>
          </cell>
        </row>
        <row r="57">
          <cell r="A57" t="str">
            <v>Cu XLPE PVC1853C+E</v>
          </cell>
          <cell r="B57" t="str">
            <v>Cu XLPE PVC</v>
          </cell>
          <cell r="C57">
            <v>185</v>
          </cell>
          <cell r="D57" t="str">
            <v>3C+E</v>
          </cell>
          <cell r="E57">
            <v>51.6</v>
          </cell>
          <cell r="F57">
            <v>665</v>
          </cell>
          <cell r="G57">
            <v>310</v>
          </cell>
        </row>
        <row r="58">
          <cell r="A58" t="str">
            <v>Cu XLPE PVC2403C+E</v>
          </cell>
          <cell r="B58" t="str">
            <v>Cu XLPE PVC</v>
          </cell>
          <cell r="C58">
            <v>240</v>
          </cell>
          <cell r="D58" t="str">
            <v>3C+E</v>
          </cell>
          <cell r="E58">
            <v>58.1</v>
          </cell>
          <cell r="F58">
            <v>868</v>
          </cell>
          <cell r="G58">
            <v>350</v>
          </cell>
        </row>
        <row r="59">
          <cell r="A59" t="str">
            <v>Cu XLPE PVC3003C+E</v>
          </cell>
          <cell r="B59" t="str">
            <v>Cu XLPE PVC</v>
          </cell>
          <cell r="C59">
            <v>300</v>
          </cell>
          <cell r="D59" t="str">
            <v>3C+E</v>
          </cell>
          <cell r="E59">
            <v>64.400000000000006</v>
          </cell>
          <cell r="F59">
            <v>1084</v>
          </cell>
          <cell r="G59">
            <v>385</v>
          </cell>
        </row>
        <row r="60">
          <cell r="A60" t="str">
            <v>Cu XLPE PVC4003C+E</v>
          </cell>
          <cell r="B60" t="str">
            <v>Cu XLPE PVC</v>
          </cell>
          <cell r="C60">
            <v>400</v>
          </cell>
          <cell r="D60" t="str">
            <v>3C+E</v>
          </cell>
          <cell r="E60">
            <v>70.8333333333333</v>
          </cell>
          <cell r="F60">
            <v>1291.3333333333301</v>
          </cell>
          <cell r="G60">
            <v>423.33333333333297</v>
          </cell>
        </row>
        <row r="61">
          <cell r="A61" t="str">
            <v>Cu XLPE PVC5003C+E</v>
          </cell>
          <cell r="B61" t="str">
            <v>Cu XLPE PVC</v>
          </cell>
          <cell r="C61">
            <v>500</v>
          </cell>
          <cell r="D61" t="str">
            <v>3C+E</v>
          </cell>
          <cell r="E61">
            <v>77.233333333333306</v>
          </cell>
          <cell r="F61">
            <v>1500.8333333333301</v>
          </cell>
          <cell r="G61">
            <v>460.83333333333297</v>
          </cell>
        </row>
        <row r="62">
          <cell r="A62" t="str">
            <v>Cu XLPE PVC6303C+E</v>
          </cell>
          <cell r="B62" t="str">
            <v>Cu XLPE PVC</v>
          </cell>
          <cell r="C62">
            <v>630</v>
          </cell>
          <cell r="D62" t="str">
            <v>3C+E</v>
          </cell>
          <cell r="E62">
            <v>83.633333333333297</v>
          </cell>
          <cell r="F62">
            <v>1710.3333333333301</v>
          </cell>
          <cell r="G62">
            <v>498.33333333333297</v>
          </cell>
        </row>
        <row r="63">
          <cell r="A63" t="str">
            <v/>
          </cell>
        </row>
        <row r="64">
          <cell r="A64" t="str">
            <v>Cu XLPE PVC SCN PVC43C+3E</v>
          </cell>
          <cell r="B64" t="str">
            <v>Cu XLPE PVC SCN PVC</v>
          </cell>
          <cell r="C64">
            <v>4</v>
          </cell>
          <cell r="D64" t="str">
            <v>3C+3E</v>
          </cell>
          <cell r="E64">
            <v>16.5</v>
          </cell>
          <cell r="F64">
            <v>41</v>
          </cell>
          <cell r="G64">
            <v>49</v>
          </cell>
        </row>
        <row r="65">
          <cell r="A65" t="str">
            <v>Cu XLPE PVC SCN PVC63C+3E</v>
          </cell>
          <cell r="B65" t="str">
            <v>Cu XLPE PVC SCN PVC</v>
          </cell>
          <cell r="C65">
            <v>6</v>
          </cell>
          <cell r="D65" t="str">
            <v>3C+3E</v>
          </cell>
          <cell r="E65">
            <v>17.399999999999999</v>
          </cell>
          <cell r="F65">
            <v>49</v>
          </cell>
          <cell r="G65">
            <v>53</v>
          </cell>
        </row>
        <row r="66">
          <cell r="A66" t="str">
            <v>Cu XLPE PVC SCN PVC103C+3E</v>
          </cell>
          <cell r="B66" t="str">
            <v>Cu XLPE PVC SCN PVC</v>
          </cell>
          <cell r="C66">
            <v>10</v>
          </cell>
          <cell r="D66" t="str">
            <v>3C+3E</v>
          </cell>
          <cell r="E66">
            <v>18.399999999999999</v>
          </cell>
          <cell r="F66">
            <v>62</v>
          </cell>
          <cell r="G66">
            <v>61</v>
          </cell>
        </row>
        <row r="67">
          <cell r="A67" t="str">
            <v>Cu XLPE PVC SCN PVC163C+3E</v>
          </cell>
          <cell r="B67" t="str">
            <v>Cu XLPE PVC SCN PVC</v>
          </cell>
          <cell r="C67">
            <v>16</v>
          </cell>
          <cell r="D67" t="str">
            <v>3C+3E</v>
          </cell>
          <cell r="E67">
            <v>20.3</v>
          </cell>
          <cell r="F67">
            <v>86</v>
          </cell>
          <cell r="G67">
            <v>70</v>
          </cell>
        </row>
        <row r="68">
          <cell r="A68" t="str">
            <v>Cu XLPE PVC SCN PVC253C+3E</v>
          </cell>
          <cell r="B68" t="str">
            <v>Cu XLPE PVC SCN PVC</v>
          </cell>
          <cell r="C68">
            <v>25</v>
          </cell>
          <cell r="D68" t="str">
            <v>3C+3E</v>
          </cell>
          <cell r="E68">
            <v>22.8</v>
          </cell>
          <cell r="F68">
            <v>122</v>
          </cell>
          <cell r="G68">
            <v>85</v>
          </cell>
        </row>
        <row r="69">
          <cell r="A69" t="str">
            <v>Cu XLPE PVC SCN PVC353C+3E</v>
          </cell>
          <cell r="B69" t="str">
            <v>Cu XLPE PVC SCN PVC</v>
          </cell>
          <cell r="C69">
            <v>35</v>
          </cell>
          <cell r="D69" t="str">
            <v>3C+3E</v>
          </cell>
          <cell r="E69">
            <v>25.6</v>
          </cell>
          <cell r="F69">
            <v>162</v>
          </cell>
          <cell r="G69">
            <v>150</v>
          </cell>
        </row>
        <row r="70">
          <cell r="A70" t="str">
            <v>Cu XLPE PVC SCN PVC503C+3E</v>
          </cell>
          <cell r="B70" t="str">
            <v>Cu XLPE PVC SCN PVC</v>
          </cell>
          <cell r="C70">
            <v>50</v>
          </cell>
          <cell r="D70" t="str">
            <v>3C+3E</v>
          </cell>
          <cell r="E70">
            <v>28.8</v>
          </cell>
          <cell r="F70">
            <v>215</v>
          </cell>
          <cell r="G70">
            <v>170</v>
          </cell>
        </row>
        <row r="71">
          <cell r="A71" t="str">
            <v>Cu XLPE PVC SCN PVC703C+3E</v>
          </cell>
          <cell r="B71" t="str">
            <v>Cu XLPE PVC SCN PVC</v>
          </cell>
          <cell r="C71">
            <v>70</v>
          </cell>
          <cell r="D71" t="str">
            <v>3C+3E</v>
          </cell>
          <cell r="E71">
            <v>32.1</v>
          </cell>
          <cell r="F71">
            <v>280</v>
          </cell>
          <cell r="G71">
            <v>200</v>
          </cell>
        </row>
        <row r="72">
          <cell r="A72" t="str">
            <v>Cu XLPE PVC SCN PVC953C+3E</v>
          </cell>
          <cell r="B72" t="str">
            <v>Cu XLPE PVC SCN PVC</v>
          </cell>
          <cell r="C72">
            <v>95</v>
          </cell>
          <cell r="D72" t="str">
            <v>3C+3E</v>
          </cell>
          <cell r="E72">
            <v>36.9</v>
          </cell>
          <cell r="F72">
            <v>385</v>
          </cell>
          <cell r="G72">
            <v>220</v>
          </cell>
        </row>
        <row r="73">
          <cell r="A73" t="str">
            <v>Cu XLPE PVC SCN PVC1203C+3E</v>
          </cell>
          <cell r="B73" t="str">
            <v>Cu XLPE PVC SCN PVC</v>
          </cell>
          <cell r="C73">
            <v>120</v>
          </cell>
          <cell r="D73" t="str">
            <v>3C+3E</v>
          </cell>
          <cell r="E73">
            <v>42</v>
          </cell>
          <cell r="F73">
            <v>465</v>
          </cell>
          <cell r="G73">
            <v>245</v>
          </cell>
        </row>
        <row r="74">
          <cell r="A74" t="str">
            <v>Cu XLPE PVC SCN PVC1503C+3E</v>
          </cell>
          <cell r="B74" t="str">
            <v>Cu XLPE PVC SCN PVC</v>
          </cell>
          <cell r="C74">
            <v>150</v>
          </cell>
          <cell r="D74" t="str">
            <v>3C+3E</v>
          </cell>
          <cell r="E74">
            <v>45.8</v>
          </cell>
          <cell r="F74">
            <v>582</v>
          </cell>
          <cell r="G74">
            <v>275</v>
          </cell>
        </row>
        <row r="75">
          <cell r="A75" t="str">
            <v>Cu XLPE PVC SCN PVC1853C+3E</v>
          </cell>
          <cell r="B75" t="str">
            <v>Cu XLPE PVC SCN PVC</v>
          </cell>
          <cell r="C75">
            <v>185</v>
          </cell>
          <cell r="D75" t="str">
            <v>3C+3E</v>
          </cell>
          <cell r="E75">
            <v>50.8</v>
          </cell>
          <cell r="F75">
            <v>703</v>
          </cell>
          <cell r="G75">
            <v>310</v>
          </cell>
        </row>
        <row r="76">
          <cell r="A76" t="str">
            <v>Cu XLPE PVC SCN PVC2403C+3E</v>
          </cell>
          <cell r="B76" t="str">
            <v>Cu XLPE PVC SCN PVC</v>
          </cell>
          <cell r="C76">
            <v>240</v>
          </cell>
          <cell r="D76" t="str">
            <v>3C+3E</v>
          </cell>
          <cell r="E76">
            <v>57.2</v>
          </cell>
          <cell r="F76">
            <v>915</v>
          </cell>
          <cell r="G76">
            <v>350</v>
          </cell>
        </row>
        <row r="77">
          <cell r="A77" t="str">
            <v>Cu XLPE PVC SCN PVC3003C+3E</v>
          </cell>
          <cell r="B77" t="str">
            <v>Cu XLPE PVC SCN PVC</v>
          </cell>
          <cell r="C77">
            <v>300</v>
          </cell>
          <cell r="D77" t="str">
            <v>3C+3E</v>
          </cell>
          <cell r="E77">
            <v>63.5</v>
          </cell>
          <cell r="F77">
            <v>1153</v>
          </cell>
          <cell r="G77">
            <v>385</v>
          </cell>
        </row>
        <row r="78">
          <cell r="A78" t="str">
            <v>Cu XLPE PVC SCN PVC4003C+3E</v>
          </cell>
          <cell r="B78" t="str">
            <v>Cu XLPE PVC SCN PVC</v>
          </cell>
          <cell r="C78">
            <v>400</v>
          </cell>
          <cell r="D78" t="str">
            <v>3C+3E</v>
          </cell>
          <cell r="E78">
            <v>70.8333333333333</v>
          </cell>
          <cell r="F78">
            <v>1291.3333333333301</v>
          </cell>
          <cell r="G78">
            <v>423.33333333333297</v>
          </cell>
        </row>
        <row r="79">
          <cell r="A79" t="str">
            <v>Cu XLPE PVC SCN PVC5003C+3E</v>
          </cell>
          <cell r="B79" t="str">
            <v>Cu XLPE PVC SCN PVC</v>
          </cell>
          <cell r="C79">
            <v>500</v>
          </cell>
          <cell r="D79" t="str">
            <v>3C+3E</v>
          </cell>
          <cell r="E79">
            <v>77.233333333333306</v>
          </cell>
          <cell r="F79">
            <v>1500.8333333333301</v>
          </cell>
          <cell r="G79">
            <v>460.83333333333297</v>
          </cell>
        </row>
        <row r="80">
          <cell r="A80" t="str">
            <v>Cu XLPE PVC SCN PVC6303C+3E</v>
          </cell>
          <cell r="B80" t="str">
            <v>Cu XLPE PVC SCN PVC</v>
          </cell>
          <cell r="C80">
            <v>630</v>
          </cell>
          <cell r="D80" t="str">
            <v>3C+3E</v>
          </cell>
          <cell r="E80">
            <v>83.633333333333297</v>
          </cell>
          <cell r="F80">
            <v>1710.3333333333301</v>
          </cell>
          <cell r="G80">
            <v>498.33333333333297</v>
          </cell>
        </row>
        <row r="81">
          <cell r="A81" t="str">
            <v/>
          </cell>
        </row>
        <row r="82">
          <cell r="A82" t="str">
            <v>Cu XLPE PVC SCN PVC43C+E</v>
          </cell>
          <cell r="B82" t="str">
            <v>Cu XLPE PVC SCN PVC</v>
          </cell>
          <cell r="C82">
            <v>4</v>
          </cell>
          <cell r="D82" t="str">
            <v>3C+E</v>
          </cell>
          <cell r="E82">
            <v>15</v>
          </cell>
          <cell r="F82">
            <v>40</v>
          </cell>
          <cell r="G82">
            <v>25</v>
          </cell>
        </row>
        <row r="83">
          <cell r="A83" t="str">
            <v>Cu XLPE PVC SCN PVC63C+E</v>
          </cell>
          <cell r="B83" t="str">
            <v>Cu XLPE PVC SCN PVC</v>
          </cell>
          <cell r="C83">
            <v>6</v>
          </cell>
          <cell r="D83" t="str">
            <v>3C+E</v>
          </cell>
          <cell r="E83">
            <v>16</v>
          </cell>
          <cell r="F83">
            <v>50</v>
          </cell>
          <cell r="G83">
            <v>40</v>
          </cell>
        </row>
        <row r="84">
          <cell r="A84" t="str">
            <v>Cu XLPE PVC SCN PVC103C+E</v>
          </cell>
          <cell r="B84" t="str">
            <v>Cu XLPE PVC SCN PVC</v>
          </cell>
          <cell r="C84">
            <v>10</v>
          </cell>
          <cell r="D84" t="str">
            <v>3C+E</v>
          </cell>
          <cell r="E84">
            <v>17</v>
          </cell>
          <cell r="F84">
            <v>60</v>
          </cell>
          <cell r="G84">
            <v>55</v>
          </cell>
        </row>
        <row r="85">
          <cell r="A85" t="str">
            <v>Cu XLPE PVC SCN PVC163C+E</v>
          </cell>
          <cell r="B85" t="str">
            <v>Cu XLPE PVC SCN PVC</v>
          </cell>
          <cell r="C85">
            <v>16</v>
          </cell>
          <cell r="D85" t="str">
            <v>3C+E</v>
          </cell>
          <cell r="E85">
            <v>18.600000000000001</v>
          </cell>
          <cell r="F85">
            <v>69</v>
          </cell>
          <cell r="G85">
            <v>70</v>
          </cell>
        </row>
        <row r="86">
          <cell r="A86" t="str">
            <v>Cu XLPE PVC SCN PVC253C+E</v>
          </cell>
          <cell r="B86" t="str">
            <v>Cu XLPE PVC SCN PVC</v>
          </cell>
          <cell r="C86">
            <v>25</v>
          </cell>
          <cell r="D86" t="str">
            <v>3C+E</v>
          </cell>
          <cell r="E86">
            <v>22.6</v>
          </cell>
          <cell r="F86">
            <v>104</v>
          </cell>
          <cell r="G86">
            <v>90</v>
          </cell>
        </row>
        <row r="87">
          <cell r="A87" t="str">
            <v>Cu XLPE PVC SCN PVC353C+E</v>
          </cell>
          <cell r="B87" t="str">
            <v>Cu XLPE PVC SCN PVC</v>
          </cell>
          <cell r="C87">
            <v>35</v>
          </cell>
          <cell r="D87" t="str">
            <v>3C+E</v>
          </cell>
          <cell r="E87">
            <v>25.3</v>
          </cell>
          <cell r="F87">
            <v>137</v>
          </cell>
          <cell r="G87">
            <v>150</v>
          </cell>
        </row>
        <row r="88">
          <cell r="A88" t="str">
            <v>Cu XLPE PVC SCN PVC503C+E</v>
          </cell>
          <cell r="B88" t="str">
            <v>Cu XLPE PVC SCN PVC</v>
          </cell>
          <cell r="C88">
            <v>50</v>
          </cell>
          <cell r="D88" t="str">
            <v>3C+E</v>
          </cell>
          <cell r="E88">
            <v>28.7</v>
          </cell>
          <cell r="F88">
            <v>185</v>
          </cell>
          <cell r="G88">
            <v>170</v>
          </cell>
        </row>
        <row r="89">
          <cell r="A89" t="str">
            <v>Cu XLPE PVC SCN PVC703C+E</v>
          </cell>
          <cell r="B89" t="str">
            <v>Cu XLPE PVC SCN PVC</v>
          </cell>
          <cell r="C89">
            <v>70</v>
          </cell>
          <cell r="D89" t="str">
            <v>3C+E</v>
          </cell>
          <cell r="E89">
            <v>33.299999999999997</v>
          </cell>
          <cell r="F89">
            <v>256</v>
          </cell>
          <cell r="G89">
            <v>200</v>
          </cell>
        </row>
        <row r="90">
          <cell r="A90" t="str">
            <v>Cu XLPE PVC SCN PVC953C+E</v>
          </cell>
          <cell r="B90" t="str">
            <v>Cu XLPE PVC SCN PVC</v>
          </cell>
          <cell r="C90">
            <v>95</v>
          </cell>
          <cell r="D90" t="str">
            <v>3C+E</v>
          </cell>
          <cell r="E90">
            <v>37.299999999999997</v>
          </cell>
          <cell r="F90">
            <v>339</v>
          </cell>
          <cell r="G90">
            <v>220</v>
          </cell>
        </row>
        <row r="91">
          <cell r="A91" t="str">
            <v>Cu XLPE PVC SCN PVC1203C+E</v>
          </cell>
          <cell r="B91" t="str">
            <v>Cu XLPE PVC SCN PVC</v>
          </cell>
          <cell r="C91">
            <v>120</v>
          </cell>
          <cell r="D91" t="str">
            <v>3C+E</v>
          </cell>
          <cell r="E91">
            <v>41.4</v>
          </cell>
          <cell r="F91">
            <v>425</v>
          </cell>
          <cell r="G91">
            <v>250</v>
          </cell>
        </row>
        <row r="92">
          <cell r="A92" t="str">
            <v>Cu XLPE PVC SCN PVC1503C+E</v>
          </cell>
          <cell r="B92" t="str">
            <v>Cu XLPE PVC SCN PVC</v>
          </cell>
          <cell r="C92">
            <v>150</v>
          </cell>
          <cell r="D92" t="str">
            <v>3C+E</v>
          </cell>
          <cell r="E92">
            <v>46.3</v>
          </cell>
          <cell r="F92">
            <v>528</v>
          </cell>
          <cell r="G92">
            <v>280</v>
          </cell>
        </row>
        <row r="93">
          <cell r="A93" t="str">
            <v>Cu XLPE PVC SCN PVC1853C+E</v>
          </cell>
          <cell r="B93" t="str">
            <v>Cu XLPE PVC SCN PVC</v>
          </cell>
          <cell r="C93">
            <v>185</v>
          </cell>
          <cell r="D93" t="str">
            <v>3C+E</v>
          </cell>
          <cell r="E93">
            <v>51.9</v>
          </cell>
          <cell r="F93">
            <v>669</v>
          </cell>
          <cell r="G93">
            <v>310</v>
          </cell>
        </row>
        <row r="94">
          <cell r="A94" t="str">
            <v>Cu XLPE PVC SCN PVC2403C+E</v>
          </cell>
          <cell r="B94" t="str">
            <v>Cu XLPE PVC SCN PVC</v>
          </cell>
          <cell r="C94">
            <v>240</v>
          </cell>
          <cell r="D94" t="str">
            <v>3C+E</v>
          </cell>
          <cell r="E94">
            <v>58.5</v>
          </cell>
          <cell r="F94">
            <v>872</v>
          </cell>
          <cell r="G94">
            <v>350</v>
          </cell>
        </row>
        <row r="95">
          <cell r="A95" t="str">
            <v>Cu XLPE PVC SCN PVC3003C+E</v>
          </cell>
          <cell r="B95" t="str">
            <v>Cu XLPE PVC SCN PVC</v>
          </cell>
          <cell r="C95">
            <v>300</v>
          </cell>
          <cell r="D95" t="str">
            <v>3C+E</v>
          </cell>
          <cell r="E95">
            <v>64.8</v>
          </cell>
          <cell r="F95">
            <v>1089</v>
          </cell>
          <cell r="G95">
            <v>390</v>
          </cell>
        </row>
        <row r="96">
          <cell r="A96" t="str">
            <v>Cu XLPE PVC SCN PVC4003C+E</v>
          </cell>
          <cell r="B96" t="str">
            <v>Cu XLPE PVC SCN PVC</v>
          </cell>
          <cell r="C96">
            <v>400</v>
          </cell>
          <cell r="D96" t="str">
            <v>3C+E</v>
          </cell>
          <cell r="E96">
            <v>70.099999999999994</v>
          </cell>
          <cell r="F96">
            <v>1200</v>
          </cell>
          <cell r="G96">
            <v>430</v>
          </cell>
        </row>
        <row r="97">
          <cell r="A97" t="str">
            <v>Cu XLPE PVC SCN PVC5003C+E</v>
          </cell>
          <cell r="B97" t="str">
            <v>Cu XLPE PVC SCN PVC</v>
          </cell>
          <cell r="C97">
            <v>500</v>
          </cell>
          <cell r="D97" t="str">
            <v>3C+E</v>
          </cell>
          <cell r="E97">
            <v>77.3</v>
          </cell>
          <cell r="F97">
            <v>1300</v>
          </cell>
          <cell r="G97">
            <v>470</v>
          </cell>
        </row>
        <row r="98">
          <cell r="A98" t="str">
            <v>Cu XLPE PVC SCN PVC6303C+E</v>
          </cell>
          <cell r="B98" t="str">
            <v>Cu XLPE PVC SCN PVC</v>
          </cell>
          <cell r="C98">
            <v>630</v>
          </cell>
          <cell r="D98" t="str">
            <v>3C+E</v>
          </cell>
          <cell r="E98">
            <v>84.5</v>
          </cell>
          <cell r="F98">
            <v>1500</v>
          </cell>
          <cell r="G98">
            <v>510</v>
          </cell>
        </row>
        <row r="100">
          <cell r="A100" t="str">
            <v/>
          </cell>
        </row>
        <row r="101">
          <cell r="A101" t="str">
            <v>Cu PVC SCN PVC1.51 PAIR</v>
          </cell>
          <cell r="B101" t="str">
            <v>Cu PVC SCN PVC</v>
          </cell>
          <cell r="C101">
            <v>1.5</v>
          </cell>
          <cell r="D101" t="str">
            <v>1 PAIR</v>
          </cell>
          <cell r="E101">
            <v>6.6</v>
          </cell>
          <cell r="F101">
            <v>6</v>
          </cell>
          <cell r="G101">
            <v>40</v>
          </cell>
        </row>
        <row r="102">
          <cell r="A102" t="str">
            <v>Cu PVC SCN PVC1.52 PAIR</v>
          </cell>
          <cell r="B102" t="str">
            <v>Cu PVC SCN PVC</v>
          </cell>
          <cell r="C102">
            <v>1.5</v>
          </cell>
          <cell r="D102" t="str">
            <v>2 PAIR</v>
          </cell>
          <cell r="E102">
            <v>9.6</v>
          </cell>
          <cell r="F102">
            <v>11</v>
          </cell>
          <cell r="G102">
            <v>60</v>
          </cell>
        </row>
        <row r="103">
          <cell r="A103" t="str">
            <v>Cu PVC SCN PVC1.54 PAIR</v>
          </cell>
          <cell r="B103" t="str">
            <v>Cu PVC SCN PVC</v>
          </cell>
          <cell r="C103">
            <v>1.5</v>
          </cell>
          <cell r="D103" t="str">
            <v>4 PAIR</v>
          </cell>
          <cell r="E103">
            <v>10.9</v>
          </cell>
          <cell r="F103">
            <v>18</v>
          </cell>
          <cell r="G103">
            <v>65</v>
          </cell>
        </row>
        <row r="104">
          <cell r="A104" t="str">
            <v>Cu PVC SCN PVC1.56 PAIR</v>
          </cell>
          <cell r="B104" t="str">
            <v>Cu PVC SCN PVC</v>
          </cell>
          <cell r="C104">
            <v>1.5</v>
          </cell>
          <cell r="D104" t="str">
            <v>6 PAIR</v>
          </cell>
          <cell r="E104">
            <v>13</v>
          </cell>
          <cell r="F104">
            <v>26</v>
          </cell>
          <cell r="G104">
            <v>78</v>
          </cell>
        </row>
        <row r="105">
          <cell r="A105" t="str">
            <v>Cu PVC SCN PVC1.58 PAIR</v>
          </cell>
          <cell r="B105" t="str">
            <v>Cu PVC SCN PVC</v>
          </cell>
          <cell r="C105">
            <v>1.5</v>
          </cell>
          <cell r="D105" t="str">
            <v>8 PAIR</v>
          </cell>
          <cell r="E105">
            <v>14.6</v>
          </cell>
          <cell r="F105">
            <v>33</v>
          </cell>
          <cell r="G105">
            <v>88</v>
          </cell>
        </row>
        <row r="106">
          <cell r="A106" t="str">
            <v>Cu PVC SCN PVC1.510 PAIR</v>
          </cell>
          <cell r="B106" t="str">
            <v>Cu PVC SCN PVC</v>
          </cell>
          <cell r="C106">
            <v>1.5</v>
          </cell>
          <cell r="D106" t="str">
            <v>10 PAIR</v>
          </cell>
          <cell r="E106">
            <v>16.3</v>
          </cell>
          <cell r="F106">
            <v>41</v>
          </cell>
          <cell r="G106">
            <v>98</v>
          </cell>
        </row>
        <row r="107">
          <cell r="A107" t="str">
            <v>Cu PVC SCN PVC1.512 PAIR</v>
          </cell>
          <cell r="B107" t="str">
            <v>Cu PVC SCN PVC</v>
          </cell>
          <cell r="C107">
            <v>1.5</v>
          </cell>
          <cell r="D107" t="str">
            <v>12 PAIR</v>
          </cell>
          <cell r="E107">
            <v>17.5</v>
          </cell>
          <cell r="F107">
            <v>48</v>
          </cell>
          <cell r="G107">
            <v>105</v>
          </cell>
        </row>
        <row r="108">
          <cell r="A108" t="str">
            <v>Cu PVC SCN PVC1.516 PAIR</v>
          </cell>
          <cell r="B108" t="str">
            <v>Cu PVC SCN PVC</v>
          </cell>
          <cell r="C108">
            <v>1.5</v>
          </cell>
          <cell r="D108" t="str">
            <v>16 PAIR</v>
          </cell>
          <cell r="E108">
            <v>20</v>
          </cell>
          <cell r="F108">
            <v>63</v>
          </cell>
          <cell r="G108">
            <v>120</v>
          </cell>
        </row>
        <row r="109">
          <cell r="A109" t="str">
            <v>Cu PVC SCN PVC1.520 PAIR</v>
          </cell>
          <cell r="B109" t="str">
            <v>Cu PVC SCN PVC</v>
          </cell>
          <cell r="C109">
            <v>1.5</v>
          </cell>
          <cell r="D109" t="str">
            <v>20 PAIR</v>
          </cell>
          <cell r="E109">
            <v>22.3</v>
          </cell>
          <cell r="F109">
            <v>79</v>
          </cell>
          <cell r="G109">
            <v>134</v>
          </cell>
        </row>
        <row r="110">
          <cell r="A110" t="str">
            <v>Cu PVC SCN PVC1.524 PAIR</v>
          </cell>
          <cell r="B110" t="str">
            <v>Cu PVC SCN PVC</v>
          </cell>
          <cell r="C110">
            <v>1.5</v>
          </cell>
          <cell r="D110" t="str">
            <v>24 PAIR</v>
          </cell>
          <cell r="E110">
            <v>24.1</v>
          </cell>
          <cell r="F110">
            <v>93</v>
          </cell>
          <cell r="G110">
            <v>145</v>
          </cell>
        </row>
        <row r="111">
          <cell r="A111" t="str">
            <v>Cu PVC SCN PVC1.536 PAIR</v>
          </cell>
          <cell r="B111" t="str">
            <v>Cu PVC SCN PVC</v>
          </cell>
          <cell r="C111">
            <v>1.5</v>
          </cell>
          <cell r="D111" t="str">
            <v>36 PAIR</v>
          </cell>
          <cell r="E111">
            <v>29.2</v>
          </cell>
          <cell r="F111">
            <v>137</v>
          </cell>
          <cell r="G111">
            <v>175</v>
          </cell>
        </row>
        <row r="112">
          <cell r="A112" t="str">
            <v>Cu PVC SCN PVC1.550 PAIR</v>
          </cell>
          <cell r="B112" t="str">
            <v>Cu PVC SCN PVC</v>
          </cell>
          <cell r="C112">
            <v>1.5</v>
          </cell>
          <cell r="D112" t="str">
            <v>50 PAIR</v>
          </cell>
          <cell r="E112">
            <v>34.200000000000003</v>
          </cell>
          <cell r="F112">
            <v>188</v>
          </cell>
          <cell r="G112">
            <v>205</v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>Cu PVC SCN PVC2.51 PAIR</v>
          </cell>
          <cell r="B115" t="str">
            <v>Cu PVC SCN PVC</v>
          </cell>
          <cell r="C115">
            <v>2.5</v>
          </cell>
          <cell r="D115" t="str">
            <v>1 PAIR</v>
          </cell>
          <cell r="E115">
            <v>6.6</v>
          </cell>
          <cell r="F115">
            <v>6</v>
          </cell>
          <cell r="G115">
            <v>40</v>
          </cell>
        </row>
        <row r="116">
          <cell r="A116" t="str">
            <v>Cu PVC SCN PVC2.52 PAIR</v>
          </cell>
          <cell r="B116" t="str">
            <v>Cu PVC SCN PVC</v>
          </cell>
          <cell r="C116">
            <v>2.5</v>
          </cell>
          <cell r="D116" t="str">
            <v>2 PAIR</v>
          </cell>
          <cell r="E116">
            <v>9.6</v>
          </cell>
          <cell r="F116">
            <v>11</v>
          </cell>
          <cell r="G116">
            <v>60</v>
          </cell>
        </row>
        <row r="117">
          <cell r="A117" t="str">
            <v>Cu PVC SCN PVC2.54 PAIR</v>
          </cell>
          <cell r="B117" t="str">
            <v>Cu PVC SCN PVC</v>
          </cell>
          <cell r="C117">
            <v>2.5</v>
          </cell>
          <cell r="D117" t="str">
            <v>4 PAIR</v>
          </cell>
          <cell r="E117">
            <v>10.9</v>
          </cell>
          <cell r="F117">
            <v>18</v>
          </cell>
          <cell r="G117">
            <v>65</v>
          </cell>
        </row>
        <row r="118">
          <cell r="A118" t="str">
            <v>Cu PVC SCN PVC2.56 PAIR</v>
          </cell>
          <cell r="B118" t="str">
            <v>Cu PVC SCN PVC</v>
          </cell>
          <cell r="C118">
            <v>2.5</v>
          </cell>
          <cell r="D118" t="str">
            <v>6 PAIR</v>
          </cell>
          <cell r="E118">
            <v>13</v>
          </cell>
          <cell r="F118">
            <v>26</v>
          </cell>
          <cell r="G118">
            <v>78</v>
          </cell>
        </row>
        <row r="119">
          <cell r="A119" t="str">
            <v>Cu PVC SCN PVC2.58 PAIR</v>
          </cell>
          <cell r="B119" t="str">
            <v>Cu PVC SCN PVC</v>
          </cell>
          <cell r="C119">
            <v>2.5</v>
          </cell>
          <cell r="D119" t="str">
            <v>8 PAIR</v>
          </cell>
          <cell r="E119">
            <v>14.6</v>
          </cell>
          <cell r="F119">
            <v>33</v>
          </cell>
          <cell r="G119">
            <v>88</v>
          </cell>
        </row>
        <row r="120">
          <cell r="A120" t="str">
            <v>Cu PVC SCN PVC2.510 PAIR</v>
          </cell>
          <cell r="B120" t="str">
            <v>Cu PVC SCN PVC</v>
          </cell>
          <cell r="C120">
            <v>2.5</v>
          </cell>
          <cell r="D120" t="str">
            <v>10 PAIR</v>
          </cell>
          <cell r="E120">
            <v>16.3</v>
          </cell>
          <cell r="F120">
            <v>41</v>
          </cell>
          <cell r="G120">
            <v>98</v>
          </cell>
        </row>
        <row r="121">
          <cell r="A121" t="str">
            <v>Cu PVC SCN PVC2.512 PAIR</v>
          </cell>
          <cell r="B121" t="str">
            <v>Cu PVC SCN PVC</v>
          </cell>
          <cell r="C121">
            <v>2.5</v>
          </cell>
          <cell r="D121" t="str">
            <v>12 PAIR</v>
          </cell>
          <cell r="E121">
            <v>17.5</v>
          </cell>
          <cell r="F121">
            <v>48</v>
          </cell>
          <cell r="G121">
            <v>105</v>
          </cell>
        </row>
        <row r="122">
          <cell r="A122" t="str">
            <v>Cu PVC SCN PVC2.516 PAIR</v>
          </cell>
          <cell r="B122" t="str">
            <v>Cu PVC SCN PVC</v>
          </cell>
          <cell r="C122">
            <v>2.5</v>
          </cell>
          <cell r="D122" t="str">
            <v>16 PAIR</v>
          </cell>
          <cell r="E122">
            <v>20</v>
          </cell>
          <cell r="F122">
            <v>63</v>
          </cell>
          <cell r="G122">
            <v>120</v>
          </cell>
        </row>
        <row r="123">
          <cell r="A123" t="str">
            <v>Cu PVC SCN PVC2.520 PAIR</v>
          </cell>
          <cell r="B123" t="str">
            <v>Cu PVC SCN PVC</v>
          </cell>
          <cell r="C123">
            <v>2.5</v>
          </cell>
          <cell r="D123" t="str">
            <v>20 PAIR</v>
          </cell>
          <cell r="E123">
            <v>22.3</v>
          </cell>
          <cell r="F123">
            <v>79</v>
          </cell>
          <cell r="G123">
            <v>134</v>
          </cell>
        </row>
        <row r="124">
          <cell r="A124" t="str">
            <v>Cu PVC SCN PVC2.524 PAIR</v>
          </cell>
          <cell r="B124" t="str">
            <v>Cu PVC SCN PVC</v>
          </cell>
          <cell r="C124">
            <v>2.5</v>
          </cell>
          <cell r="D124" t="str">
            <v>24 PAIR</v>
          </cell>
          <cell r="E124">
            <v>24.1</v>
          </cell>
          <cell r="F124">
            <v>93</v>
          </cell>
          <cell r="G124">
            <v>145</v>
          </cell>
        </row>
        <row r="125">
          <cell r="A125" t="str">
            <v>Cu PVC SCN PVC2.536 PAIR</v>
          </cell>
          <cell r="B125" t="str">
            <v>Cu PVC SCN PVC</v>
          </cell>
          <cell r="C125">
            <v>2.5</v>
          </cell>
          <cell r="D125" t="str">
            <v>36 PAIR</v>
          </cell>
          <cell r="E125">
            <v>29.2</v>
          </cell>
          <cell r="F125">
            <v>137</v>
          </cell>
          <cell r="G125">
            <v>175</v>
          </cell>
        </row>
        <row r="126">
          <cell r="A126" t="str">
            <v>Cu PVC SCN PVC2.550 PAIR</v>
          </cell>
          <cell r="B126" t="str">
            <v>Cu PVC SCN PVC</v>
          </cell>
          <cell r="C126">
            <v>2.5</v>
          </cell>
          <cell r="D126" t="str">
            <v>50 PAIR</v>
          </cell>
          <cell r="E126">
            <v>34.200000000000003</v>
          </cell>
          <cell r="F126">
            <v>188</v>
          </cell>
          <cell r="G126">
            <v>205</v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>Cu PVC I/O SCN PVC1.52 PAIR</v>
          </cell>
          <cell r="B129" t="str">
            <v>Cu PVC I/O SCN PVC</v>
          </cell>
          <cell r="C129">
            <v>1.5</v>
          </cell>
          <cell r="D129" t="str">
            <v>2 PAIR</v>
          </cell>
          <cell r="E129">
            <v>10.3</v>
          </cell>
          <cell r="F129">
            <v>13</v>
          </cell>
          <cell r="G129">
            <v>62</v>
          </cell>
        </row>
        <row r="130">
          <cell r="A130" t="str">
            <v>Cu PVC I/O SCN PVC1.54 PAIR</v>
          </cell>
          <cell r="B130" t="str">
            <v>Cu PVC I/O SCN PVC</v>
          </cell>
          <cell r="C130">
            <v>1.5</v>
          </cell>
          <cell r="D130" t="str">
            <v>4 PAIR</v>
          </cell>
          <cell r="E130">
            <v>13.4</v>
          </cell>
          <cell r="F130">
            <v>22</v>
          </cell>
          <cell r="G130">
            <v>81</v>
          </cell>
        </row>
        <row r="131">
          <cell r="A131" t="str">
            <v>Cu PVC I/O SCN PVC1.56 PAIR</v>
          </cell>
          <cell r="B131" t="str">
            <v>Cu PVC I/O SCN PVC</v>
          </cell>
          <cell r="C131">
            <v>1.5</v>
          </cell>
          <cell r="D131" t="str">
            <v>6 PAIR</v>
          </cell>
          <cell r="E131">
            <v>16.100000000000001</v>
          </cell>
          <cell r="F131">
            <v>32</v>
          </cell>
          <cell r="G131">
            <v>97</v>
          </cell>
        </row>
        <row r="132">
          <cell r="A132" t="str">
            <v>Cu PVC I/O SCN PVC1.58 PAIR</v>
          </cell>
          <cell r="B132" t="str">
            <v>Cu PVC I/O SCN PVC</v>
          </cell>
          <cell r="C132">
            <v>1.5</v>
          </cell>
          <cell r="D132" t="str">
            <v>8 PAIR</v>
          </cell>
          <cell r="E132">
            <v>18.2</v>
          </cell>
          <cell r="F132">
            <v>40</v>
          </cell>
          <cell r="G132">
            <v>109</v>
          </cell>
        </row>
        <row r="133">
          <cell r="A133" t="str">
            <v>Cu PVC I/O SCN PVC1.510 PAIR</v>
          </cell>
          <cell r="B133" t="str">
            <v>Cu PVC I/O SCN PVC</v>
          </cell>
          <cell r="C133">
            <v>1.5</v>
          </cell>
          <cell r="D133" t="str">
            <v>10 PAIR</v>
          </cell>
          <cell r="E133">
            <v>19.3</v>
          </cell>
          <cell r="F133">
            <v>49</v>
          </cell>
          <cell r="G133">
            <v>116</v>
          </cell>
        </row>
        <row r="134">
          <cell r="A134" t="str">
            <v>Cu PVC I/O SCN PVC1.512 PAIR</v>
          </cell>
          <cell r="B134" t="str">
            <v>Cu PVC I/O SCN PVC</v>
          </cell>
          <cell r="C134">
            <v>1.5</v>
          </cell>
          <cell r="D134" t="str">
            <v>12 PAIR</v>
          </cell>
          <cell r="E134">
            <v>20.9</v>
          </cell>
          <cell r="F134">
            <v>57</v>
          </cell>
          <cell r="G134">
            <v>125</v>
          </cell>
        </row>
        <row r="135">
          <cell r="A135" t="str">
            <v>Cu PVC I/O SCN PVC1.516 PAIR</v>
          </cell>
          <cell r="B135" t="str">
            <v>Cu PVC I/O SCN PVC</v>
          </cell>
          <cell r="C135">
            <v>1.5</v>
          </cell>
          <cell r="D135" t="str">
            <v>16 PAIR</v>
          </cell>
          <cell r="E135">
            <v>23.9</v>
          </cell>
          <cell r="F135">
            <v>75</v>
          </cell>
          <cell r="G135">
            <v>143</v>
          </cell>
        </row>
        <row r="136">
          <cell r="A136" t="str">
            <v>Cu PVC I/O SCN PVC1.520 PAIR</v>
          </cell>
          <cell r="B136" t="str">
            <v>Cu PVC I/O SCN PVC</v>
          </cell>
          <cell r="C136">
            <v>1.5</v>
          </cell>
          <cell r="D136" t="str">
            <v>20 PAIR</v>
          </cell>
          <cell r="E136">
            <v>26.5</v>
          </cell>
          <cell r="F136">
            <v>92</v>
          </cell>
          <cell r="G136">
            <v>159</v>
          </cell>
        </row>
        <row r="137">
          <cell r="A137" t="str">
            <v>Cu PVC I/O SCN PVC1.524 PAIR</v>
          </cell>
          <cell r="B137" t="str">
            <v>Cu PVC I/O SCN PVC</v>
          </cell>
          <cell r="C137">
            <v>1.5</v>
          </cell>
          <cell r="D137" t="str">
            <v>24 PAIR</v>
          </cell>
          <cell r="E137">
            <v>29</v>
          </cell>
          <cell r="F137">
            <v>110</v>
          </cell>
          <cell r="G137">
            <v>174</v>
          </cell>
        </row>
        <row r="138">
          <cell r="A138" t="str">
            <v>Cu PVC I/O SCN PVC1.536 PAIR</v>
          </cell>
          <cell r="B138" t="str">
            <v>Cu PVC I/O SCN PVC</v>
          </cell>
          <cell r="C138">
            <v>1.5</v>
          </cell>
          <cell r="D138" t="str">
            <v>36 PAIR</v>
          </cell>
          <cell r="E138">
            <v>35.1</v>
          </cell>
          <cell r="F138">
            <v>162</v>
          </cell>
          <cell r="G138">
            <v>210</v>
          </cell>
        </row>
        <row r="139">
          <cell r="A139" t="str">
            <v>Cu PVC I/O SCN PVC1.550 PAIR</v>
          </cell>
          <cell r="B139" t="str">
            <v>Cu PVC I/O SCN PVC</v>
          </cell>
          <cell r="C139">
            <v>1.5</v>
          </cell>
          <cell r="D139" t="str">
            <v>50 PAIR</v>
          </cell>
          <cell r="E139">
            <v>40.799999999999997</v>
          </cell>
          <cell r="F139">
            <v>220</v>
          </cell>
          <cell r="G139">
            <v>245</v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>Cu PVC I/O SCN PVC2.52 PAIR</v>
          </cell>
          <cell r="B142" t="str">
            <v>Cu PVC I/O SCN PVC</v>
          </cell>
          <cell r="C142">
            <v>2.5</v>
          </cell>
          <cell r="D142" t="str">
            <v>2 PAIR</v>
          </cell>
          <cell r="E142">
            <v>10.3</v>
          </cell>
          <cell r="F142">
            <v>13</v>
          </cell>
          <cell r="G142">
            <v>62</v>
          </cell>
        </row>
        <row r="143">
          <cell r="A143" t="str">
            <v>Cu PVC I/O SCN PVC2.54 PAIR</v>
          </cell>
          <cell r="B143" t="str">
            <v>Cu PVC I/O SCN PVC</v>
          </cell>
          <cell r="C143">
            <v>2.5</v>
          </cell>
          <cell r="D143" t="str">
            <v>4 PAIR</v>
          </cell>
          <cell r="E143">
            <v>13.4</v>
          </cell>
          <cell r="F143">
            <v>22</v>
          </cell>
          <cell r="G143">
            <v>81</v>
          </cell>
        </row>
        <row r="144">
          <cell r="A144" t="str">
            <v>Cu PVC I/O SCN PVC2.56 PAIR</v>
          </cell>
          <cell r="B144" t="str">
            <v>Cu PVC I/O SCN PVC</v>
          </cell>
          <cell r="C144">
            <v>2.5</v>
          </cell>
          <cell r="D144" t="str">
            <v>6 PAIR</v>
          </cell>
          <cell r="E144">
            <v>16.100000000000001</v>
          </cell>
          <cell r="F144">
            <v>32</v>
          </cell>
          <cell r="G144">
            <v>97</v>
          </cell>
        </row>
        <row r="145">
          <cell r="A145" t="str">
            <v>Cu PVC I/O SCN PVC2.58 PAIR</v>
          </cell>
          <cell r="B145" t="str">
            <v>Cu PVC I/O SCN PVC</v>
          </cell>
          <cell r="C145">
            <v>2.5</v>
          </cell>
          <cell r="D145" t="str">
            <v>8 PAIR</v>
          </cell>
          <cell r="E145">
            <v>18.2</v>
          </cell>
          <cell r="F145">
            <v>40</v>
          </cell>
          <cell r="G145">
            <v>109</v>
          </cell>
        </row>
        <row r="146">
          <cell r="A146" t="str">
            <v>Cu PVC I/O SCN PVC2.510 PAIR</v>
          </cell>
          <cell r="B146" t="str">
            <v>Cu PVC I/O SCN PVC</v>
          </cell>
          <cell r="C146">
            <v>2.5</v>
          </cell>
          <cell r="D146" t="str">
            <v>10 PAIR</v>
          </cell>
          <cell r="E146">
            <v>19.3</v>
          </cell>
          <cell r="F146">
            <v>49</v>
          </cell>
          <cell r="G146">
            <v>116</v>
          </cell>
        </row>
        <row r="147">
          <cell r="A147" t="str">
            <v>Cu PVC I/O SCN PVC2.512 PAIR</v>
          </cell>
          <cell r="B147" t="str">
            <v>Cu PVC I/O SCN PVC</v>
          </cell>
          <cell r="C147">
            <v>2.5</v>
          </cell>
          <cell r="D147" t="str">
            <v>12 PAIR</v>
          </cell>
          <cell r="E147">
            <v>20.9</v>
          </cell>
          <cell r="F147">
            <v>57</v>
          </cell>
          <cell r="G147">
            <v>125</v>
          </cell>
        </row>
        <row r="148">
          <cell r="A148" t="str">
            <v>Cu PVC I/O SCN PVC2.516 PAIR</v>
          </cell>
          <cell r="B148" t="str">
            <v>Cu PVC I/O SCN PVC</v>
          </cell>
          <cell r="C148">
            <v>2.5</v>
          </cell>
          <cell r="D148" t="str">
            <v>16 PAIR</v>
          </cell>
          <cell r="E148">
            <v>23.9</v>
          </cell>
          <cell r="F148">
            <v>75</v>
          </cell>
          <cell r="G148">
            <v>143</v>
          </cell>
        </row>
        <row r="149">
          <cell r="A149" t="str">
            <v>Cu PVC I/O SCN PVC2.520 PAIR</v>
          </cell>
          <cell r="B149" t="str">
            <v>Cu PVC I/O SCN PVC</v>
          </cell>
          <cell r="C149">
            <v>2.5</v>
          </cell>
          <cell r="D149" t="str">
            <v>20 PAIR</v>
          </cell>
          <cell r="E149">
            <v>26.5</v>
          </cell>
          <cell r="F149">
            <v>92</v>
          </cell>
          <cell r="G149">
            <v>159</v>
          </cell>
        </row>
        <row r="150">
          <cell r="A150" t="str">
            <v>Cu PVC I/O SCN PVC2.524 PAIR</v>
          </cell>
          <cell r="B150" t="str">
            <v>Cu PVC I/O SCN PVC</v>
          </cell>
          <cell r="C150">
            <v>2.5</v>
          </cell>
          <cell r="D150" t="str">
            <v>24 PAIR</v>
          </cell>
          <cell r="E150">
            <v>29</v>
          </cell>
          <cell r="F150">
            <v>110</v>
          </cell>
          <cell r="G150">
            <v>174</v>
          </cell>
        </row>
        <row r="151">
          <cell r="A151" t="str">
            <v>Cu PVC I/O SCN PVC2.536 PAIR</v>
          </cell>
          <cell r="B151" t="str">
            <v>Cu PVC I/O SCN PVC</v>
          </cell>
          <cell r="C151">
            <v>2.5</v>
          </cell>
          <cell r="D151" t="str">
            <v>36 PAIR</v>
          </cell>
          <cell r="E151">
            <v>35.1</v>
          </cell>
          <cell r="F151">
            <v>162</v>
          </cell>
          <cell r="G151">
            <v>210</v>
          </cell>
        </row>
        <row r="152">
          <cell r="A152" t="str">
            <v>Cu PVC I/O SCN PVC2.550 PAIR</v>
          </cell>
          <cell r="B152" t="str">
            <v>Cu PVC I/O SCN PVC</v>
          </cell>
          <cell r="C152">
            <v>2.5</v>
          </cell>
          <cell r="D152" t="str">
            <v>50 PAIR</v>
          </cell>
          <cell r="E152">
            <v>40.799999999999997</v>
          </cell>
          <cell r="F152">
            <v>220</v>
          </cell>
          <cell r="G152">
            <v>245</v>
          </cell>
        </row>
      </sheetData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echnoGen XXXX"/>
      <sheetName val="XXX"/>
    </sheetNames>
    <sheetDataSet>
      <sheetData sheetId="0">
        <row r="4">
          <cell r="C4" t="str">
            <v>XXXX</v>
          </cell>
        </row>
        <row r="5">
          <cell r="C5" t="str">
            <v>XX-XXX</v>
          </cell>
        </row>
        <row r="6">
          <cell r="C6" t="str">
            <v>A</v>
          </cell>
        </row>
        <row r="7">
          <cell r="C7" t="str">
            <v>XXXX</v>
          </cell>
        </row>
        <row r="8">
          <cell r="C8" t="str">
            <v>XX/XX/XXXX</v>
          </cell>
        </row>
        <row r="9">
          <cell r="C9" t="str">
            <v>XXXX</v>
          </cell>
        </row>
        <row r="10">
          <cell r="C10" t="str">
            <v>XX/XX/XXXX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User Guide"/>
      <sheetName val="Equipment List"/>
      <sheetName val="Generic Type 1-2"/>
      <sheetName val="Generic Type 2-3"/>
      <sheetName val="Plant Areas"/>
      <sheetName val="Materials of Constr"/>
      <sheetName val="Duty Point &amp; Size No"/>
      <sheetName val="Equip Designations &amp; Spec's"/>
      <sheetName val="Yaoure WB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A4" t="str">
            <v>AC</v>
          </cell>
        </row>
        <row r="5">
          <cell r="A5" t="str">
            <v>AD</v>
          </cell>
        </row>
        <row r="6">
          <cell r="A6" t="str">
            <v>AG</v>
          </cell>
        </row>
        <row r="7">
          <cell r="A7" t="str">
            <v>BE</v>
          </cell>
        </row>
        <row r="8">
          <cell r="A8" t="str">
            <v>BL</v>
          </cell>
        </row>
        <row r="9">
          <cell r="A9" t="str">
            <v>BN</v>
          </cell>
        </row>
        <row r="10">
          <cell r="A10" t="str">
            <v>BO</v>
          </cell>
        </row>
        <row r="11">
          <cell r="A11" t="str">
            <v>BU</v>
          </cell>
        </row>
        <row r="12">
          <cell r="A12" t="str">
            <v>BX</v>
          </cell>
        </row>
        <row r="13">
          <cell r="A13" t="str">
            <v>CA</v>
          </cell>
        </row>
        <row r="14">
          <cell r="A14" t="str">
            <v>CF</v>
          </cell>
        </row>
        <row r="15">
          <cell r="A15" t="str">
            <v>CG</v>
          </cell>
        </row>
        <row r="16">
          <cell r="A16" t="str">
            <v>CH</v>
          </cell>
        </row>
        <row r="17">
          <cell r="A17" t="str">
            <v>CL</v>
          </cell>
        </row>
        <row r="18">
          <cell r="A18" t="str">
            <v>CM</v>
          </cell>
        </row>
        <row r="19">
          <cell r="A19" t="str">
            <v>CN</v>
          </cell>
        </row>
        <row r="20">
          <cell r="A20" t="str">
            <v>CO</v>
          </cell>
        </row>
        <row r="21">
          <cell r="A21" t="str">
            <v>CR</v>
          </cell>
        </row>
        <row r="22">
          <cell r="A22" t="str">
            <v>CS</v>
          </cell>
        </row>
        <row r="23">
          <cell r="A23" t="str">
            <v>CU</v>
          </cell>
        </row>
        <row r="24">
          <cell r="A24" t="str">
            <v>CV</v>
          </cell>
        </row>
        <row r="25">
          <cell r="A25" t="str">
            <v>CX</v>
          </cell>
        </row>
        <row r="26">
          <cell r="A26" t="str">
            <v>CY</v>
          </cell>
        </row>
        <row r="27">
          <cell r="A27" t="str">
            <v>DA</v>
          </cell>
        </row>
        <row r="28">
          <cell r="A28" t="str">
            <v>DC</v>
          </cell>
        </row>
        <row r="29">
          <cell r="A29" t="str">
            <v>DR</v>
          </cell>
        </row>
        <row r="30">
          <cell r="A30" t="str">
            <v>DU</v>
          </cell>
        </row>
        <row r="31">
          <cell r="A31" t="str">
            <v>EE</v>
          </cell>
        </row>
        <row r="32">
          <cell r="A32" t="str">
            <v>DV</v>
          </cell>
        </row>
        <row r="33">
          <cell r="A33" t="str">
            <v>EL</v>
          </cell>
        </row>
        <row r="34">
          <cell r="A34" t="str">
            <v>EM</v>
          </cell>
        </row>
        <row r="35">
          <cell r="A35" t="str">
            <v>ES</v>
          </cell>
        </row>
        <row r="36">
          <cell r="A36" t="str">
            <v>EV</v>
          </cell>
        </row>
        <row r="37">
          <cell r="A37" t="str">
            <v>FA</v>
          </cell>
        </row>
        <row r="38">
          <cell r="A38" t="str">
            <v>FC</v>
          </cell>
        </row>
        <row r="39">
          <cell r="A39" t="str">
            <v>FE</v>
          </cell>
        </row>
        <row r="40">
          <cell r="A40" t="str">
            <v>FH</v>
          </cell>
        </row>
        <row r="41">
          <cell r="A41" t="str">
            <v>FL</v>
          </cell>
        </row>
        <row r="42">
          <cell r="A42" t="str">
            <v>FT</v>
          </cell>
        </row>
        <row r="43">
          <cell r="A43" t="str">
            <v>GC</v>
          </cell>
        </row>
        <row r="44">
          <cell r="A44" t="str">
            <v>GE</v>
          </cell>
        </row>
        <row r="45">
          <cell r="A45" t="str">
            <v>HE</v>
          </cell>
        </row>
        <row r="46">
          <cell r="A46" t="str">
            <v>HP</v>
          </cell>
        </row>
        <row r="47">
          <cell r="A47" t="str">
            <v>HR</v>
          </cell>
        </row>
        <row r="48">
          <cell r="A48" t="str">
            <v>HT</v>
          </cell>
        </row>
        <row r="49">
          <cell r="A49" t="str">
            <v>HX</v>
          </cell>
        </row>
        <row r="50">
          <cell r="A50" t="str">
            <v>IB</v>
          </cell>
        </row>
        <row r="51">
          <cell r="A51" t="str">
            <v>LA</v>
          </cell>
        </row>
        <row r="52">
          <cell r="A52" t="str">
            <v>LB</v>
          </cell>
        </row>
        <row r="53">
          <cell r="A53" t="str">
            <v>MA</v>
          </cell>
        </row>
        <row r="54">
          <cell r="A54" t="str">
            <v>MD</v>
          </cell>
        </row>
        <row r="55">
          <cell r="A55" t="str">
            <v>ME</v>
          </cell>
        </row>
        <row r="56">
          <cell r="A56" t="str">
            <v>ML</v>
          </cell>
        </row>
        <row r="57">
          <cell r="A57" t="str">
            <v>PA</v>
          </cell>
        </row>
        <row r="58">
          <cell r="A58" t="str">
            <v>PB</v>
          </cell>
        </row>
        <row r="59">
          <cell r="A59" t="str">
            <v>PO</v>
          </cell>
        </row>
        <row r="60">
          <cell r="A60" t="str">
            <v>PP</v>
          </cell>
        </row>
        <row r="61">
          <cell r="A61" t="str">
            <v>RB</v>
          </cell>
        </row>
        <row r="62">
          <cell r="A62" t="str">
            <v>RC</v>
          </cell>
        </row>
        <row r="63">
          <cell r="A63" t="str">
            <v>RF</v>
          </cell>
        </row>
        <row r="64">
          <cell r="A64" t="str">
            <v>RO</v>
          </cell>
        </row>
        <row r="65">
          <cell r="A65" t="str">
            <v>SA</v>
          </cell>
        </row>
        <row r="66">
          <cell r="A66" t="str">
            <v>SC</v>
          </cell>
        </row>
        <row r="67">
          <cell r="A67" t="str">
            <v>SL</v>
          </cell>
        </row>
        <row r="68">
          <cell r="A68" t="str">
            <v>SP</v>
          </cell>
        </row>
        <row r="69">
          <cell r="A69" t="str">
            <v>ST</v>
          </cell>
        </row>
        <row r="70">
          <cell r="A70" t="str">
            <v>SX</v>
          </cell>
        </row>
        <row r="71">
          <cell r="A71" t="str">
            <v>TE</v>
          </cell>
        </row>
        <row r="72">
          <cell r="A72" t="str">
            <v>TH</v>
          </cell>
        </row>
        <row r="73">
          <cell r="A73" t="str">
            <v>TK</v>
          </cell>
        </row>
        <row r="74">
          <cell r="A74" t="str">
            <v>TW</v>
          </cell>
        </row>
        <row r="75">
          <cell r="A75" t="str">
            <v>VB</v>
          </cell>
        </row>
        <row r="76">
          <cell r="A76" t="str">
            <v>VS</v>
          </cell>
        </row>
        <row r="77">
          <cell r="A77" t="str">
            <v>WE</v>
          </cell>
        </row>
        <row r="78">
          <cell r="A78" t="str">
            <v>ZM</v>
          </cell>
        </row>
      </sheetData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User Guide"/>
      <sheetName val="Equipment List"/>
      <sheetName val="Generic Type 1-2"/>
      <sheetName val="Generic Type 2-3"/>
      <sheetName val="Plant Areas"/>
      <sheetName val="Materials of Constr"/>
      <sheetName val="Duty Point &amp; Size No"/>
      <sheetName val="Equip Designations &amp; Spec's"/>
      <sheetName val="Yaoure WBS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010 Construction Indirects - Contractors</v>
          </cell>
        </row>
        <row r="4">
          <cell r="A4" t="str">
            <v>020 Site Construction Indirects General</v>
          </cell>
        </row>
        <row r="5">
          <cell r="A5" t="str">
            <v>030 Site Construction Facilities</v>
          </cell>
        </row>
        <row r="6">
          <cell r="A6" t="str">
            <v>040 Site Construction Facilities Other</v>
          </cell>
        </row>
        <row r="7">
          <cell r="A7" t="str">
            <v>050 Construction Operations</v>
          </cell>
        </row>
        <row r="8">
          <cell r="A8" t="str">
            <v>060 Construction Accommodation</v>
          </cell>
        </row>
        <row r="9">
          <cell r="A9" t="str">
            <v>110 Treatment Plant - General</v>
          </cell>
        </row>
        <row r="10">
          <cell r="A10" t="str">
            <v>120 Feed Preparation</v>
          </cell>
        </row>
        <row r="11">
          <cell r="A11" t="str">
            <v>130 Milling</v>
          </cell>
        </row>
        <row r="12">
          <cell r="A12" t="str">
            <v>140 Trash Removal &amp; Thickening</v>
          </cell>
        </row>
        <row r="13">
          <cell r="A13" t="str">
            <v>150 Concentrate Handling</v>
          </cell>
        </row>
        <row r="14">
          <cell r="A14" t="str">
            <v>160 Leaching</v>
          </cell>
        </row>
        <row r="15">
          <cell r="A15" t="str">
            <v>170 Elution &amp; Gold Room</v>
          </cell>
        </row>
        <row r="16">
          <cell r="A16" t="str">
            <v>180 Tails Handling</v>
          </cell>
        </row>
        <row r="17">
          <cell r="A17" t="str">
            <v>190 Other Plant Areas</v>
          </cell>
        </row>
        <row r="18">
          <cell r="A18" t="str">
            <v>210 Reagents</v>
          </cell>
        </row>
        <row r="19">
          <cell r="A19" t="str">
            <v xml:space="preserve">220 Water Services </v>
          </cell>
        </row>
        <row r="20">
          <cell r="A20" t="str">
            <v>230 Plant Services</v>
          </cell>
        </row>
        <row r="21">
          <cell r="A21" t="str">
            <v>240 Air Services</v>
          </cell>
        </row>
        <row r="22">
          <cell r="A22" t="str">
            <v>250 Fuels</v>
          </cell>
        </row>
        <row r="23">
          <cell r="A23" t="str">
            <v>260 Electrical Services</v>
          </cell>
        </row>
        <row r="24">
          <cell r="A24" t="str">
            <v>310 Infrastructure - General</v>
          </cell>
        </row>
        <row r="25">
          <cell r="A25" t="str">
            <v>320 Environmental</v>
          </cell>
        </row>
        <row r="26">
          <cell r="A26" t="str">
            <v>330 Water &amp; Sewerage</v>
          </cell>
        </row>
        <row r="27">
          <cell r="A27" t="str">
            <v>340 Power Supply</v>
          </cell>
        </row>
        <row r="28">
          <cell r="A28" t="str">
            <v>350 Tailings Dam</v>
          </cell>
        </row>
        <row r="29">
          <cell r="A29" t="str">
            <v>360 Buildings - Admin &amp; Security</v>
          </cell>
        </row>
        <row r="30">
          <cell r="A30" t="str">
            <v>370 Buildings - Plant</v>
          </cell>
        </row>
        <row r="31">
          <cell r="A31" t="str">
            <v>380 Permanent Accommodation</v>
          </cell>
        </row>
        <row r="32">
          <cell r="A32" t="str">
            <v>410 Mining-General</v>
          </cell>
        </row>
        <row r="33">
          <cell r="A33" t="str">
            <v>420 Mine Establishment</v>
          </cell>
        </row>
        <row r="34">
          <cell r="A34" t="str">
            <v>430 Mining Pre-production</v>
          </cell>
        </row>
        <row r="35">
          <cell r="A35" t="str">
            <v>440 Mining Consultants</v>
          </cell>
        </row>
        <row r="36">
          <cell r="A36" t="str">
            <v>450 Mining Facilities</v>
          </cell>
        </row>
        <row r="37">
          <cell r="A37" t="str">
            <v>460 Mine Mobile Equipment - HME</v>
          </cell>
        </row>
        <row r="38">
          <cell r="A38" t="str">
            <v>470 Mine Mobile Equipment - LME</v>
          </cell>
        </row>
        <row r="39">
          <cell r="A39" t="str">
            <v>510 EPCM - Home Office</v>
          </cell>
        </row>
        <row r="40">
          <cell r="A40" t="str">
            <v>520 EPCM - Site</v>
          </cell>
        </row>
        <row r="41">
          <cell r="A41" t="str">
            <v>530 Specialist Consultants - Design</v>
          </cell>
        </row>
        <row r="42">
          <cell r="A42" t="str">
            <v>540 Specialist Consultants - Construction</v>
          </cell>
        </row>
        <row r="43">
          <cell r="A43" t="str">
            <v>550 Vendor Representatives</v>
          </cell>
        </row>
        <row r="44">
          <cell r="A44" t="str">
            <v>610  Owners Costs - General</v>
          </cell>
        </row>
        <row r="45">
          <cell r="A45" t="str">
            <v>620 Plant &amp; Admin Pre-Production</v>
          </cell>
        </row>
        <row r="46">
          <cell r="A46" t="str">
            <v>630 Admin Pre-Production Other</v>
          </cell>
        </row>
        <row r="47">
          <cell r="A47" t="str">
            <v>640 Spare Parts</v>
          </cell>
        </row>
        <row r="48">
          <cell r="A48" t="str">
            <v>650 Fees / Taxes / Duties</v>
          </cell>
        </row>
        <row r="49">
          <cell r="A49" t="str">
            <v>660 Community</v>
          </cell>
        </row>
        <row r="50">
          <cell r="A50" t="str">
            <v>670 Plant Mobile Equipment</v>
          </cell>
        </row>
      </sheetData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2E84-FA89-C640-9484-836934B437F6}">
  <sheetPr codeName="Sheet4">
    <pageSetUpPr fitToPage="1"/>
  </sheetPr>
  <dimension ref="A1:DD228"/>
  <sheetViews>
    <sheetView tabSelected="1" view="pageBreakPreview" zoomScale="85" zoomScaleNormal="55" zoomScaleSheetLayoutView="85" workbookViewId="0">
      <selection activeCell="B9" sqref="B9"/>
    </sheetView>
  </sheetViews>
  <sheetFormatPr baseColWidth="10" defaultColWidth="9.1640625" defaultRowHeight="15" x14ac:dyDescent="0.2"/>
  <cols>
    <col min="1" max="1" width="13.5" style="16" bestFit="1" customWidth="1"/>
    <col min="2" max="2" width="11.33203125" customWidth="1"/>
    <col min="3" max="3" width="12.83203125" customWidth="1"/>
    <col min="4" max="4" width="12.33203125" customWidth="1"/>
    <col min="5" max="5" width="13.5" style="16" customWidth="1"/>
    <col min="6" max="6" width="14.5" style="16" customWidth="1"/>
    <col min="7" max="7" width="15.5" style="16" customWidth="1"/>
    <col min="8" max="8" width="72.83203125" style="15" bestFit="1" customWidth="1"/>
    <col min="9" max="9" width="18.5" customWidth="1"/>
    <col min="10" max="10" width="14.83203125" style="11" customWidth="1"/>
    <col min="11" max="11" width="28.5" style="11" hidden="1" customWidth="1"/>
    <col min="12" max="12" width="12.5" style="11" customWidth="1"/>
    <col min="13" max="13" width="18.1640625" style="11" customWidth="1"/>
    <col min="14" max="14" width="22" style="11" hidden="1" customWidth="1"/>
    <col min="15" max="15" width="14.5" style="11" bestFit="1" customWidth="1"/>
    <col min="16" max="16" width="12.1640625" style="11" bestFit="1" customWidth="1"/>
    <col min="17" max="17" width="14.83203125" style="11" bestFit="1" customWidth="1"/>
    <col min="18" max="21" width="14.83203125" style="11" customWidth="1"/>
    <col min="22" max="25" width="14.83203125" style="11" hidden="1" customWidth="1"/>
    <col min="26" max="27" width="17.5" style="11" hidden="1" customWidth="1"/>
    <col min="28" max="28" width="17.5" style="12" hidden="1" customWidth="1"/>
    <col min="29" max="29" width="17.5" style="11" hidden="1" customWidth="1"/>
    <col min="30" max="32" width="17.6640625" style="11" hidden="1" customWidth="1"/>
    <col min="33" max="33" width="21.5" style="13" hidden="1" customWidth="1"/>
    <col min="34" max="34" width="18.1640625" style="13" hidden="1" customWidth="1"/>
    <col min="35" max="35" width="16.5" hidden="1" customWidth="1"/>
    <col min="36" max="36" width="16.5" style="14" hidden="1" customWidth="1"/>
    <col min="37" max="37" width="19.83203125" hidden="1" customWidth="1"/>
    <col min="38" max="38" width="17.83203125" hidden="1" customWidth="1"/>
    <col min="39" max="40" width="15.1640625" hidden="1" customWidth="1"/>
    <col min="41" max="41" width="15.83203125" hidden="1" customWidth="1"/>
    <col min="42" max="42" width="13" hidden="1" customWidth="1"/>
    <col min="43" max="43" width="21" hidden="1" customWidth="1"/>
    <col min="44" max="44" width="10.5" customWidth="1"/>
    <col min="45" max="45" width="9.1640625" customWidth="1"/>
    <col min="46" max="46" width="13.33203125" customWidth="1"/>
    <col min="47" max="49" width="9.1640625" customWidth="1"/>
    <col min="50" max="50" width="13.5" customWidth="1"/>
    <col min="51" max="51" width="15.1640625" bestFit="1" customWidth="1"/>
    <col min="52" max="52" width="15.1640625" customWidth="1"/>
    <col min="53" max="53" width="12.33203125" bestFit="1" customWidth="1"/>
    <col min="54" max="54" width="16" customWidth="1"/>
    <col min="55" max="55" width="17.1640625" customWidth="1"/>
    <col min="58" max="58" width="15.1640625" bestFit="1" customWidth="1"/>
    <col min="59" max="59" width="12.33203125" bestFit="1" customWidth="1"/>
    <col min="60" max="60" width="14.6640625" customWidth="1"/>
    <col min="61" max="61" width="17.33203125" customWidth="1"/>
    <col min="65" max="65" width="18.83203125" style="15" customWidth="1"/>
    <col min="66" max="66" width="9.6640625" style="15" customWidth="1"/>
    <col min="67" max="67" width="19.33203125" style="15" customWidth="1"/>
    <col min="68" max="68" width="11.6640625" style="16" customWidth="1"/>
    <col min="69" max="72" width="39.33203125" style="15" customWidth="1"/>
    <col min="73" max="73" width="17.33203125" style="16" customWidth="1"/>
    <col min="74" max="74" width="23.33203125" style="16" customWidth="1"/>
    <col min="75" max="75" width="15.33203125" style="16" customWidth="1"/>
    <col min="76" max="77" width="18.83203125" style="16" customWidth="1"/>
    <col min="78" max="78" width="15.83203125" style="16" customWidth="1"/>
    <col min="79" max="79" width="24.6640625" style="16" customWidth="1"/>
    <col min="80" max="80" width="15.33203125" style="16" customWidth="1"/>
    <col min="81" max="81" width="16.5" style="16" customWidth="1"/>
    <col min="82" max="82" width="32.6640625" style="16" customWidth="1"/>
    <col min="83" max="83" width="18.6640625" style="16" customWidth="1"/>
    <col min="84" max="84" width="13.5" customWidth="1"/>
    <col min="85" max="86" width="12" customWidth="1"/>
    <col min="87" max="87" width="18" customWidth="1"/>
    <col min="109" max="110" width="24.5" bestFit="1" customWidth="1"/>
    <col min="111" max="111" width="25.5" bestFit="1" customWidth="1"/>
  </cols>
  <sheetData>
    <row r="1" spans="1:108" ht="15" customHeight="1" x14ac:dyDescent="0.2">
      <c r="A1" s="1"/>
      <c r="B1" s="2"/>
      <c r="C1" s="2"/>
      <c r="D1" s="2"/>
      <c r="E1" s="2"/>
      <c r="F1" s="3"/>
      <c r="G1" s="4" t="str">
        <f>'[1]Standard Details'!E10</f>
        <v>POS4</v>
      </c>
      <c r="H1" s="5"/>
      <c r="I1" s="5"/>
      <c r="J1" s="5"/>
      <c r="K1" s="5"/>
      <c r="L1" s="5"/>
      <c r="M1" s="5"/>
      <c r="N1" s="5"/>
      <c r="O1" s="5"/>
      <c r="P1" s="5"/>
      <c r="Q1" s="6"/>
      <c r="R1" s="7" t="s">
        <v>0</v>
      </c>
      <c r="S1" s="8"/>
      <c r="T1" s="9" t="str">
        <f>'[1]Standard Details'!E21</f>
        <v>Talison</v>
      </c>
      <c r="U1" s="10"/>
      <c r="BC1" t="s">
        <v>1</v>
      </c>
    </row>
    <row r="2" spans="1:108" ht="15" customHeight="1" x14ac:dyDescent="0.2">
      <c r="A2" s="17"/>
      <c r="E2"/>
      <c r="F2" s="18"/>
      <c r="G2" s="19"/>
      <c r="H2" s="20"/>
      <c r="I2" s="20"/>
      <c r="J2" s="20"/>
      <c r="K2" s="20"/>
      <c r="L2" s="20"/>
      <c r="M2" s="20"/>
      <c r="N2" s="20"/>
      <c r="O2" s="20"/>
      <c r="P2" s="20"/>
      <c r="Q2" s="21"/>
      <c r="R2" s="22" t="s">
        <v>2</v>
      </c>
      <c r="S2" s="23"/>
      <c r="T2" s="24" t="str">
        <f>'[1]Standard Details'!E22</f>
        <v>A</v>
      </c>
      <c r="U2" s="25"/>
    </row>
    <row r="3" spans="1:108" ht="15.75" customHeight="1" x14ac:dyDescent="0.2">
      <c r="A3" s="17"/>
      <c r="E3"/>
      <c r="F3" s="18"/>
      <c r="G3" s="19"/>
      <c r="H3" s="20"/>
      <c r="I3" s="20"/>
      <c r="J3" s="20"/>
      <c r="K3" s="20"/>
      <c r="L3" s="20"/>
      <c r="M3" s="20"/>
      <c r="N3" s="20"/>
      <c r="O3" s="20"/>
      <c r="P3" s="20"/>
      <c r="Q3" s="21"/>
      <c r="R3" s="22" t="s">
        <v>3</v>
      </c>
      <c r="S3" s="23"/>
      <c r="T3" s="24" t="str">
        <f>'[1]Standard Details'!E23</f>
        <v>AG</v>
      </c>
      <c r="U3" s="25"/>
      <c r="BC3" t="s">
        <v>4</v>
      </c>
    </row>
    <row r="4" spans="1:108" ht="15" customHeight="1" x14ac:dyDescent="0.2">
      <c r="A4" s="17"/>
      <c r="E4"/>
      <c r="F4" s="18"/>
      <c r="G4" s="26" t="str">
        <f>BC1&amp;" - "&amp;BD3</f>
        <v xml:space="preserve">ELECTRICAL LOADS LIST SUBSTATION - </v>
      </c>
      <c r="H4" s="27"/>
      <c r="I4" s="27"/>
      <c r="J4" s="27"/>
      <c r="K4" s="27"/>
      <c r="L4" s="27"/>
      <c r="M4" s="27"/>
      <c r="N4" s="27"/>
      <c r="O4" s="27"/>
      <c r="P4" s="27"/>
      <c r="Q4" s="28"/>
      <c r="R4" s="22" t="s">
        <v>5</v>
      </c>
      <c r="S4" s="23"/>
      <c r="T4" s="29">
        <f ca="1">'[1]Standard Details'!E24</f>
        <v>44109</v>
      </c>
      <c r="U4" s="25"/>
      <c r="BC4" t="s">
        <v>6</v>
      </c>
      <c r="BG4">
        <v>3</v>
      </c>
    </row>
    <row r="5" spans="1:108" ht="15" customHeight="1" x14ac:dyDescent="0.2">
      <c r="A5" s="17"/>
      <c r="E5"/>
      <c r="F5" s="18"/>
      <c r="G5" s="26"/>
      <c r="H5" s="27"/>
      <c r="I5" s="27"/>
      <c r="J5" s="27"/>
      <c r="K5" s="27"/>
      <c r="L5" s="27"/>
      <c r="M5" s="27"/>
      <c r="N5" s="27"/>
      <c r="O5" s="27"/>
      <c r="P5" s="27"/>
      <c r="Q5" s="28"/>
      <c r="R5" s="22" t="s">
        <v>7</v>
      </c>
      <c r="S5" s="23"/>
      <c r="T5" s="24" t="str">
        <f>'[1]Standard Details'!E25</f>
        <v>RN</v>
      </c>
      <c r="U5" s="25"/>
      <c r="BC5" t="s">
        <v>8</v>
      </c>
      <c r="BF5" t="str">
        <f>'[1]Standard Details'!E6</f>
        <v>No</v>
      </c>
    </row>
    <row r="6" spans="1:108" ht="15.75" customHeight="1" thickBot="1" x14ac:dyDescent="0.25">
      <c r="A6" s="30"/>
      <c r="B6" s="31"/>
      <c r="C6" s="31"/>
      <c r="D6" s="31"/>
      <c r="E6" s="31"/>
      <c r="F6" s="32"/>
      <c r="G6" s="33"/>
      <c r="H6" s="34"/>
      <c r="I6" s="34"/>
      <c r="J6" s="34"/>
      <c r="K6" s="34"/>
      <c r="L6" s="34"/>
      <c r="M6" s="34"/>
      <c r="N6" s="34"/>
      <c r="O6" s="34"/>
      <c r="P6" s="34"/>
      <c r="Q6" s="35"/>
      <c r="R6" s="36" t="s">
        <v>9</v>
      </c>
      <c r="S6" s="37"/>
      <c r="T6" s="38">
        <f ca="1">'[1]Standard Details'!E26</f>
        <v>44109</v>
      </c>
      <c r="U6" s="39"/>
    </row>
    <row r="7" spans="1:108" s="61" customFormat="1" ht="25.5" customHeight="1" thickBot="1" x14ac:dyDescent="0.25">
      <c r="A7" s="40"/>
      <c r="B7" s="41"/>
      <c r="C7" s="41"/>
      <c r="D7" s="41"/>
      <c r="E7" s="42"/>
      <c r="F7" s="43"/>
      <c r="G7" s="43"/>
      <c r="H7" s="44"/>
      <c r="I7" s="44"/>
      <c r="J7" s="45"/>
      <c r="K7" s="44"/>
      <c r="L7" s="44"/>
      <c r="M7" s="44"/>
      <c r="N7" s="44"/>
      <c r="O7" s="44"/>
      <c r="P7" s="44"/>
      <c r="Q7" s="43"/>
      <c r="R7" s="46"/>
      <c r="S7" s="47"/>
      <c r="T7" s="48"/>
      <c r="U7" s="49"/>
      <c r="V7" s="43"/>
      <c r="W7" s="50" t="s">
        <v>10</v>
      </c>
      <c r="X7" s="50"/>
      <c r="Y7" s="50"/>
      <c r="Z7" s="51"/>
      <c r="AA7" s="52" t="s">
        <v>11</v>
      </c>
      <c r="AB7" s="53"/>
      <c r="AC7" s="54" t="s">
        <v>12</v>
      </c>
      <c r="AD7" s="55" t="s">
        <v>13</v>
      </c>
      <c r="AE7" s="55" t="s">
        <v>14</v>
      </c>
      <c r="AF7" s="55" t="s">
        <v>15</v>
      </c>
      <c r="AG7" s="56" t="s">
        <v>16</v>
      </c>
      <c r="AH7" s="56" t="s">
        <v>17</v>
      </c>
      <c r="AI7" s="57" t="s">
        <v>18</v>
      </c>
      <c r="AJ7" s="58" t="s">
        <v>19</v>
      </c>
      <c r="AK7" s="59" t="s">
        <v>20</v>
      </c>
      <c r="AL7" s="59" t="s">
        <v>21</v>
      </c>
      <c r="AM7" s="59"/>
      <c r="AN7" s="59"/>
      <c r="AO7" s="59"/>
      <c r="AP7" s="59"/>
      <c r="AQ7" s="59"/>
      <c r="AR7" s="60"/>
      <c r="AX7"/>
      <c r="BC7" t="s">
        <v>22</v>
      </c>
      <c r="BD7" s="62" t="str">
        <f>'[1]Standard Details'!E12</f>
        <v>Users\Ramaish Nathan\Documents\POS4</v>
      </c>
      <c r="BE7" s="16"/>
      <c r="BF7" s="16"/>
      <c r="BL7" s="63" t="str">
        <f>"CABLE SCHEDULE"&amp;" - " &amp;BN7</f>
        <v xml:space="preserve">CABLE SCHEDULE - </v>
      </c>
      <c r="BM7" s="61" t="s">
        <v>23</v>
      </c>
      <c r="BN7" s="64"/>
      <c r="BO7" s="64" t="s">
        <v>23</v>
      </c>
      <c r="BP7" s="65" t="s">
        <v>23</v>
      </c>
      <c r="BQ7" s="64" t="s">
        <v>23</v>
      </c>
      <c r="BR7" s="64" t="s">
        <v>23</v>
      </c>
      <c r="BS7" s="64" t="s">
        <v>23</v>
      </c>
      <c r="BT7" s="64" t="s">
        <v>23</v>
      </c>
      <c r="BU7" s="65" t="s">
        <v>23</v>
      </c>
      <c r="BV7" s="65" t="s">
        <v>23</v>
      </c>
      <c r="BW7" s="65" t="s">
        <v>23</v>
      </c>
      <c r="BX7" s="65" t="s">
        <v>23</v>
      </c>
      <c r="BY7" s="65" t="s">
        <v>23</v>
      </c>
      <c r="BZ7" s="65" t="s">
        <v>23</v>
      </c>
      <c r="CA7" s="65" t="s">
        <v>23</v>
      </c>
      <c r="CB7" s="65" t="s">
        <v>23</v>
      </c>
      <c r="CC7" s="65" t="s">
        <v>23</v>
      </c>
      <c r="CD7" s="65" t="s">
        <v>23</v>
      </c>
      <c r="CE7" s="65" t="s">
        <v>23</v>
      </c>
      <c r="CF7" s="66" t="s">
        <v>23</v>
      </c>
    </row>
    <row r="8" spans="1:108" s="62" customFormat="1" ht="45.75" customHeight="1" x14ac:dyDescent="0.2">
      <c r="A8" s="67" t="s">
        <v>24</v>
      </c>
      <c r="B8" s="68" t="s">
        <v>25</v>
      </c>
      <c r="C8" s="69" t="s">
        <v>26</v>
      </c>
      <c r="D8" s="69" t="s">
        <v>27</v>
      </c>
      <c r="E8" s="69" t="s">
        <v>28</v>
      </c>
      <c r="F8" s="69" t="s">
        <v>29</v>
      </c>
      <c r="G8" s="69" t="s">
        <v>30</v>
      </c>
      <c r="H8" s="69" t="s">
        <v>31</v>
      </c>
      <c r="I8" s="69" t="s">
        <v>32</v>
      </c>
      <c r="J8" s="69" t="s">
        <v>33</v>
      </c>
      <c r="K8" s="69" t="s">
        <v>34</v>
      </c>
      <c r="L8" s="69" t="s">
        <v>35</v>
      </c>
      <c r="M8" s="68" t="s">
        <v>36</v>
      </c>
      <c r="N8" s="68" t="s">
        <v>37</v>
      </c>
      <c r="O8" s="68" t="s">
        <v>38</v>
      </c>
      <c r="P8" s="68" t="s">
        <v>39</v>
      </c>
      <c r="Q8" s="68" t="s">
        <v>40</v>
      </c>
      <c r="R8" s="68" t="s">
        <v>41</v>
      </c>
      <c r="S8" s="68" t="s">
        <v>42</v>
      </c>
      <c r="T8" s="68" t="s">
        <v>43</v>
      </c>
      <c r="U8" s="70" t="s">
        <v>44</v>
      </c>
      <c r="V8" s="71" t="s">
        <v>45</v>
      </c>
      <c r="W8" s="72" t="s">
        <v>46</v>
      </c>
      <c r="X8" s="73" t="s">
        <v>47</v>
      </c>
      <c r="Y8" s="73" t="s">
        <v>48</v>
      </c>
      <c r="Z8" s="73" t="s">
        <v>49</v>
      </c>
      <c r="AA8" s="73" t="s">
        <v>50</v>
      </c>
      <c r="AB8" s="73" t="s">
        <v>51</v>
      </c>
      <c r="AC8" s="73" t="s">
        <v>12</v>
      </c>
      <c r="AD8" s="73" t="s">
        <v>13</v>
      </c>
      <c r="AE8" s="74" t="s">
        <v>14</v>
      </c>
      <c r="AF8" s="75" t="s">
        <v>15</v>
      </c>
      <c r="AG8" s="75" t="s">
        <v>16</v>
      </c>
      <c r="AH8" s="75" t="s">
        <v>17</v>
      </c>
      <c r="AI8" s="72" t="s">
        <v>52</v>
      </c>
      <c r="AJ8" s="72" t="s">
        <v>53</v>
      </c>
      <c r="AK8" s="72" t="s">
        <v>20</v>
      </c>
      <c r="AL8" s="72" t="s">
        <v>21</v>
      </c>
      <c r="AM8" s="76" t="s">
        <v>54</v>
      </c>
      <c r="AN8" s="76" t="s">
        <v>55</v>
      </c>
      <c r="AO8" s="76" t="s">
        <v>56</v>
      </c>
      <c r="AP8" s="77" t="s">
        <v>57</v>
      </c>
      <c r="AQ8" s="77" t="s">
        <v>58</v>
      </c>
      <c r="AR8" s="78"/>
      <c r="AS8" s="79"/>
      <c r="AX8"/>
      <c r="BC8" t="e">
        <f>#REF!</f>
        <v>#REF!</v>
      </c>
      <c r="BD8"/>
      <c r="BE8"/>
      <c r="BF8" t="str">
        <f>'[1]Standard Details'!E5</f>
        <v>No</v>
      </c>
      <c r="BK8" s="80"/>
      <c r="BL8" s="81" t="s">
        <v>59</v>
      </c>
      <c r="BM8" s="81" t="s">
        <v>60</v>
      </c>
      <c r="BN8" s="82" t="s">
        <v>61</v>
      </c>
      <c r="BO8" s="82" t="s">
        <v>62</v>
      </c>
      <c r="BP8" s="82" t="s">
        <v>29</v>
      </c>
      <c r="BQ8" s="83" t="s">
        <v>63</v>
      </c>
      <c r="BR8" s="84" t="s">
        <v>23</v>
      </c>
      <c r="BS8" s="83" t="s">
        <v>64</v>
      </c>
      <c r="BT8" s="84" t="s">
        <v>23</v>
      </c>
      <c r="BU8" s="82" t="s">
        <v>28</v>
      </c>
      <c r="BV8" s="82" t="s">
        <v>65</v>
      </c>
      <c r="BW8" s="82" t="s">
        <v>66</v>
      </c>
      <c r="BX8" s="82" t="s">
        <v>67</v>
      </c>
      <c r="BY8" s="82" t="s">
        <v>68</v>
      </c>
      <c r="BZ8" s="82" t="s">
        <v>69</v>
      </c>
      <c r="CA8" s="82" t="s">
        <v>70</v>
      </c>
      <c r="CB8" s="82" t="s">
        <v>71</v>
      </c>
      <c r="CC8" s="82" t="s">
        <v>72</v>
      </c>
      <c r="CD8" s="82" t="s">
        <v>21</v>
      </c>
      <c r="CE8" s="85" t="s">
        <v>73</v>
      </c>
      <c r="CF8" s="85" t="s">
        <v>74</v>
      </c>
      <c r="CG8" s="85" t="s">
        <v>75</v>
      </c>
      <c r="CH8" s="85" t="s">
        <v>76</v>
      </c>
      <c r="CI8" s="85" t="s">
        <v>77</v>
      </c>
    </row>
    <row r="9" spans="1:108" x14ac:dyDescent="0.2">
      <c r="A9" s="86"/>
      <c r="B9" s="87" t="str">
        <f>IFERROR(VLOOKUP($A9,[1]DataPivot!$A$3:$AD$4000,MATCH(LEFT(B$8,4)&amp;"*",[1]DataPivot!$3:$3,0),0),"")</f>
        <v/>
      </c>
      <c r="C9" s="88" t="str">
        <f>IFERROR(VLOOKUP($A9,[1]DataPivot!$A$3:$AD$4000,MATCH(LEFT(C$8,4)&amp;"*",[1]DataPivot!$3:$3,0),0),"")</f>
        <v/>
      </c>
      <c r="D9" s="89" t="str">
        <f>IFERROR(VLOOKUP($A9,[1]DataPivot!$A$3:$AD$4000,MATCH(LEFT(D$8,4)&amp;"*",[1]DataPivot!$3:$3,0),0),"")</f>
        <v/>
      </c>
      <c r="E9" s="89" t="str">
        <f>IFERROR(VLOOKUP($A9,[1]DataPivot!$A$3:$AD$4000,MATCH(LEFT(E$8,4)&amp;"*",[1]DataPivot!$3:$3,0),0),"")</f>
        <v/>
      </c>
      <c r="F9" s="89" t="str">
        <f>IFERROR(VLOOKUP($A9,[1]DataPivot!$A$3:$AD$4000,MATCH(LEFT(F$8,4)&amp;"*",[1]DataPivot!$3:$3,0),0),"")</f>
        <v/>
      </c>
      <c r="G9" s="90" t="str">
        <f>IFERROR(VLOOKUP($A9,[1]DataPivot!$A$3:$AD$4000,MATCH(LEFT(G$8,4)&amp;"*",[1]DataPivot!$3:$3,0),0),"")</f>
        <v/>
      </c>
      <c r="H9" s="91" t="str">
        <f>IFERROR(VLOOKUP($A9,[1]DataPivot!$A$3:$AD$4000,MATCH(LEFT(H$8,4)&amp;"*",[1]DataPivot!$3:$3,0),0),"")</f>
        <v/>
      </c>
      <c r="I9" s="88" t="str">
        <f>IFERROR(VLOOKUP($A9,[1]DataPivot!$A$3:$AD$4000,MATCH(LEFT(I$8,4)&amp;"*",[1]DataPivot!$3:$3,0),0),"")</f>
        <v/>
      </c>
      <c r="J9" s="88" t="str">
        <f>IFERROR(VLOOKUP($A9,[1]DataPivot!$A$3:$AD$4000,MATCH(LEFT(J$8,4)&amp;"*",[1]DataPivot!$3:$3,0),0),"")</f>
        <v/>
      </c>
      <c r="K9" s="88" t="str">
        <f>IFERROR(VLOOKUP($J9,[1]Database!$B$3:$D$53,2),"")</f>
        <v/>
      </c>
      <c r="L9" s="89" t="str">
        <f>IFERROR(IF(OR($E9="VSD",$E9="VSD Dual"),[1]Database!$D$56,VLOOKUP($J9,[1]Database!$B$3:$D$53,3)),"")</f>
        <v/>
      </c>
      <c r="M9" s="87" t="str">
        <f>IFERROR(ROUND(J9/K9/L9,1),"")</f>
        <v/>
      </c>
      <c r="N9" s="87" t="str">
        <f>IFERROR(ROUND(TAN(ACOS(L9)),2),"")</f>
        <v/>
      </c>
      <c r="O9" s="87" t="str">
        <f>IFERROR(IF(G9="STANDBY",0,VLOOKUP(D9,[1]Database!$A$63:$D$99,3,0)),"")</f>
        <v/>
      </c>
      <c r="P9" s="87" t="str">
        <f>IFERROR(IF(G9="STANDBY",0,VLOOKUP(D9,[1]Database!$A$63:$D$99,4,0)),"")</f>
        <v/>
      </c>
      <c r="Q9" s="87" t="str">
        <f>IFERROR(O9*P9,"")</f>
        <v/>
      </c>
      <c r="R9" s="87" t="str">
        <f>IFERROR(ROUND(+J9*O9,1),"")</f>
        <v/>
      </c>
      <c r="S9" s="87" t="str">
        <f>IFERROR(ROUND(+N9*R9,1),"")</f>
        <v/>
      </c>
      <c r="T9" s="87" t="str">
        <f>IFERROR(ROUND(+M9*O9,1),"")</f>
        <v/>
      </c>
      <c r="U9" s="92" t="str">
        <f>IFERROR(ROUND(+J9*Q9,1),"")</f>
        <v/>
      </c>
      <c r="V9" s="93" t="str">
        <f>IFERROR(ROUND(+Q9*M9,1),"")</f>
        <v/>
      </c>
      <c r="W9" s="93" t="str">
        <f>IFERROR(24*P9,"")</f>
        <v/>
      </c>
      <c r="X9" s="87" t="str">
        <f>IFERROR(R9*W9,"")</f>
        <v/>
      </c>
      <c r="Y9" s="87">
        <v>365</v>
      </c>
      <c r="Z9" s="87" t="str">
        <f>IFERROR(X9*Y9,"")</f>
        <v/>
      </c>
      <c r="AA9" s="87" t="str">
        <f>IFERROR(VLOOKUP($A9,[1]DataPivot!$A$3:$BT$4260,MATCH(LEFT(AA$8,4)&amp;"*",[1]DataPivot!$3:$3,0),0),"")</f>
        <v/>
      </c>
      <c r="AB9" s="87" t="str">
        <f>IFERROR(VLOOKUP($AA9,[1]Database!$N$49:$O$53,2,FALSE),"")</f>
        <v/>
      </c>
      <c r="AC9" s="87" t="str">
        <f>IFERROR(V9*AB9,"")</f>
        <v/>
      </c>
      <c r="AD9" s="87" t="str">
        <f>IFERROR(AB9*1,"")</f>
        <v/>
      </c>
      <c r="AE9" s="87" t="str">
        <f>IFERROR(IF(F9=6600,0,VLOOKUP(J9,'[1]VSD Cost Database'!$A$65:$G$100,6)),"")</f>
        <v/>
      </c>
      <c r="AF9" s="94" t="str">
        <f>IFERROR(IF(F9=6600,0,VLOOKUP(J9,'[1]VSD Cost Database'!$A$65:$G$100,7)),"")</f>
        <v/>
      </c>
      <c r="AG9" s="95" t="str">
        <f>IFERROR(IF(F9=6600,0,IF(OR($E9="VSD",$E9="VSD Dual"),VLOOKUP(J9,'[1]VSD Cost Database'!$A$65:$B$100,2),IF(E9="FEEDER",VLOOKUP(J9,'[1]VSD Cost Database'!$A$65:$B$100,2),VLOOKUP(J9,'[1]VSD Cost Database'!$D$65:$E$100,2)))),"")</f>
        <v/>
      </c>
      <c r="AH9" s="95">
        <f>IFERROR(IF(OR($E9="VSD",$E9="VSD Dual"),VLOOKUP(J9,'[1]VSD Cost Database'!$A$4:$L$45,12),0),"-")</f>
        <v>0</v>
      </c>
      <c r="AI9" s="96"/>
      <c r="AJ9" s="97"/>
      <c r="AK9" s="96"/>
      <c r="AL9" s="96"/>
      <c r="AM9" s="98" t="str">
        <f>IFERROR(IF(F9&gt;415,"",VLOOKUP(J9,'[1]VSD Cost Database'!$J$66:$L$98,3)),"")</f>
        <v/>
      </c>
      <c r="AN9" s="98" t="str">
        <f>IFERROR((J9*1000)/(SQRT(3)*L9*K9*F9),"")</f>
        <v/>
      </c>
      <c r="AO9" s="99" t="str">
        <f>IFERROR(IF($BF$8="No","",IF(AN9&lt;=12.8,16,IF(AN9&lt;=16,20,IF(AN9&lt;=20,25,IF(AN9&lt;=25.6,32,IF(AN9&lt;=32,40,IF(AN9&lt;=50.4,63,IF(AN9&lt;=64,80,IF(AN9&lt;=80,100,IF(AN9&lt;=100,125,IF(AN9&lt;=128,160,IF(AN9&lt;=160,200,IF(AN9&lt;=252,315,IF(AN9&lt;=320,400,IF(AN9&lt;=400,500,IF(AN9=504,630,IF(AN9&lt;=640,800,IF(AN9&lt;=800,1000,IF(AN9&lt;=1000,1250,IF(AN9&lt;=1280,1600,"")))))))))))))))))))),"")</f>
        <v/>
      </c>
      <c r="AP9" s="100">
        <f>$F$22</f>
        <v>0</v>
      </c>
      <c r="AQ9" s="100">
        <f>SUMIFS(CH9:CH9988,BM9:BM9988,A9)</f>
        <v>0</v>
      </c>
      <c r="AR9" s="101"/>
      <c r="AS9" s="101"/>
      <c r="AT9" s="101"/>
      <c r="AU9" s="101"/>
      <c r="AV9" s="101"/>
      <c r="AW9" s="101"/>
      <c r="AX9" s="101"/>
      <c r="BK9" s="102">
        <f>SUBTOTAL(103,BL8:$BM$9)</f>
        <v>4</v>
      </c>
      <c r="BL9" s="102" t="s">
        <v>23</v>
      </c>
      <c r="BM9" s="103" t="s">
        <v>23</v>
      </c>
      <c r="BN9" s="103" t="s">
        <v>23</v>
      </c>
      <c r="BO9" s="103" t="str">
        <f>CONCATENATE(BM9,"-",BN9)</f>
        <v>.-.</v>
      </c>
      <c r="BP9" s="102">
        <f>IFERROR(IF(OR(BN9="P1",BN9="P2",BN9="P3",BN9="P"),VLOOKUP(BM9,$A$8:$H$19,6,FALSE),24),"")</f>
        <v>24</v>
      </c>
      <c r="BQ9" s="104" t="s">
        <v>23</v>
      </c>
      <c r="BR9" s="105" t="str">
        <f>BM9</f>
        <v>.</v>
      </c>
      <c r="BS9" s="104" t="s">
        <v>23</v>
      </c>
      <c r="BT9" s="105" t="str">
        <f>BM9</f>
        <v>.</v>
      </c>
      <c r="BU9" s="102">
        <f>IFERROR(VLOOKUP($BM9,$A$7:$EE$3889,MATCH(LEFT(BU$8,6)&amp;"*",$8:$8,0),0),"")</f>
        <v>0</v>
      </c>
      <c r="BV9" s="102">
        <f>IFERROR(IF(OR(BN9="C1",BN9="C2",BN9="C3",BN9="C"),1.5,VLOOKUP($BM9,$A$7:$EE$3889,MATCH(LEFT(BV$8,4)&amp;"*",$8:$8,0),0)),"")</f>
        <v>0</v>
      </c>
      <c r="BW9" s="102" t="b">
        <f>IF(BP9=6600,"3C",IF(OR(BP9=230,BP9=240),"2C+E",IF(BU9="Feeder","3C+E",IF(BU9="VSD",IF(OR(BN9="P1",BN9="P2",BN9="P3",BN9="P"),IF(AND(BQ9="MCC",BS9="VSD"),"3C+E",IF(OR(AND(BQ9="VSD",BS9="Field Isolator"),AND(BQ9="VSD",BS9="Motor")),"3C+3E",IF(AND(BQ9="Field Isolator",BS9="Motor"),"3C+3E",""))),IF(AND(BQ9="MCC",BS9="VSD"),'[1]Standard Details'!$E$15,IF(AND(BQ9="VSD",BS9="Field Isolator"),'[1]Standard Details'!$E$17,IF(AND(BQ9="VSD",BS9="Motor"),IF(CF9&gt;='[1]Standard Details'!$C$44,"8 Triad",'[1]Standard Details'!$E$18))))),IF(BU9="DOL",IF(OR(BN9="P1",BN9="P2",BN9="P3",BN9="P"),IF(OR(AND(BQ9="MCC",BS9="Field Isolator"),AND(BQ9="MCC",BS9="Motor")),"3C+E",IF(AND(BQ9="Field Isolator",BS9="Motor"),"3C+E","")),IF(AND(BQ9="MCC",BS9="Field Isolator"),'[1]Standard Details'!$E$16,IF(AND(BQ9="MCC",BS9="Motor"),IF(CF9&gt;='[1]Standard Details'!$C$44,"8 Triad",'[1]Standard Details'!$E$18)))))))))</f>
        <v>0</v>
      </c>
      <c r="BX9" s="102" t="str">
        <f>IFERROR(IF(OR(BN9="P1",BN9="P2",BN9="P3",BN9="P"),IF(BP9=415,"0.6/1kV",IF(BP9=6600,"3.86/6.6kV","-")),"300V"),"")</f>
        <v>300V</v>
      </c>
      <c r="BY9" s="102" t="s">
        <v>23</v>
      </c>
      <c r="BZ9" s="102">
        <v>150</v>
      </c>
      <c r="CA9" s="102" t="s">
        <v>23</v>
      </c>
      <c r="CB9" s="102" t="s">
        <v>23</v>
      </c>
      <c r="CC9" s="102" t="str">
        <f>IFERROR(IF(OR(BN9="P1",BN9="P2",BN9="P3",BN9="P"),VLOOKUP($BM9,$A$7:$EE$3889,MATCH(LEFT(CC$8,6)&amp;"*",$8:$8,0),0),""),"")</f>
        <v/>
      </c>
      <c r="CD9" s="102" t="str">
        <f>IFERROR(IF(OR(BN9="P1",BN9="P2",BN9="P3",BN9="P"),VLOOKUP($BM9,$A$7:$EE$3889,MATCH(LEFT(CD$8,4)&amp;"*",$8:$8,0),0),""),"")</f>
        <v/>
      </c>
      <c r="CE9" s="102" t="str">
        <f>IFERROR(IF(OR(BN9="P1",BN9="P2",BN9="P3",BN9="P"),VLOOKUP($BM9,$A$7:$EE$3889,MATCH(LEFT(CE$8,4)&amp;"*",$8:$8,0),0),""),"")</f>
        <v/>
      </c>
      <c r="CF9" s="102" t="str">
        <f ca="1">IFERROR(VLOOKUP($BM9,$A$7:$EE$3889,MATCH(LEFT(CF$8,4)&amp;"*",$8:$8,0),0),"")</f>
        <v/>
      </c>
      <c r="CG9" s="102" t="str">
        <f>CONCATENATE(BY9,BV9,BW9)</f>
        <v>.0FALSE</v>
      </c>
      <c r="CH9" s="102" t="str">
        <f>IFERROR(VLOOKUP(CG9,'[1]Cable Database'!$A$4:$G$1023,5,FALSE),"")</f>
        <v/>
      </c>
      <c r="CI9" s="102" t="str">
        <f>IF(OR(BN9="P",BN9="P1",BN9="P2",BN9="P3"),IF(CF9&lt;=185,VLOOKUP(CF9,[1]Database!$Q$4:$R$25,2)),"")</f>
        <v/>
      </c>
      <c r="DD9" t="s">
        <v>23</v>
      </c>
    </row>
    <row r="10" spans="1:108" x14ac:dyDescent="0.2">
      <c r="A10" s="86"/>
      <c r="B10" s="87"/>
      <c r="C10" s="88"/>
      <c r="D10" s="89"/>
      <c r="E10" s="89"/>
      <c r="F10" s="89"/>
      <c r="G10" s="90"/>
      <c r="H10" s="91"/>
      <c r="I10" s="88"/>
      <c r="J10" s="88"/>
      <c r="K10" s="88"/>
      <c r="L10" s="89"/>
      <c r="M10" s="89"/>
      <c r="N10" s="87"/>
      <c r="O10" s="87"/>
      <c r="P10" s="87"/>
      <c r="Q10" s="87"/>
      <c r="R10" s="89"/>
      <c r="S10" s="87"/>
      <c r="T10" s="87"/>
      <c r="U10" s="106"/>
      <c r="V10" s="93"/>
      <c r="W10" s="93"/>
      <c r="X10" s="87"/>
      <c r="Y10" s="87"/>
      <c r="Z10" s="87"/>
      <c r="AA10" s="87"/>
      <c r="AB10" s="87"/>
      <c r="AC10" s="87"/>
      <c r="AD10" s="87"/>
      <c r="AE10" s="87"/>
      <c r="AF10" s="94"/>
      <c r="AG10" s="95"/>
      <c r="AH10" s="95"/>
      <c r="AI10" s="96"/>
      <c r="AJ10" s="97"/>
      <c r="AK10" s="96"/>
      <c r="AL10" s="96"/>
      <c r="AM10" s="98"/>
      <c r="AN10" s="98"/>
      <c r="AO10" s="99"/>
      <c r="AP10" s="100"/>
      <c r="AQ10" s="100"/>
      <c r="AR10" s="101"/>
      <c r="AS10" s="101"/>
      <c r="AT10" s="101"/>
      <c r="AU10" s="101"/>
      <c r="AV10" s="101"/>
      <c r="AW10" s="101"/>
      <c r="AX10" s="101"/>
      <c r="BK10" s="16"/>
      <c r="BL10" s="16"/>
      <c r="CF10" s="16"/>
      <c r="CG10" s="16"/>
      <c r="CH10" s="16"/>
      <c r="CI10" s="16"/>
    </row>
    <row r="11" spans="1:108" x14ac:dyDescent="0.2">
      <c r="A11" s="86"/>
      <c r="B11" s="87"/>
      <c r="C11" s="88"/>
      <c r="D11" s="89"/>
      <c r="E11" s="89"/>
      <c r="F11" s="89"/>
      <c r="G11" s="90"/>
      <c r="H11" s="91"/>
      <c r="I11" s="88"/>
      <c r="J11" s="88"/>
      <c r="K11" s="88"/>
      <c r="L11" s="89"/>
      <c r="M11" s="89"/>
      <c r="N11" s="87"/>
      <c r="O11" s="87"/>
      <c r="P11" s="87"/>
      <c r="Q11" s="87"/>
      <c r="R11" s="89"/>
      <c r="S11" s="87"/>
      <c r="T11" s="87"/>
      <c r="U11" s="106"/>
      <c r="V11" s="93"/>
      <c r="W11" s="93"/>
      <c r="X11" s="87"/>
      <c r="Y11" s="87"/>
      <c r="Z11" s="87"/>
      <c r="AA11" s="87"/>
      <c r="AB11" s="87"/>
      <c r="AC11" s="87"/>
      <c r="AD11" s="87"/>
      <c r="AE11" s="87"/>
      <c r="AF11" s="94"/>
      <c r="AG11" s="95"/>
      <c r="AH11" s="95"/>
      <c r="AI11" s="96"/>
      <c r="AJ11" s="97"/>
      <c r="AK11" s="96"/>
      <c r="AL11" s="96"/>
      <c r="AM11" s="98"/>
      <c r="AN11" s="98"/>
      <c r="AO11" s="99"/>
      <c r="AP11" s="100"/>
      <c r="AQ11" s="100"/>
      <c r="AR11" s="101"/>
      <c r="AS11" s="101"/>
      <c r="AT11" s="101"/>
      <c r="AU11" s="101"/>
      <c r="AV11" s="101"/>
      <c r="AW11" s="101"/>
      <c r="AX11" s="101"/>
      <c r="BK11" s="16"/>
      <c r="BL11" s="16"/>
      <c r="CF11" s="16"/>
      <c r="CG11" s="16"/>
      <c r="CH11" s="16"/>
      <c r="CI11" s="16"/>
    </row>
    <row r="12" spans="1:108" ht="16" x14ac:dyDescent="0.2">
      <c r="A12" s="107"/>
      <c r="B12" s="87"/>
      <c r="C12" s="108"/>
      <c r="D12" s="108"/>
      <c r="E12" s="108"/>
      <c r="F12" s="108"/>
      <c r="G12" s="108"/>
      <c r="H12" s="109"/>
      <c r="I12" s="108"/>
      <c r="J12" s="108"/>
      <c r="K12" s="110"/>
      <c r="L12" s="111"/>
      <c r="M12" s="112" t="str">
        <f t="shared" ref="M12:M17" si="0">IFERROR(ROUND(J12/K12/L12,1),"")</f>
        <v/>
      </c>
      <c r="N12" s="113"/>
      <c r="O12" s="114"/>
      <c r="P12" s="114"/>
      <c r="Q12" s="115"/>
      <c r="R12" s="116"/>
      <c r="S12" s="117"/>
      <c r="T12" s="117"/>
      <c r="U12" s="118"/>
      <c r="V12" s="119"/>
      <c r="W12" s="119"/>
      <c r="X12" s="117"/>
      <c r="Y12" s="117"/>
      <c r="Z12" s="117"/>
      <c r="AA12" s="117"/>
      <c r="AB12" s="117"/>
      <c r="AC12" s="117"/>
      <c r="AD12" s="117"/>
      <c r="AE12" s="117"/>
      <c r="AF12" s="117"/>
      <c r="AG12" s="120"/>
      <c r="AH12" s="120"/>
      <c r="AI12" s="121"/>
      <c r="AJ12" s="122"/>
      <c r="AK12" s="121"/>
      <c r="AL12" s="121"/>
      <c r="AM12" s="123"/>
      <c r="AN12" s="123"/>
      <c r="AO12" s="99"/>
      <c r="AP12" s="100"/>
      <c r="AQ12" s="124"/>
      <c r="AR12" s="101"/>
      <c r="AS12" s="101"/>
      <c r="AT12" s="101"/>
      <c r="AU12" s="101"/>
      <c r="AV12" s="101"/>
      <c r="AW12" s="101"/>
      <c r="AX12" s="101"/>
    </row>
    <row r="13" spans="1:108" ht="16" x14ac:dyDescent="0.2">
      <c r="A13" s="107"/>
      <c r="B13" s="87"/>
      <c r="C13" s="108"/>
      <c r="D13" s="108"/>
      <c r="E13" s="108"/>
      <c r="F13" s="108"/>
      <c r="G13" s="108"/>
      <c r="H13" s="109"/>
      <c r="I13" s="108"/>
      <c r="J13" s="108"/>
      <c r="K13" s="110"/>
      <c r="L13" s="111"/>
      <c r="M13" s="112"/>
      <c r="N13" s="113"/>
      <c r="O13" s="114"/>
      <c r="P13" s="114"/>
      <c r="Q13" s="115"/>
      <c r="R13" s="116"/>
      <c r="S13" s="117"/>
      <c r="T13" s="117"/>
      <c r="U13" s="118"/>
      <c r="V13" s="119"/>
      <c r="W13" s="119"/>
      <c r="X13" s="117"/>
      <c r="Y13" s="117"/>
      <c r="Z13" s="117"/>
      <c r="AA13" s="117"/>
      <c r="AB13" s="117"/>
      <c r="AC13" s="117"/>
      <c r="AD13" s="117"/>
      <c r="AE13" s="117"/>
      <c r="AF13" s="117"/>
      <c r="AG13" s="120"/>
      <c r="AH13" s="120"/>
      <c r="AI13" s="121"/>
      <c r="AJ13" s="122"/>
      <c r="AK13" s="121"/>
      <c r="AL13" s="121"/>
      <c r="AM13" s="123"/>
      <c r="AN13" s="123"/>
      <c r="AO13" s="99"/>
      <c r="AP13" s="100"/>
      <c r="AQ13" s="124"/>
      <c r="AR13" s="101"/>
      <c r="AS13" s="101"/>
      <c r="AT13" s="101"/>
      <c r="AU13" s="101"/>
      <c r="AV13" s="101"/>
      <c r="AW13" s="101"/>
      <c r="AX13" s="101"/>
    </row>
    <row r="14" spans="1:108" ht="16" x14ac:dyDescent="0.2">
      <c r="A14" s="107"/>
      <c r="B14" s="87"/>
      <c r="C14" s="125"/>
      <c r="D14" s="126"/>
      <c r="E14" s="125"/>
      <c r="F14" s="125"/>
      <c r="G14" s="127"/>
      <c r="H14" s="128" t="s">
        <v>78</v>
      </c>
      <c r="I14" s="125"/>
      <c r="J14" s="129"/>
      <c r="K14" s="130"/>
      <c r="L14" s="130"/>
      <c r="M14" s="112" t="str">
        <f t="shared" si="0"/>
        <v/>
      </c>
      <c r="N14" s="130"/>
      <c r="O14" s="130"/>
      <c r="P14" s="130"/>
      <c r="Q14" s="130"/>
      <c r="R14" s="116"/>
      <c r="S14" s="130"/>
      <c r="T14" s="130"/>
      <c r="U14" s="118"/>
      <c r="V14" s="131"/>
      <c r="W14" s="131"/>
      <c r="X14" s="130"/>
      <c r="Y14" s="130"/>
      <c r="Z14" s="130"/>
      <c r="AA14" s="130"/>
      <c r="AB14" s="132"/>
      <c r="AC14" s="130"/>
      <c r="AD14" s="130"/>
      <c r="AE14" s="130"/>
      <c r="AF14" s="130"/>
      <c r="AG14" s="120"/>
      <c r="AH14" s="120"/>
      <c r="AI14" s="121"/>
      <c r="AJ14" s="122"/>
      <c r="AK14" s="121"/>
      <c r="AL14" s="121"/>
      <c r="AM14" s="123"/>
      <c r="AN14" s="123"/>
      <c r="AO14" s="99"/>
      <c r="AP14" s="100"/>
      <c r="AQ14" s="124"/>
      <c r="AR14" s="101"/>
      <c r="AS14" s="101"/>
      <c r="AT14" s="101"/>
      <c r="AU14" s="101"/>
      <c r="AV14" s="101"/>
      <c r="AW14" s="101"/>
      <c r="AX14" s="101"/>
    </row>
    <row r="15" spans="1:108" ht="16" x14ac:dyDescent="0.2">
      <c r="A15" s="107" t="s">
        <v>79</v>
      </c>
      <c r="B15" s="87"/>
      <c r="C15" s="125"/>
      <c r="D15" s="126"/>
      <c r="E15" s="125"/>
      <c r="F15" s="125">
        <v>240</v>
      </c>
      <c r="G15" s="127"/>
      <c r="H15" s="133" t="s">
        <v>80</v>
      </c>
      <c r="I15" s="125"/>
      <c r="J15" s="130">
        <f>'[1]Standard Details'!E37</f>
        <v>0</v>
      </c>
      <c r="K15" s="130">
        <v>1</v>
      </c>
      <c r="L15" s="130">
        <v>1</v>
      </c>
      <c r="M15" s="130">
        <f t="shared" si="0"/>
        <v>0</v>
      </c>
      <c r="N15" s="130">
        <v>1</v>
      </c>
      <c r="O15" s="130">
        <v>0.75</v>
      </c>
      <c r="P15" s="130">
        <v>0.9</v>
      </c>
      <c r="Q15" s="130">
        <f>P15*O15</f>
        <v>0.67500000000000004</v>
      </c>
      <c r="R15" s="130">
        <f>IFERROR(ROUND(+J15*O15,1),"")</f>
        <v>0</v>
      </c>
      <c r="S15" s="130">
        <f>ROUND(+N15*R15,1)</f>
        <v>0</v>
      </c>
      <c r="T15" s="130">
        <f>ROUND(+M15*O15,1)</f>
        <v>0</v>
      </c>
      <c r="U15" s="134">
        <f>IFERROR(ROUND(+J15*Q15,1),"")</f>
        <v>0</v>
      </c>
      <c r="V15" s="131">
        <f>ROUND(+Q15*M15,1)</f>
        <v>0</v>
      </c>
      <c r="W15" s="130">
        <f>24*P15</f>
        <v>21.6</v>
      </c>
      <c r="X15" s="130">
        <f>R15*W15</f>
        <v>0</v>
      </c>
      <c r="Y15" s="130">
        <v>365</v>
      </c>
      <c r="Z15" s="130">
        <f>X15*Y15</f>
        <v>0</v>
      </c>
      <c r="AA15" s="130"/>
      <c r="AB15" s="132"/>
      <c r="AC15" s="130"/>
      <c r="AD15" s="130"/>
      <c r="AE15" s="130"/>
      <c r="AF15" s="130"/>
      <c r="AG15" s="120"/>
      <c r="AH15" s="120"/>
      <c r="AI15" s="121"/>
      <c r="AJ15" s="122"/>
      <c r="AK15" s="121"/>
      <c r="AL15" s="121"/>
      <c r="AM15" s="123"/>
      <c r="AN15" s="123"/>
      <c r="AO15" s="99"/>
      <c r="AP15" s="124"/>
      <c r="AQ15" s="124"/>
      <c r="AR15" s="101"/>
      <c r="AS15" s="101"/>
      <c r="AT15" s="101"/>
      <c r="AU15" s="101"/>
      <c r="AV15" s="101"/>
      <c r="AW15" s="101"/>
      <c r="AX15" s="101"/>
    </row>
    <row r="16" spans="1:108" ht="16" x14ac:dyDescent="0.2">
      <c r="A16" s="107" t="s">
        <v>81</v>
      </c>
      <c r="B16" s="87"/>
      <c r="C16" s="125"/>
      <c r="D16" s="126"/>
      <c r="E16" s="125"/>
      <c r="F16" s="125">
        <v>240</v>
      </c>
      <c r="G16" s="127"/>
      <c r="H16" s="133" t="s">
        <v>82</v>
      </c>
      <c r="I16" s="125"/>
      <c r="J16" s="130">
        <f>'[1]Standard Details'!E38</f>
        <v>3</v>
      </c>
      <c r="K16" s="130">
        <v>1</v>
      </c>
      <c r="L16" s="130">
        <v>1</v>
      </c>
      <c r="M16" s="130">
        <f t="shared" si="0"/>
        <v>3</v>
      </c>
      <c r="N16" s="130">
        <v>1</v>
      </c>
      <c r="O16" s="130">
        <v>0.75</v>
      </c>
      <c r="P16" s="130">
        <v>0.9</v>
      </c>
      <c r="Q16" s="130">
        <f>P16*O16</f>
        <v>0.67500000000000004</v>
      </c>
      <c r="R16" s="130">
        <f>IFERROR(ROUND(+J16*O16,1),"")</f>
        <v>2.2999999999999998</v>
      </c>
      <c r="S16" s="130">
        <f>ROUND(+N16*R16,1)</f>
        <v>2.2999999999999998</v>
      </c>
      <c r="T16" s="130">
        <f>ROUND(+M16*O16,1)</f>
        <v>2.2999999999999998</v>
      </c>
      <c r="U16" s="134">
        <f>IFERROR(ROUND(+J16*Q16,1),"")</f>
        <v>2</v>
      </c>
      <c r="V16" s="131"/>
      <c r="W16" s="130"/>
      <c r="X16" s="130"/>
      <c r="Y16" s="130"/>
      <c r="Z16" s="130"/>
      <c r="AA16" s="130"/>
      <c r="AB16" s="132"/>
      <c r="AC16" s="130"/>
      <c r="AD16" s="130"/>
      <c r="AE16" s="130"/>
      <c r="AF16" s="130"/>
      <c r="AG16" s="120"/>
      <c r="AH16" s="120"/>
      <c r="AI16" s="121"/>
      <c r="AJ16" s="122"/>
      <c r="AK16" s="121"/>
      <c r="AL16" s="121"/>
      <c r="AM16" s="123"/>
      <c r="AN16" s="123"/>
      <c r="AO16" s="99"/>
      <c r="AP16" s="124"/>
      <c r="AQ16" s="124"/>
      <c r="AR16" s="101"/>
      <c r="AS16" s="101"/>
      <c r="AT16" s="101"/>
      <c r="AU16" s="101"/>
      <c r="AV16" s="101"/>
      <c r="AW16" s="101"/>
      <c r="AX16" s="101"/>
    </row>
    <row r="17" spans="1:88" ht="16" x14ac:dyDescent="0.2">
      <c r="A17" s="107" t="s">
        <v>83</v>
      </c>
      <c r="B17" s="87"/>
      <c r="C17" s="125"/>
      <c r="D17" s="126"/>
      <c r="E17" s="125"/>
      <c r="F17" s="125">
        <v>240</v>
      </c>
      <c r="G17" s="127"/>
      <c r="H17" s="133" t="s">
        <v>84</v>
      </c>
      <c r="I17" s="125"/>
      <c r="J17" s="130">
        <f>'[1]Standard Details'!E39</f>
        <v>45</v>
      </c>
      <c r="K17" s="130">
        <v>1</v>
      </c>
      <c r="L17" s="130">
        <v>1</v>
      </c>
      <c r="M17" s="130">
        <f t="shared" si="0"/>
        <v>45</v>
      </c>
      <c r="N17" s="130">
        <v>1</v>
      </c>
      <c r="O17" s="130">
        <v>0.75</v>
      </c>
      <c r="P17" s="130">
        <v>0.9</v>
      </c>
      <c r="Q17" s="130">
        <f>P17*O17</f>
        <v>0.67500000000000004</v>
      </c>
      <c r="R17" s="130">
        <f>IFERROR(ROUND(+J17*O17,1),"")</f>
        <v>33.799999999999997</v>
      </c>
      <c r="S17" s="130">
        <f>ROUND(+N17*R17,1)</f>
        <v>33.799999999999997</v>
      </c>
      <c r="T17" s="130">
        <f>ROUND(+M17*O17,1)</f>
        <v>33.799999999999997</v>
      </c>
      <c r="U17" s="134">
        <f>IFERROR(ROUND(+J17*Q17,1),"")</f>
        <v>30.4</v>
      </c>
      <c r="V17" s="131">
        <f>ROUND(+Q17*M17,1)</f>
        <v>30.4</v>
      </c>
      <c r="W17" s="130">
        <f>24*P17</f>
        <v>21.6</v>
      </c>
      <c r="X17" s="130">
        <f>R17*W17</f>
        <v>730.08</v>
      </c>
      <c r="Y17" s="130">
        <v>365</v>
      </c>
      <c r="Z17" s="130">
        <f>X17*Y17</f>
        <v>266479.2</v>
      </c>
      <c r="AA17" s="130"/>
      <c r="AB17" s="132"/>
      <c r="AC17" s="130"/>
      <c r="AD17" s="130"/>
      <c r="AE17" s="130"/>
      <c r="AF17" s="130"/>
      <c r="AG17" s="120"/>
      <c r="AH17" s="120"/>
      <c r="AI17" s="121"/>
      <c r="AJ17" s="122"/>
      <c r="AK17" s="121"/>
      <c r="AL17" s="121"/>
      <c r="AM17" s="123"/>
      <c r="AN17" s="123"/>
      <c r="AO17" s="99"/>
      <c r="AP17" s="124"/>
      <c r="AQ17" s="124"/>
      <c r="AR17" s="101"/>
      <c r="AS17" s="101"/>
      <c r="AT17" s="101"/>
      <c r="AU17" s="101"/>
      <c r="AV17" s="101"/>
      <c r="AW17" s="101"/>
      <c r="AX17" s="101"/>
    </row>
    <row r="18" spans="1:88" ht="17" thickBot="1" x14ac:dyDescent="0.25">
      <c r="A18" s="135"/>
      <c r="B18" s="136"/>
      <c r="C18" s="137"/>
      <c r="D18" s="138"/>
      <c r="E18" s="137"/>
      <c r="F18" s="137"/>
      <c r="G18" s="139"/>
      <c r="H18" s="140"/>
      <c r="I18" s="137"/>
      <c r="J18" s="141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3"/>
      <c r="V18" s="144"/>
      <c r="W18" s="144"/>
      <c r="X18" s="142"/>
      <c r="Y18" s="142"/>
      <c r="Z18" s="142"/>
      <c r="AA18" s="142"/>
      <c r="AB18" s="145"/>
      <c r="AC18" s="142"/>
      <c r="AD18" s="142"/>
      <c r="AE18" s="142"/>
      <c r="AF18" s="142"/>
      <c r="AG18" s="146"/>
      <c r="AH18" s="146"/>
      <c r="AI18" s="147"/>
      <c r="AJ18" s="148"/>
      <c r="AK18" s="147"/>
      <c r="AL18" s="147"/>
      <c r="AM18" s="149"/>
      <c r="AN18" s="149"/>
      <c r="AO18" s="150"/>
      <c r="AP18" s="151"/>
      <c r="AQ18" s="151"/>
      <c r="AR18" s="101"/>
      <c r="AS18" s="101"/>
      <c r="AT18" s="101"/>
      <c r="AU18" s="101"/>
      <c r="AV18" s="101"/>
      <c r="AW18" s="101"/>
      <c r="AX18" s="101"/>
    </row>
    <row r="19" spans="1:88" ht="17" thickBot="1" x14ac:dyDescent="0.25">
      <c r="A19" s="152" t="s">
        <v>85</v>
      </c>
      <c r="B19" s="153"/>
      <c r="C19" s="154"/>
      <c r="D19" s="154"/>
      <c r="E19" s="154"/>
      <c r="F19" s="154"/>
      <c r="G19" s="154"/>
      <c r="H19" s="155"/>
      <c r="I19" s="154"/>
      <c r="J19" s="156">
        <f>SUM(J9:J17)</f>
        <v>48</v>
      </c>
      <c r="K19" s="156"/>
      <c r="L19" s="156"/>
      <c r="M19" s="157">
        <f>SUM(M9:M17)</f>
        <v>48</v>
      </c>
      <c r="N19" s="156"/>
      <c r="O19" s="156" t="s">
        <v>86</v>
      </c>
      <c r="P19" s="156"/>
      <c r="Q19" s="156"/>
      <c r="R19" s="156">
        <f>SUM(R9:R17)</f>
        <v>36.099999999999994</v>
      </c>
      <c r="S19" s="156">
        <f>SUM(S9:S17)</f>
        <v>36.099999999999994</v>
      </c>
      <c r="T19" s="156">
        <f>SUM(T9:T17)</f>
        <v>36.099999999999994</v>
      </c>
      <c r="U19" s="158">
        <f>SUM(U9:U17)</f>
        <v>32.4</v>
      </c>
      <c r="V19" s="157">
        <f>SUM(V9:V17)</f>
        <v>30.4</v>
      </c>
      <c r="W19" s="157"/>
      <c r="X19" s="156">
        <f>SUM(X9:X17)</f>
        <v>730.08</v>
      </c>
      <c r="Y19" s="156"/>
      <c r="Z19" s="156">
        <f>SUM(Z9:Z17)</f>
        <v>266479.2</v>
      </c>
      <c r="AA19" s="156"/>
      <c r="AB19" s="156"/>
      <c r="AC19" s="156">
        <f>ROUNDUP(SUM(AC9:AC17),0)</f>
        <v>0</v>
      </c>
      <c r="AD19" s="156">
        <f>ROUNDUP(SUM(AD9:AD17),0)</f>
        <v>0</v>
      </c>
      <c r="AE19" s="156">
        <f>COUNT(AE9:AE17)</f>
        <v>0</v>
      </c>
      <c r="AF19" s="156">
        <f>SUM(AF9:AF17)</f>
        <v>0</v>
      </c>
      <c r="AG19" s="159">
        <f>SUM(AG9:AG17)</f>
        <v>0</v>
      </c>
      <c r="AH19" s="159">
        <f>SUM(AH9:AH17)</f>
        <v>0</v>
      </c>
      <c r="AI19" s="160"/>
      <c r="AJ19" s="161"/>
      <c r="AK19" s="160"/>
      <c r="AL19" s="160"/>
      <c r="AM19" s="162"/>
      <c r="AN19" s="162"/>
      <c r="AO19" s="163"/>
      <c r="AP19" s="164"/>
      <c r="AQ19" s="164">
        <f>SUM(AQ9:AQ14)</f>
        <v>0</v>
      </c>
      <c r="AU19" s="101"/>
      <c r="AV19" s="101"/>
    </row>
    <row r="20" spans="1:88" ht="16" x14ac:dyDescent="0.2">
      <c r="A20" s="165"/>
      <c r="B20" s="166"/>
      <c r="C20" s="167"/>
      <c r="D20" s="167"/>
      <c r="E20" s="167"/>
      <c r="F20" s="167"/>
      <c r="G20" s="167"/>
      <c r="H20" s="168"/>
      <c r="I20" s="167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70"/>
      <c r="V20" s="171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72"/>
      <c r="AH20" s="172"/>
      <c r="AU20" s="101"/>
      <c r="AV20" s="101"/>
    </row>
    <row r="21" spans="1:88" ht="18" thickBot="1" x14ac:dyDescent="0.25">
      <c r="A21" s="165"/>
      <c r="B21" s="166"/>
      <c r="C21" s="167"/>
      <c r="D21" s="167"/>
      <c r="E21" s="167"/>
      <c r="F21" s="167"/>
      <c r="G21" s="167"/>
      <c r="H21" s="173" t="s">
        <v>87</v>
      </c>
      <c r="I21" s="174"/>
      <c r="J21" s="175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70"/>
      <c r="V21" s="176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72"/>
      <c r="AH21" s="172"/>
      <c r="AU21" s="101"/>
      <c r="AV21" s="101"/>
    </row>
    <row r="22" spans="1:88" ht="18" thickBot="1" x14ac:dyDescent="0.25">
      <c r="A22" s="177" t="s">
        <v>88</v>
      </c>
      <c r="B22" s="177"/>
      <c r="C22" s="177"/>
      <c r="D22" s="178"/>
      <c r="E22" s="178"/>
      <c r="F22" s="179"/>
      <c r="G22" s="180" t="s">
        <v>89</v>
      </c>
      <c r="H22" s="173" t="s">
        <v>90</v>
      </c>
      <c r="I22" s="174"/>
      <c r="J22" s="175"/>
      <c r="K22" s="169"/>
      <c r="L22" s="169"/>
      <c r="M22" s="169"/>
      <c r="N22" s="169"/>
      <c r="O22" s="169"/>
      <c r="P22" s="169"/>
      <c r="Q22" s="169"/>
      <c r="R22" s="169"/>
      <c r="S22" s="169"/>
      <c r="T22" s="169"/>
      <c r="U22" s="170"/>
      <c r="V22" s="176"/>
      <c r="W22" s="169"/>
      <c r="X22" s="169"/>
      <c r="Y22" s="169"/>
      <c r="Z22" s="169"/>
      <c r="AA22" s="169"/>
      <c r="AB22" s="169"/>
      <c r="AC22" s="169"/>
      <c r="AD22" s="169"/>
      <c r="AE22" s="169"/>
      <c r="AF22" s="169"/>
      <c r="AG22" s="172"/>
      <c r="AH22" s="172"/>
      <c r="AU22" s="101"/>
      <c r="AV22" s="101"/>
      <c r="BW22" s="102"/>
    </row>
    <row r="23" spans="1:88" ht="18" thickBot="1" x14ac:dyDescent="0.25">
      <c r="A23" s="165"/>
      <c r="B23" s="166"/>
      <c r="C23" s="167"/>
      <c r="D23" s="167"/>
      <c r="E23" s="167"/>
      <c r="F23" s="167"/>
      <c r="G23" s="167"/>
      <c r="H23" s="173" t="s">
        <v>91</v>
      </c>
      <c r="I23" s="174"/>
      <c r="J23" s="175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70"/>
      <c r="V23" s="176"/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72"/>
      <c r="AH23" s="172"/>
      <c r="AU23" s="101"/>
      <c r="AV23" s="101"/>
    </row>
    <row r="24" spans="1:88" ht="18" thickBot="1" x14ac:dyDescent="0.25">
      <c r="A24" s="177" t="s">
        <v>92</v>
      </c>
      <c r="B24" s="177"/>
      <c r="C24" s="177"/>
      <c r="D24" s="178"/>
      <c r="F24" s="181">
        <f>ROUNDUP(AQ19/$F$161,0)</f>
        <v>0</v>
      </c>
      <c r="G24" s="167"/>
      <c r="H24" s="173" t="s">
        <v>93</v>
      </c>
      <c r="I24" s="174"/>
      <c r="J24" s="175">
        <f>J23*J22</f>
        <v>0</v>
      </c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70"/>
      <c r="V24" s="176"/>
      <c r="W24" s="169"/>
      <c r="X24" s="169"/>
      <c r="Y24" s="169"/>
      <c r="Z24" s="169"/>
      <c r="AA24" s="169"/>
      <c r="AB24" s="169"/>
      <c r="AC24" s="169"/>
      <c r="AD24" s="169"/>
      <c r="AE24" s="169"/>
      <c r="AF24" s="169"/>
      <c r="AG24" s="172"/>
      <c r="AH24" s="172"/>
      <c r="AU24" s="101"/>
      <c r="AV24" s="101"/>
    </row>
    <row r="25" spans="1:88" ht="18" thickBot="1" x14ac:dyDescent="0.25">
      <c r="A25" s="182"/>
      <c r="B25" s="183"/>
      <c r="C25" s="184"/>
      <c r="D25" s="184"/>
      <c r="E25" s="184"/>
      <c r="F25" s="184"/>
      <c r="G25" s="184"/>
      <c r="H25" s="185" t="s">
        <v>94</v>
      </c>
      <c r="I25" s="186"/>
      <c r="J25" s="187">
        <f>J24+J19</f>
        <v>48</v>
      </c>
      <c r="K25" s="188"/>
      <c r="L25" s="189"/>
      <c r="M25" s="188"/>
      <c r="N25" s="188"/>
      <c r="O25" s="188"/>
      <c r="P25" s="188"/>
      <c r="Q25" s="188"/>
      <c r="R25" s="188"/>
      <c r="S25" s="188"/>
      <c r="T25" s="188"/>
      <c r="U25" s="190"/>
      <c r="V25" s="191"/>
      <c r="W25" s="169"/>
      <c r="X25" s="169"/>
      <c r="Y25" s="169"/>
      <c r="Z25" s="169"/>
      <c r="AA25" s="169"/>
      <c r="AB25" s="169"/>
      <c r="AC25" s="169"/>
      <c r="AD25" s="169"/>
      <c r="AE25" s="169"/>
      <c r="AF25" s="169"/>
      <c r="AG25" s="172"/>
      <c r="AH25" s="172"/>
      <c r="AU25" s="101"/>
      <c r="AV25" s="101"/>
    </row>
    <row r="26" spans="1:88" ht="16" x14ac:dyDescent="0.2">
      <c r="A26" s="166"/>
      <c r="B26" s="166"/>
      <c r="C26" s="167"/>
      <c r="D26" s="167"/>
      <c r="E26" s="167"/>
      <c r="F26" s="167"/>
      <c r="G26" s="167"/>
      <c r="H26" s="168"/>
      <c r="I26" s="167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72"/>
      <c r="AH26" s="172"/>
      <c r="AU26" s="101"/>
      <c r="AV26" s="101"/>
    </row>
    <row r="27" spans="1:88" ht="16" x14ac:dyDescent="0.2">
      <c r="A27"/>
      <c r="B27" s="166"/>
      <c r="C27" s="167"/>
      <c r="D27" s="167"/>
      <c r="E27" s="167"/>
      <c r="F27" s="167"/>
      <c r="G27" s="167"/>
      <c r="H27" s="168"/>
      <c r="I27" s="167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  <c r="AC27" s="169"/>
      <c r="AD27" s="169"/>
      <c r="AE27" s="169"/>
      <c r="AF27" s="169"/>
      <c r="AG27" s="172"/>
      <c r="AH27" s="172"/>
      <c r="AU27" s="101"/>
      <c r="AV27" s="101"/>
    </row>
    <row r="28" spans="1:88" ht="17" thickBot="1" x14ac:dyDescent="0.25">
      <c r="A28" s="192" t="s">
        <v>95</v>
      </c>
      <c r="B28" s="166"/>
      <c r="C28" s="167"/>
      <c r="D28" s="167"/>
      <c r="E28" s="167"/>
      <c r="F28" s="167"/>
      <c r="G28" s="167"/>
      <c r="H28" s="168"/>
      <c r="I28" s="167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72"/>
      <c r="AH28" s="172"/>
      <c r="AU28" s="101"/>
      <c r="AV28" s="101"/>
    </row>
    <row r="29" spans="1:88" ht="31.5" customHeight="1" thickBot="1" x14ac:dyDescent="0.25">
      <c r="A29" s="193" t="s">
        <v>96</v>
      </c>
      <c r="B29" s="194" t="s">
        <v>97</v>
      </c>
      <c r="C29" s="194" t="s">
        <v>43</v>
      </c>
      <c r="D29" s="194" t="s">
        <v>98</v>
      </c>
      <c r="E29" s="194" t="s">
        <v>99</v>
      </c>
      <c r="F29" s="194" t="s">
        <v>100</v>
      </c>
      <c r="G29" s="195" t="s">
        <v>101</v>
      </c>
      <c r="H29" s="194" t="s">
        <v>102</v>
      </c>
      <c r="I29" s="194" t="s">
        <v>23</v>
      </c>
      <c r="J29" s="194" t="s">
        <v>103</v>
      </c>
      <c r="K29" s="194"/>
      <c r="L29" s="194" t="s">
        <v>104</v>
      </c>
      <c r="M29" s="194" t="s">
        <v>105</v>
      </c>
      <c r="N29" s="194"/>
      <c r="O29" s="194" t="s">
        <v>106</v>
      </c>
      <c r="P29" s="194"/>
      <c r="Q29" s="194"/>
      <c r="R29" s="194" t="s">
        <v>107</v>
      </c>
      <c r="S29" s="196" t="s">
        <v>108</v>
      </c>
      <c r="T29" s="197" t="s">
        <v>109</v>
      </c>
      <c r="U29" s="198"/>
      <c r="V29" s="198"/>
      <c r="AB29" s="11"/>
      <c r="AG29" s="11"/>
      <c r="AH29" s="11"/>
      <c r="AI29" s="11"/>
      <c r="AJ29" s="11"/>
      <c r="AK29" s="11"/>
      <c r="AL29" s="12"/>
      <c r="AM29" s="11"/>
      <c r="AN29" s="11"/>
      <c r="AO29" s="11"/>
      <c r="AP29" s="11"/>
      <c r="AQ29" s="11"/>
      <c r="AR29" s="199"/>
      <c r="AS29" s="200"/>
      <c r="AT29" s="13"/>
      <c r="AU29" s="101"/>
      <c r="AV29" s="101"/>
      <c r="BM29"/>
      <c r="BN29"/>
      <c r="BO29"/>
      <c r="BP29"/>
      <c r="BQ29"/>
      <c r="BR29"/>
      <c r="BU29" s="15"/>
      <c r="BV29" s="15"/>
      <c r="BX29" s="15"/>
      <c r="BY29" s="15"/>
      <c r="CF29" s="16"/>
      <c r="CG29" s="16"/>
      <c r="CH29" s="16"/>
      <c r="CI29" s="16"/>
      <c r="CJ29" s="16"/>
    </row>
    <row r="30" spans="1:88" x14ac:dyDescent="0.2">
      <c r="A30" s="201" t="s">
        <v>23</v>
      </c>
      <c r="B30" s="201">
        <f>IFERROR(SUMIFS(J$9:J$14,B$9:B$14,A30),"")</f>
        <v>0</v>
      </c>
      <c r="C30" s="201">
        <f>IFERROR(SUMIFS(T$9:T$14,B$9:B$14,A30),"")</f>
        <v>0</v>
      </c>
      <c r="D30" s="201">
        <f>IFERROR(SUMIFS(U$9:U$14,B$9:B$14,A30),"")</f>
        <v>0</v>
      </c>
      <c r="E30" s="201"/>
      <c r="F30" s="202" t="str">
        <f ca="1">IFERROR(SUMPRODUCT(SUMIF($B$9:$J$14,$A$30:A30,$J$9:$J$14))/SUMPRODUCT(COUNTIF($B$9:$B$14,$A$30:A30)),"")</f>
        <v/>
      </c>
      <c r="G30" s="203" t="str">
        <f>IFERROR(SUMPRODUCT(SUMIF($B$9:$B$14,$A$30:A30,$AB$9:$AB$14))/SUMPRODUCT(COUNTIF($B$9:$B$14,$A$30:A30)),"")</f>
        <v/>
      </c>
      <c r="H30" s="201" t="str">
        <f ca="1">IFERROR(ROUNDUP(F30+(F30*G30),0),"")</f>
        <v/>
      </c>
      <c r="I30" s="201"/>
      <c r="J30" s="201" t="str">
        <f ca="1">IFERROR(VLOOKUP(H30,'[1]VSD Cost Database'!$A$65:$G$100,7),"")</f>
        <v/>
      </c>
      <c r="K30" s="201"/>
      <c r="L30" s="201" t="str">
        <f>IFERROR(ROUNDUP('Template for MCC'!$E30*'Template for MCC'!$G30,0),"")</f>
        <v/>
      </c>
      <c r="M30" s="201" t="str">
        <f>IFERROR('Template for MCC'!$L30+'Template for MCC'!$E30,"")</f>
        <v/>
      </c>
      <c r="N30" s="201"/>
      <c r="O30" s="201" t="str">
        <f ca="1">IFERROR((ROUNDUP(((J30*M30)/1600),0)*0.8)+0.8,"")</f>
        <v/>
      </c>
      <c r="P30" s="201"/>
      <c r="Q30" s="201"/>
      <c r="R30" s="201" t="str">
        <f ca="1">IFERROR(CEILING(O30/2,0.8),"")</f>
        <v/>
      </c>
      <c r="S30" s="204"/>
      <c r="T30" s="205"/>
      <c r="U30" s="206"/>
      <c r="V30" s="207"/>
      <c r="AB30" s="11"/>
      <c r="AG30" s="11"/>
      <c r="AH30" s="11"/>
      <c r="AI30" s="11"/>
      <c r="AJ30" s="11"/>
      <c r="AK30" s="11"/>
      <c r="AL30" s="12"/>
      <c r="AM30" s="11"/>
      <c r="AN30" s="11"/>
      <c r="AO30" s="11"/>
      <c r="AP30" s="11"/>
      <c r="AQ30" s="11"/>
      <c r="AR30" s="199"/>
      <c r="AS30" s="200"/>
      <c r="AT30" s="13"/>
      <c r="AU30" s="101"/>
      <c r="AV30" s="101"/>
      <c r="BM30"/>
      <c r="BN30"/>
      <c r="BO30"/>
      <c r="BP30"/>
      <c r="BQ30"/>
      <c r="BR30"/>
      <c r="BU30" s="15"/>
      <c r="BV30" s="15"/>
      <c r="BX30" s="15"/>
      <c r="BY30" s="15"/>
      <c r="CF30" s="16"/>
      <c r="CG30" s="16"/>
      <c r="CH30" s="16"/>
      <c r="CI30" s="16"/>
      <c r="CJ30" s="16"/>
    </row>
    <row r="31" spans="1:88" x14ac:dyDescent="0.2">
      <c r="A31" s="208" t="s">
        <v>25</v>
      </c>
      <c r="B31" s="208">
        <f>IFERROR(SUMIFS(J$9:J$14,B$9:B$14,A31)+B30,"")</f>
        <v>0</v>
      </c>
      <c r="C31" s="208">
        <f>IFERROR(SUMIFS(T$9:T$14,B$9:B$14,A31)+C30,"")</f>
        <v>0</v>
      </c>
      <c r="D31" s="208">
        <f>IFERROR(SUMIFS(U$9:U$14,B$9:B$14,A31)+D30,"")</f>
        <v>0</v>
      </c>
      <c r="E31" s="208">
        <f>IFERROR(COUNTIF(B$9:B$14,A31)+E30+BG3,"")</f>
        <v>0</v>
      </c>
      <c r="F31" s="208" t="str">
        <f ca="1">IFERROR(SUMPRODUCT(SUMIF($B$9:$J$14,$A$30:A31,$J$9:$J$14))/SUMPRODUCT(COUNTIF($B$9:$B$14,$A$30:A31)),"")</f>
        <v/>
      </c>
      <c r="G31" s="209" t="str">
        <f>IFERROR(SUMPRODUCT(SUMIF($B$9:$B$12,$A$30:A31,$AB$9:$AB$12))/SUMPRODUCT(COUNTIF($B$9:$B$12,$A$30:A31)),"")</f>
        <v/>
      </c>
      <c r="H31" s="208" t="e">
        <f t="array" aca="1" ref="H31" ca="1">MIN(IF('[1]VSD Cost Database'!A68:A100&gt;('Template for MCC'!F31+('Template for MCC'!F31*'Template for MCC'!G31)),'[1]VSD Cost Database'!A68:A100 ))</f>
        <v>#VALUE!</v>
      </c>
      <c r="I31" s="208"/>
      <c r="J31" s="208" t="str">
        <f ca="1">IFERROR(VLOOKUP(H31,'[1]VSD Cost Database'!$A$65:$G$100,7),"")</f>
        <v/>
      </c>
      <c r="K31" s="208"/>
      <c r="L31" s="208" t="str">
        <f>IFERROR(ROUNDUP('Template for MCC'!$E31*'Template for MCC'!$G31,0),"")</f>
        <v/>
      </c>
      <c r="M31" s="208" t="str">
        <f>IFERROR('Template for MCC'!$L31+'Template for MCC'!$E31,"")</f>
        <v/>
      </c>
      <c r="N31" s="208"/>
      <c r="O31" s="208" t="str">
        <f ca="1">IFERROR((ROUNDUP(((J31*M31)/1600),0)*0.8)+0.8,"")</f>
        <v/>
      </c>
      <c r="P31" s="208"/>
      <c r="Q31" s="208"/>
      <c r="R31" s="208" t="str">
        <f ca="1">IFERROR(CEILING(O31/2,0.8),"")</f>
        <v/>
      </c>
      <c r="S31" s="210" t="str">
        <f ca="1">IFERROR(((O31+5)*5)*'[1]Standard Details'!$D$47,"")</f>
        <v/>
      </c>
      <c r="T31" s="210" t="str">
        <f ca="1">IFERROR(((R31+5)*5)*'[1]Standard Details'!$D$47,"")</f>
        <v/>
      </c>
      <c r="U31" s="206"/>
      <c r="V31" s="207"/>
      <c r="AB31" s="11"/>
      <c r="AG31" s="11"/>
      <c r="AH31" s="11"/>
      <c r="AI31" s="11"/>
      <c r="AJ31" s="11"/>
      <c r="AK31" s="11"/>
      <c r="AL31" s="12"/>
      <c r="AM31" s="11"/>
      <c r="AN31" s="11"/>
      <c r="AO31" s="11"/>
      <c r="AP31" s="11"/>
      <c r="AQ31" s="11"/>
      <c r="AR31" s="199"/>
      <c r="AS31" s="200"/>
      <c r="AT31" s="13"/>
      <c r="BM31" s="13"/>
      <c r="BN31" s="211"/>
      <c r="BO31"/>
      <c r="BP31"/>
      <c r="BQ31"/>
      <c r="BR31"/>
      <c r="BU31" s="15"/>
      <c r="BV31" s="15"/>
      <c r="BX31" s="15"/>
      <c r="BY31" s="15"/>
      <c r="CF31" s="16"/>
      <c r="CG31" s="16"/>
      <c r="CH31" s="16"/>
      <c r="CI31" s="16"/>
      <c r="CJ31" s="16"/>
    </row>
    <row r="32" spans="1:88" x14ac:dyDescent="0.2">
      <c r="B32" s="212"/>
      <c r="C32" s="212"/>
      <c r="D32" s="212"/>
      <c r="E32" s="212"/>
      <c r="F32" s="213"/>
      <c r="J32" s="212"/>
      <c r="BH32" s="13"/>
      <c r="BI32" s="211"/>
    </row>
    <row r="33" spans="2:61" x14ac:dyDescent="0.2">
      <c r="B33" s="212"/>
      <c r="C33" s="212"/>
      <c r="D33" s="212"/>
      <c r="E33" s="212"/>
      <c r="F33" s="213"/>
      <c r="J33" s="212"/>
      <c r="BH33" s="13"/>
      <c r="BI33" s="211"/>
    </row>
    <row r="34" spans="2:61" x14ac:dyDescent="0.2">
      <c r="B34" s="212"/>
      <c r="C34" s="212"/>
      <c r="D34" s="212"/>
      <c r="E34" s="212"/>
      <c r="F34" s="213"/>
      <c r="J34" s="212"/>
      <c r="BH34" s="13"/>
      <c r="BI34" s="211"/>
    </row>
    <row r="35" spans="2:61" x14ac:dyDescent="0.2">
      <c r="B35" s="212"/>
      <c r="C35" s="212"/>
      <c r="D35" s="212"/>
      <c r="E35" s="212"/>
      <c r="F35" s="213"/>
      <c r="J35" s="212"/>
      <c r="BH35" s="13"/>
      <c r="BI35" s="211"/>
    </row>
    <row r="36" spans="2:61" x14ac:dyDescent="0.2">
      <c r="B36" s="212"/>
      <c r="C36" s="212"/>
      <c r="D36" s="212"/>
      <c r="E36" s="212"/>
      <c r="J36" s="212"/>
      <c r="BH36" s="13"/>
      <c r="BI36" s="211"/>
    </row>
    <row r="37" spans="2:61" x14ac:dyDescent="0.2">
      <c r="B37" s="212"/>
      <c r="C37" s="212"/>
      <c r="D37" s="212"/>
      <c r="E37" s="212"/>
      <c r="F37" s="213"/>
      <c r="J37" s="212"/>
      <c r="BH37" s="13"/>
      <c r="BI37" s="211"/>
    </row>
    <row r="38" spans="2:61" x14ac:dyDescent="0.2">
      <c r="B38" s="212"/>
      <c r="C38" s="212"/>
      <c r="D38" s="212"/>
      <c r="E38" s="212"/>
      <c r="F38" s="213"/>
      <c r="J38" s="212"/>
    </row>
    <row r="39" spans="2:61" x14ac:dyDescent="0.2">
      <c r="B39" s="212"/>
      <c r="C39" s="212"/>
      <c r="D39" s="212"/>
      <c r="E39" s="212"/>
      <c r="F39" s="213"/>
      <c r="J39" s="212"/>
    </row>
    <row r="40" spans="2:61" x14ac:dyDescent="0.2">
      <c r="B40" s="212"/>
      <c r="C40" s="212"/>
      <c r="D40" s="212"/>
      <c r="E40" s="212"/>
      <c r="F40" s="213"/>
      <c r="J40" s="212"/>
    </row>
    <row r="41" spans="2:61" x14ac:dyDescent="0.2">
      <c r="B41" s="212"/>
      <c r="C41" s="212"/>
      <c r="D41" s="212"/>
      <c r="E41" s="212"/>
      <c r="F41" s="213"/>
      <c r="J41" s="212"/>
    </row>
    <row r="42" spans="2:61" x14ac:dyDescent="0.2">
      <c r="B42" s="212"/>
      <c r="C42" s="212"/>
      <c r="D42" s="212"/>
      <c r="E42" s="212"/>
      <c r="F42" s="213"/>
      <c r="J42" s="214"/>
    </row>
    <row r="43" spans="2:61" x14ac:dyDescent="0.2">
      <c r="B43" s="212"/>
      <c r="C43" s="212"/>
      <c r="D43" s="212"/>
      <c r="E43" s="212"/>
      <c r="F43" s="213"/>
      <c r="J43" s="212"/>
    </row>
    <row r="44" spans="2:61" x14ac:dyDescent="0.2">
      <c r="B44" s="212"/>
      <c r="C44" s="212"/>
      <c r="D44" s="212"/>
      <c r="E44" s="212"/>
      <c r="F44" s="213"/>
      <c r="J44" s="212"/>
    </row>
    <row r="45" spans="2:61" x14ac:dyDescent="0.2">
      <c r="B45" s="212"/>
      <c r="C45" s="212"/>
      <c r="D45" s="212"/>
      <c r="E45" s="212"/>
      <c r="F45" s="213"/>
      <c r="J45" s="212"/>
    </row>
    <row r="46" spans="2:61" x14ac:dyDescent="0.2">
      <c r="B46" s="212"/>
      <c r="C46" s="212"/>
      <c r="D46" s="212"/>
      <c r="E46" s="212"/>
      <c r="F46" s="213"/>
      <c r="J46" s="212"/>
    </row>
    <row r="47" spans="2:61" x14ac:dyDescent="0.2">
      <c r="B47" s="212"/>
      <c r="C47" s="212"/>
      <c r="D47" s="212"/>
      <c r="E47" s="212"/>
      <c r="F47" s="213"/>
      <c r="J47" s="212"/>
    </row>
    <row r="48" spans="2:61" x14ac:dyDescent="0.2">
      <c r="B48" s="212"/>
      <c r="C48" s="212"/>
      <c r="D48" s="212"/>
      <c r="E48" s="212"/>
      <c r="F48" s="213"/>
      <c r="J48" s="212"/>
    </row>
    <row r="49" spans="2:10" x14ac:dyDescent="0.2">
      <c r="B49" s="212"/>
      <c r="C49" s="212"/>
      <c r="D49" s="212"/>
      <c r="E49" s="212"/>
      <c r="F49" s="213"/>
      <c r="J49" s="212"/>
    </row>
    <row r="50" spans="2:10" x14ac:dyDescent="0.2">
      <c r="B50" s="212"/>
      <c r="C50" s="212"/>
      <c r="D50" s="212"/>
      <c r="E50" s="212"/>
      <c r="F50" s="213"/>
      <c r="J50" s="212"/>
    </row>
    <row r="51" spans="2:10" x14ac:dyDescent="0.2">
      <c r="B51" s="212"/>
      <c r="C51" s="212"/>
      <c r="D51" s="212"/>
      <c r="E51" s="212"/>
      <c r="F51" s="213"/>
      <c r="J51" s="212"/>
    </row>
    <row r="52" spans="2:10" x14ac:dyDescent="0.2">
      <c r="B52" s="212"/>
      <c r="C52" s="212"/>
      <c r="D52" s="212"/>
      <c r="E52" s="212"/>
      <c r="F52" s="213"/>
      <c r="J52" s="212"/>
    </row>
    <row r="53" spans="2:10" x14ac:dyDescent="0.2">
      <c r="B53" s="212"/>
      <c r="C53" s="212"/>
      <c r="D53" s="212"/>
      <c r="E53" s="212"/>
      <c r="F53" s="213"/>
      <c r="J53" s="212"/>
    </row>
    <row r="54" spans="2:10" x14ac:dyDescent="0.2">
      <c r="B54" s="212"/>
      <c r="C54" s="212"/>
      <c r="D54" s="212"/>
      <c r="E54" s="212"/>
      <c r="F54" s="213"/>
      <c r="J54" s="212"/>
    </row>
    <row r="55" spans="2:10" x14ac:dyDescent="0.2">
      <c r="B55" s="212"/>
      <c r="C55" s="212"/>
      <c r="D55" s="212"/>
      <c r="E55" s="212"/>
      <c r="F55" s="213"/>
      <c r="J55" s="212"/>
    </row>
    <row r="56" spans="2:10" x14ac:dyDescent="0.2">
      <c r="B56" s="212"/>
      <c r="C56" s="212"/>
      <c r="D56" s="212"/>
      <c r="E56" s="212"/>
      <c r="F56" s="213"/>
      <c r="J56" s="212"/>
    </row>
    <row r="57" spans="2:10" x14ac:dyDescent="0.2">
      <c r="B57" s="212"/>
      <c r="C57" s="212"/>
      <c r="D57" s="212"/>
      <c r="E57" s="212"/>
      <c r="F57" s="213"/>
      <c r="J57" s="212"/>
    </row>
    <row r="58" spans="2:10" x14ac:dyDescent="0.2">
      <c r="B58" s="212"/>
      <c r="C58" s="212"/>
      <c r="D58" s="212"/>
      <c r="E58" s="212"/>
      <c r="F58" s="213"/>
      <c r="J58" s="212"/>
    </row>
    <row r="59" spans="2:10" x14ac:dyDescent="0.2">
      <c r="B59" s="212"/>
      <c r="C59" s="212"/>
      <c r="D59" s="212"/>
      <c r="E59" s="212"/>
      <c r="F59" s="213"/>
      <c r="J59" s="212"/>
    </row>
    <row r="60" spans="2:10" x14ac:dyDescent="0.2">
      <c r="B60" s="212"/>
      <c r="C60" s="212"/>
      <c r="D60" s="212"/>
      <c r="E60" s="212"/>
      <c r="F60" s="213"/>
      <c r="J60" s="212"/>
    </row>
    <row r="61" spans="2:10" x14ac:dyDescent="0.2">
      <c r="B61" s="212"/>
      <c r="C61" s="212"/>
      <c r="D61" s="212"/>
      <c r="E61" s="212"/>
      <c r="F61" s="213"/>
      <c r="J61" s="212"/>
    </row>
    <row r="62" spans="2:10" x14ac:dyDescent="0.2">
      <c r="B62" s="212"/>
      <c r="C62" s="212"/>
      <c r="D62" s="212"/>
      <c r="E62" s="212"/>
      <c r="F62" s="213"/>
      <c r="J62" s="212"/>
    </row>
    <row r="63" spans="2:10" x14ac:dyDescent="0.2">
      <c r="B63" s="212"/>
      <c r="C63" s="212"/>
      <c r="D63" s="212"/>
      <c r="E63" s="212"/>
      <c r="F63" s="213"/>
      <c r="J63" s="212"/>
    </row>
    <row r="71" spans="1:36" ht="16" thickBot="1" x14ac:dyDescent="0.25">
      <c r="A71" s="16" t="s">
        <v>23</v>
      </c>
    </row>
    <row r="72" spans="1:36" ht="16" x14ac:dyDescent="0.2">
      <c r="A72" s="215" t="s">
        <v>110</v>
      </c>
      <c r="B72" s="216" t="s">
        <v>111</v>
      </c>
    </row>
    <row r="73" spans="1:36" ht="16" thickBot="1" x14ac:dyDescent="0.25">
      <c r="A73" s="217" t="s">
        <v>112</v>
      </c>
      <c r="B73" s="218">
        <v>1</v>
      </c>
    </row>
    <row r="77" spans="1:36" ht="16" thickBot="1" x14ac:dyDescent="0.25"/>
    <row r="78" spans="1:36" x14ac:dyDescent="0.2">
      <c r="A78" s="219" t="s">
        <v>113</v>
      </c>
      <c r="B78" s="220"/>
      <c r="C78" s="61"/>
      <c r="D78" s="219" t="s">
        <v>114</v>
      </c>
      <c r="E78" s="221"/>
      <c r="G78" s="11"/>
      <c r="H78" s="11"/>
      <c r="I78" s="11"/>
      <c r="T78" s="12"/>
      <c r="Y78" s="13"/>
      <c r="Z78" s="13"/>
      <c r="AA78"/>
      <c r="AB78" s="14"/>
      <c r="AC78"/>
      <c r="AD78"/>
      <c r="AE78"/>
      <c r="AF78"/>
      <c r="AG78"/>
      <c r="AH78"/>
      <c r="AJ78"/>
    </row>
    <row r="79" spans="1:36" ht="30.75" customHeight="1" thickBot="1" x14ac:dyDescent="0.25">
      <c r="A79" s="222" t="s">
        <v>115</v>
      </c>
      <c r="B79" s="223" t="s">
        <v>116</v>
      </c>
      <c r="C79" s="62"/>
      <c r="D79" s="224" t="s">
        <v>115</v>
      </c>
      <c r="E79" s="225" t="s">
        <v>116</v>
      </c>
      <c r="G79" s="226" t="s">
        <v>117</v>
      </c>
      <c r="H79" s="11"/>
      <c r="I79" s="11"/>
      <c r="T79" s="12"/>
      <c r="Y79" s="13"/>
      <c r="Z79" s="13"/>
      <c r="AA79"/>
      <c r="AB79" s="14"/>
      <c r="AC79"/>
      <c r="AD79"/>
      <c r="AE79"/>
      <c r="AF79"/>
      <c r="AG79"/>
      <c r="AH79"/>
      <c r="AJ79"/>
    </row>
    <row r="80" spans="1:36" ht="16" x14ac:dyDescent="0.2">
      <c r="A80" s="227">
        <v>0.55000000000000004</v>
      </c>
      <c r="B80" s="228">
        <f t="shared" ref="B80:B120" si="1">IFERROR(COUNTIFS(J$9:J$17,"&lt;="&amp;A80,J$9:J$17,"&gt;"&amp;C80,E$9:E$17,"VSD*"),"")</f>
        <v>0</v>
      </c>
      <c r="C80">
        <f>0.1</f>
        <v>0.1</v>
      </c>
      <c r="D80" s="227">
        <v>0.12</v>
      </c>
      <c r="E80" s="228">
        <f t="shared" ref="E80:E113" si="2">IFERROR(COUNTIFS(J$9:J$17,"&lt;="&amp;D80,J$9:J$17,"&gt;"&amp;G80,F$9:F$17,"&lt;450")+(COUNTIF($J$23,D80)*$J$22),"")</f>
        <v>0</v>
      </c>
      <c r="G80" s="229">
        <v>0.1</v>
      </c>
      <c r="H80" s="11"/>
      <c r="I80" s="11"/>
      <c r="T80" s="12"/>
      <c r="Y80" s="13"/>
      <c r="Z80" s="13"/>
      <c r="AA80"/>
      <c r="AB80" s="14"/>
      <c r="AC80"/>
      <c r="AD80"/>
      <c r="AE80"/>
      <c r="AF80"/>
      <c r="AG80"/>
      <c r="AH80"/>
      <c r="AJ80"/>
    </row>
    <row r="81" spans="1:36" ht="16" x14ac:dyDescent="0.2">
      <c r="A81" s="227">
        <v>0.75</v>
      </c>
      <c r="B81" s="228">
        <f t="shared" si="1"/>
        <v>0</v>
      </c>
      <c r="C81">
        <f>A80+0.01</f>
        <v>0.56000000000000005</v>
      </c>
      <c r="D81" s="227">
        <v>0.18</v>
      </c>
      <c r="E81" s="228">
        <f t="shared" si="2"/>
        <v>0</v>
      </c>
      <c r="G81" s="229">
        <f>D80+0.01</f>
        <v>0.13</v>
      </c>
      <c r="H81" s="11"/>
      <c r="I81" s="11"/>
      <c r="T81" s="12"/>
      <c r="Y81" s="13"/>
      <c r="Z81" s="13"/>
      <c r="AA81"/>
      <c r="AB81" s="14"/>
      <c r="AC81"/>
      <c r="AD81"/>
      <c r="AE81"/>
      <c r="AF81"/>
      <c r="AG81"/>
      <c r="AH81"/>
      <c r="AJ81"/>
    </row>
    <row r="82" spans="1:36" ht="16" x14ac:dyDescent="0.2">
      <c r="A82" s="227">
        <v>1.1000000000000001</v>
      </c>
      <c r="B82" s="228">
        <f t="shared" si="1"/>
        <v>0</v>
      </c>
      <c r="C82">
        <f t="shared" ref="C82:C120" si="3">A81+0.01</f>
        <v>0.76</v>
      </c>
      <c r="D82" s="227">
        <v>0.25</v>
      </c>
      <c r="E82" s="228">
        <f t="shared" si="2"/>
        <v>0</v>
      </c>
      <c r="G82" s="229">
        <f t="shared" ref="G82:G113" si="4">D81+0.01</f>
        <v>0.19</v>
      </c>
      <c r="H82" s="11"/>
      <c r="I82" s="11"/>
      <c r="T82" s="12"/>
      <c r="Y82" s="13"/>
      <c r="Z82" s="13"/>
      <c r="AA82"/>
      <c r="AB82" s="14"/>
      <c r="AC82"/>
      <c r="AD82"/>
      <c r="AE82"/>
      <c r="AF82"/>
      <c r="AG82"/>
      <c r="AH82"/>
      <c r="AJ82"/>
    </row>
    <row r="83" spans="1:36" ht="16" x14ac:dyDescent="0.2">
      <c r="A83" s="227">
        <v>1.5</v>
      </c>
      <c r="B83" s="228">
        <f t="shared" si="1"/>
        <v>0</v>
      </c>
      <c r="C83">
        <f t="shared" si="3"/>
        <v>1.1100000000000001</v>
      </c>
      <c r="D83" s="227">
        <v>0.37</v>
      </c>
      <c r="E83" s="228">
        <f t="shared" si="2"/>
        <v>0</v>
      </c>
      <c r="G83" s="229">
        <f t="shared" si="4"/>
        <v>0.26</v>
      </c>
      <c r="H83" s="11"/>
      <c r="I83" s="11"/>
      <c r="T83" s="12"/>
      <c r="Y83" s="13"/>
      <c r="Z83" s="13"/>
      <c r="AA83"/>
      <c r="AB83" s="14"/>
      <c r="AC83"/>
      <c r="AD83"/>
      <c r="AE83"/>
      <c r="AF83"/>
      <c r="AG83"/>
      <c r="AH83"/>
      <c r="AJ83"/>
    </row>
    <row r="84" spans="1:36" ht="16" x14ac:dyDescent="0.2">
      <c r="A84" s="227">
        <v>2.2000000000000002</v>
      </c>
      <c r="B84" s="228">
        <f t="shared" si="1"/>
        <v>0</v>
      </c>
      <c r="C84">
        <f t="shared" si="3"/>
        <v>1.51</v>
      </c>
      <c r="D84" s="227">
        <v>0.55000000000000004</v>
      </c>
      <c r="E84" s="228">
        <f t="shared" si="2"/>
        <v>0</v>
      </c>
      <c r="G84" s="229">
        <f t="shared" si="4"/>
        <v>0.38</v>
      </c>
      <c r="H84" s="11"/>
      <c r="I84" s="11"/>
      <c r="T84" s="12"/>
      <c r="Y84" s="13"/>
      <c r="Z84" s="13"/>
      <c r="AA84"/>
      <c r="AB84" s="14"/>
      <c r="AC84"/>
      <c r="AD84"/>
      <c r="AE84"/>
      <c r="AF84"/>
      <c r="AG84"/>
      <c r="AH84"/>
      <c r="AJ84"/>
    </row>
    <row r="85" spans="1:36" ht="16" x14ac:dyDescent="0.2">
      <c r="A85" s="227">
        <v>3</v>
      </c>
      <c r="B85" s="228">
        <f t="shared" si="1"/>
        <v>0</v>
      </c>
      <c r="C85">
        <f t="shared" si="3"/>
        <v>2.21</v>
      </c>
      <c r="D85" s="227">
        <v>0.75</v>
      </c>
      <c r="E85" s="228">
        <f t="shared" si="2"/>
        <v>0</v>
      </c>
      <c r="G85" s="229">
        <f t="shared" si="4"/>
        <v>0.56000000000000005</v>
      </c>
      <c r="H85" s="11"/>
      <c r="I85" s="11"/>
      <c r="T85" s="12"/>
      <c r="Y85" s="13"/>
      <c r="Z85" s="13"/>
      <c r="AA85"/>
      <c r="AB85" s="14"/>
      <c r="AC85"/>
      <c r="AD85"/>
      <c r="AE85"/>
      <c r="AF85"/>
      <c r="AG85"/>
      <c r="AH85"/>
      <c r="AJ85"/>
    </row>
    <row r="86" spans="1:36" ht="16" x14ac:dyDescent="0.2">
      <c r="A86" s="227">
        <v>4</v>
      </c>
      <c r="B86" s="228">
        <f t="shared" si="1"/>
        <v>0</v>
      </c>
      <c r="C86">
        <f t="shared" si="3"/>
        <v>3.01</v>
      </c>
      <c r="D86" s="227">
        <v>1.1000000000000001</v>
      </c>
      <c r="E86" s="228">
        <f t="shared" si="2"/>
        <v>0</v>
      </c>
      <c r="G86" s="229">
        <f t="shared" si="4"/>
        <v>0.76</v>
      </c>
      <c r="H86" s="11"/>
      <c r="I86" s="11"/>
      <c r="T86" s="12"/>
      <c r="Y86" s="13"/>
      <c r="Z86" s="13"/>
      <c r="AA86"/>
      <c r="AB86" s="14"/>
      <c r="AC86"/>
      <c r="AD86"/>
      <c r="AE86"/>
      <c r="AF86"/>
      <c r="AG86"/>
      <c r="AH86"/>
      <c r="AJ86"/>
    </row>
    <row r="87" spans="1:36" ht="16" x14ac:dyDescent="0.2">
      <c r="A87" s="227">
        <v>5.5</v>
      </c>
      <c r="B87" s="228">
        <f t="shared" si="1"/>
        <v>0</v>
      </c>
      <c r="C87">
        <f t="shared" si="3"/>
        <v>4.01</v>
      </c>
      <c r="D87" s="227">
        <v>1.5</v>
      </c>
      <c r="E87" s="228">
        <f t="shared" si="2"/>
        <v>0</v>
      </c>
      <c r="G87" s="229">
        <f t="shared" si="4"/>
        <v>1.1100000000000001</v>
      </c>
      <c r="H87" s="11"/>
      <c r="I87" s="11"/>
      <c r="T87" s="12"/>
      <c r="Y87" s="13"/>
      <c r="Z87" s="13"/>
      <c r="AA87"/>
      <c r="AB87" s="14"/>
      <c r="AC87"/>
      <c r="AD87"/>
      <c r="AE87"/>
      <c r="AF87"/>
      <c r="AG87"/>
      <c r="AH87"/>
      <c r="AJ87"/>
    </row>
    <row r="88" spans="1:36" ht="16" x14ac:dyDescent="0.2">
      <c r="A88" s="227">
        <v>7.5</v>
      </c>
      <c r="B88" s="228">
        <f t="shared" si="1"/>
        <v>0</v>
      </c>
      <c r="C88">
        <f t="shared" si="3"/>
        <v>5.51</v>
      </c>
      <c r="D88" s="227">
        <v>2.2000000000000002</v>
      </c>
      <c r="E88" s="228">
        <f t="shared" si="2"/>
        <v>0</v>
      </c>
      <c r="G88" s="229">
        <f t="shared" si="4"/>
        <v>1.51</v>
      </c>
      <c r="H88" s="11"/>
      <c r="I88" s="11"/>
      <c r="T88" s="12"/>
      <c r="Y88" s="13"/>
      <c r="Z88" s="13"/>
      <c r="AA88"/>
      <c r="AB88" s="14"/>
      <c r="AC88"/>
      <c r="AD88"/>
      <c r="AE88"/>
      <c r="AF88"/>
      <c r="AG88"/>
      <c r="AH88"/>
      <c r="AJ88"/>
    </row>
    <row r="89" spans="1:36" ht="16" x14ac:dyDescent="0.2">
      <c r="A89" s="227">
        <v>11</v>
      </c>
      <c r="B89" s="228">
        <f t="shared" si="1"/>
        <v>0</v>
      </c>
      <c r="C89">
        <f t="shared" si="3"/>
        <v>7.51</v>
      </c>
      <c r="D89" s="227">
        <v>3</v>
      </c>
      <c r="E89" s="228">
        <f t="shared" si="2"/>
        <v>1</v>
      </c>
      <c r="G89" s="229">
        <f t="shared" si="4"/>
        <v>2.21</v>
      </c>
      <c r="H89" s="11"/>
      <c r="I89" s="11"/>
      <c r="T89" s="12"/>
      <c r="Y89" s="13"/>
      <c r="Z89" s="13"/>
      <c r="AA89"/>
      <c r="AB89" s="14"/>
      <c r="AC89"/>
      <c r="AD89"/>
      <c r="AE89"/>
      <c r="AF89"/>
      <c r="AG89"/>
      <c r="AH89"/>
      <c r="AJ89"/>
    </row>
    <row r="90" spans="1:36" ht="16" x14ac:dyDescent="0.2">
      <c r="A90" s="227">
        <v>15</v>
      </c>
      <c r="B90" s="228">
        <f t="shared" si="1"/>
        <v>0</v>
      </c>
      <c r="C90">
        <f t="shared" si="3"/>
        <v>11.01</v>
      </c>
      <c r="D90" s="227">
        <v>4</v>
      </c>
      <c r="E90" s="228">
        <f t="shared" si="2"/>
        <v>0</v>
      </c>
      <c r="G90" s="229">
        <f t="shared" si="4"/>
        <v>3.01</v>
      </c>
      <c r="H90" s="11"/>
      <c r="I90" s="11"/>
      <c r="T90" s="12"/>
      <c r="Y90" s="13"/>
      <c r="Z90" s="13"/>
      <c r="AA90"/>
      <c r="AB90" s="14"/>
      <c r="AC90"/>
      <c r="AD90"/>
      <c r="AE90"/>
      <c r="AF90"/>
      <c r="AG90"/>
      <c r="AH90"/>
      <c r="AJ90"/>
    </row>
    <row r="91" spans="1:36" ht="16" x14ac:dyDescent="0.2">
      <c r="A91" s="227">
        <v>18.5</v>
      </c>
      <c r="B91" s="228">
        <f t="shared" si="1"/>
        <v>0</v>
      </c>
      <c r="C91">
        <f t="shared" si="3"/>
        <v>15.01</v>
      </c>
      <c r="D91" s="227">
        <v>5.5</v>
      </c>
      <c r="E91" s="228">
        <f t="shared" si="2"/>
        <v>0</v>
      </c>
      <c r="G91" s="229">
        <f t="shared" si="4"/>
        <v>4.01</v>
      </c>
      <c r="H91" s="11"/>
      <c r="I91" s="11"/>
      <c r="T91" s="12"/>
      <c r="Y91" s="13"/>
      <c r="Z91" s="13"/>
      <c r="AA91"/>
      <c r="AB91" s="14"/>
      <c r="AC91"/>
      <c r="AD91"/>
      <c r="AE91"/>
      <c r="AF91"/>
      <c r="AG91"/>
      <c r="AH91"/>
      <c r="AJ91"/>
    </row>
    <row r="92" spans="1:36" ht="16" x14ac:dyDescent="0.2">
      <c r="A92" s="227">
        <v>22</v>
      </c>
      <c r="B92" s="228">
        <f t="shared" si="1"/>
        <v>0</v>
      </c>
      <c r="C92">
        <f t="shared" si="3"/>
        <v>18.510000000000002</v>
      </c>
      <c r="D92" s="227">
        <v>7.5</v>
      </c>
      <c r="E92" s="228">
        <f t="shared" si="2"/>
        <v>0</v>
      </c>
      <c r="G92" s="229">
        <f t="shared" si="4"/>
        <v>5.51</v>
      </c>
      <c r="H92" s="11"/>
      <c r="I92" s="11"/>
      <c r="T92" s="12"/>
      <c r="Y92" s="13"/>
      <c r="Z92" s="13"/>
      <c r="AA92"/>
      <c r="AB92" s="14"/>
      <c r="AC92"/>
      <c r="AD92"/>
      <c r="AE92"/>
      <c r="AF92"/>
      <c r="AG92"/>
      <c r="AH92"/>
      <c r="AJ92"/>
    </row>
    <row r="93" spans="1:36" ht="16" x14ac:dyDescent="0.2">
      <c r="A93" s="227">
        <v>30</v>
      </c>
      <c r="B93" s="228">
        <f t="shared" si="1"/>
        <v>0</v>
      </c>
      <c r="C93">
        <f t="shared" si="3"/>
        <v>22.01</v>
      </c>
      <c r="D93" s="227">
        <v>11</v>
      </c>
      <c r="E93" s="228">
        <f t="shared" si="2"/>
        <v>0</v>
      </c>
      <c r="G93" s="229">
        <f t="shared" si="4"/>
        <v>7.51</v>
      </c>
      <c r="H93" s="11"/>
      <c r="I93" s="11"/>
      <c r="T93" s="12"/>
      <c r="Y93" s="13"/>
      <c r="Z93" s="13"/>
      <c r="AA93"/>
      <c r="AB93" s="14"/>
      <c r="AC93"/>
      <c r="AD93"/>
      <c r="AE93"/>
      <c r="AF93"/>
      <c r="AG93"/>
      <c r="AH93"/>
      <c r="AJ93"/>
    </row>
    <row r="94" spans="1:36" ht="16" x14ac:dyDescent="0.2">
      <c r="A94" s="227">
        <v>32</v>
      </c>
      <c r="B94" s="228">
        <f t="shared" si="1"/>
        <v>0</v>
      </c>
      <c r="C94">
        <f t="shared" si="3"/>
        <v>30.01</v>
      </c>
      <c r="D94" s="227">
        <v>15</v>
      </c>
      <c r="E94" s="228">
        <f t="shared" si="2"/>
        <v>0</v>
      </c>
      <c r="G94" s="229">
        <f t="shared" si="4"/>
        <v>11.01</v>
      </c>
      <c r="H94" s="11"/>
      <c r="I94" s="11"/>
      <c r="T94" s="12"/>
      <c r="Y94" s="13"/>
      <c r="Z94" s="13"/>
      <c r="AA94"/>
      <c r="AB94" s="14"/>
      <c r="AC94"/>
      <c r="AD94"/>
      <c r="AE94"/>
      <c r="AF94"/>
      <c r="AG94"/>
      <c r="AH94"/>
      <c r="AJ94"/>
    </row>
    <row r="95" spans="1:36" ht="16" x14ac:dyDescent="0.2">
      <c r="A95" s="227">
        <v>37</v>
      </c>
      <c r="B95" s="228">
        <f t="shared" si="1"/>
        <v>0</v>
      </c>
      <c r="C95">
        <f t="shared" si="3"/>
        <v>32.01</v>
      </c>
      <c r="D95" s="227">
        <v>18.5</v>
      </c>
      <c r="E95" s="228">
        <f t="shared" si="2"/>
        <v>0</v>
      </c>
      <c r="G95" s="229">
        <f t="shared" si="4"/>
        <v>15.01</v>
      </c>
      <c r="H95" s="11"/>
      <c r="I95" s="11"/>
      <c r="T95" s="12"/>
      <c r="Y95" s="13"/>
      <c r="Z95" s="13"/>
      <c r="AA95"/>
      <c r="AB95" s="14"/>
      <c r="AC95"/>
      <c r="AD95"/>
      <c r="AE95"/>
      <c r="AF95"/>
      <c r="AG95"/>
      <c r="AH95"/>
      <c r="AJ95"/>
    </row>
    <row r="96" spans="1:36" ht="16" x14ac:dyDescent="0.2">
      <c r="A96" s="227">
        <v>45</v>
      </c>
      <c r="B96" s="228">
        <f t="shared" si="1"/>
        <v>0</v>
      </c>
      <c r="C96">
        <f t="shared" si="3"/>
        <v>37.01</v>
      </c>
      <c r="D96" s="227">
        <v>22</v>
      </c>
      <c r="E96" s="228">
        <f t="shared" si="2"/>
        <v>0</v>
      </c>
      <c r="G96" s="229">
        <f t="shared" si="4"/>
        <v>18.510000000000002</v>
      </c>
      <c r="H96" s="11"/>
      <c r="I96" s="11"/>
      <c r="T96" s="12"/>
      <c r="Y96" s="13"/>
      <c r="Z96" s="13"/>
      <c r="AA96"/>
      <c r="AB96" s="14"/>
      <c r="AC96"/>
      <c r="AD96"/>
      <c r="AE96"/>
      <c r="AF96"/>
      <c r="AG96"/>
      <c r="AH96"/>
      <c r="AJ96"/>
    </row>
    <row r="97" spans="1:36" ht="16" x14ac:dyDescent="0.2">
      <c r="A97" s="227">
        <v>50</v>
      </c>
      <c r="B97" s="228">
        <f t="shared" si="1"/>
        <v>0</v>
      </c>
      <c r="C97">
        <f t="shared" si="3"/>
        <v>45.01</v>
      </c>
      <c r="D97" s="227">
        <v>30</v>
      </c>
      <c r="E97" s="228">
        <f t="shared" si="2"/>
        <v>0</v>
      </c>
      <c r="G97" s="229">
        <f t="shared" si="4"/>
        <v>22.01</v>
      </c>
      <c r="H97" s="11"/>
      <c r="I97" s="11"/>
      <c r="T97" s="12"/>
      <c r="Y97" s="13"/>
      <c r="Z97" s="13"/>
      <c r="AA97"/>
      <c r="AB97" s="14"/>
      <c r="AC97"/>
      <c r="AD97"/>
      <c r="AE97"/>
      <c r="AF97"/>
      <c r="AG97"/>
      <c r="AH97"/>
      <c r="AJ97"/>
    </row>
    <row r="98" spans="1:36" ht="16" x14ac:dyDescent="0.2">
      <c r="A98" s="227">
        <v>55</v>
      </c>
      <c r="B98" s="228">
        <f t="shared" si="1"/>
        <v>0</v>
      </c>
      <c r="C98">
        <f t="shared" si="3"/>
        <v>50.01</v>
      </c>
      <c r="D98" s="227">
        <v>37</v>
      </c>
      <c r="E98" s="228">
        <f t="shared" si="2"/>
        <v>0</v>
      </c>
      <c r="G98" s="229">
        <f t="shared" si="4"/>
        <v>30.01</v>
      </c>
      <c r="H98" s="11"/>
      <c r="I98" s="11"/>
      <c r="T98" s="12"/>
      <c r="Y98" s="13"/>
      <c r="Z98" s="13"/>
      <c r="AA98"/>
      <c r="AB98" s="14"/>
      <c r="AC98"/>
      <c r="AD98"/>
      <c r="AE98"/>
      <c r="AF98"/>
      <c r="AG98"/>
      <c r="AH98"/>
      <c r="AJ98"/>
    </row>
    <row r="99" spans="1:36" ht="16" x14ac:dyDescent="0.2">
      <c r="A99" s="227">
        <v>75</v>
      </c>
      <c r="B99" s="228">
        <f t="shared" si="1"/>
        <v>0</v>
      </c>
      <c r="C99">
        <f t="shared" si="3"/>
        <v>55.01</v>
      </c>
      <c r="D99" s="227">
        <v>45</v>
      </c>
      <c r="E99" s="228">
        <f t="shared" si="2"/>
        <v>1</v>
      </c>
      <c r="G99" s="229">
        <f t="shared" si="4"/>
        <v>37.01</v>
      </c>
      <c r="H99" s="11"/>
      <c r="I99" s="11"/>
      <c r="T99" s="12"/>
      <c r="Y99" s="13"/>
      <c r="Z99" s="13"/>
      <c r="AA99"/>
      <c r="AB99" s="14"/>
      <c r="AC99"/>
      <c r="AD99"/>
      <c r="AE99"/>
      <c r="AF99"/>
      <c r="AG99"/>
      <c r="AH99"/>
      <c r="AJ99"/>
    </row>
    <row r="100" spans="1:36" ht="16" x14ac:dyDescent="0.2">
      <c r="A100" s="227">
        <v>90</v>
      </c>
      <c r="B100" s="228">
        <f t="shared" si="1"/>
        <v>0</v>
      </c>
      <c r="C100">
        <f t="shared" si="3"/>
        <v>75.010000000000005</v>
      </c>
      <c r="D100" s="227">
        <v>55</v>
      </c>
      <c r="E100" s="228">
        <f t="shared" si="2"/>
        <v>0</v>
      </c>
      <c r="G100" s="229">
        <f t="shared" si="4"/>
        <v>45.01</v>
      </c>
      <c r="H100" s="11"/>
      <c r="I100" s="11"/>
      <c r="T100" s="12"/>
      <c r="Y100" s="13"/>
      <c r="Z100" s="13"/>
      <c r="AA100"/>
      <c r="AB100" s="14"/>
      <c r="AC100"/>
      <c r="AD100"/>
      <c r="AE100"/>
      <c r="AF100"/>
      <c r="AG100"/>
      <c r="AH100"/>
      <c r="AJ100"/>
    </row>
    <row r="101" spans="1:36" ht="16" x14ac:dyDescent="0.2">
      <c r="A101" s="227">
        <v>110</v>
      </c>
      <c r="B101" s="228">
        <f t="shared" si="1"/>
        <v>0</v>
      </c>
      <c r="C101">
        <f t="shared" si="3"/>
        <v>90.01</v>
      </c>
      <c r="D101" s="227">
        <v>75</v>
      </c>
      <c r="E101" s="228">
        <f t="shared" si="2"/>
        <v>0</v>
      </c>
      <c r="G101" s="229">
        <f t="shared" si="4"/>
        <v>55.01</v>
      </c>
      <c r="H101" s="11"/>
      <c r="I101" s="11"/>
      <c r="T101" s="12"/>
      <c r="Y101" s="13"/>
      <c r="Z101" s="13"/>
      <c r="AA101"/>
      <c r="AB101" s="14"/>
      <c r="AC101"/>
      <c r="AD101"/>
      <c r="AE101"/>
      <c r="AF101"/>
      <c r="AG101"/>
      <c r="AH101"/>
      <c r="AJ101"/>
    </row>
    <row r="102" spans="1:36" ht="16" x14ac:dyDescent="0.2">
      <c r="A102" s="227">
        <v>132</v>
      </c>
      <c r="B102" s="228">
        <f t="shared" si="1"/>
        <v>0</v>
      </c>
      <c r="C102">
        <f t="shared" si="3"/>
        <v>110.01</v>
      </c>
      <c r="D102" s="227">
        <v>90</v>
      </c>
      <c r="E102" s="228">
        <f t="shared" si="2"/>
        <v>0</v>
      </c>
      <c r="G102" s="229">
        <f t="shared" si="4"/>
        <v>75.010000000000005</v>
      </c>
      <c r="H102" s="11"/>
      <c r="I102" s="11"/>
      <c r="T102" s="12"/>
      <c r="Y102" s="13"/>
      <c r="Z102" s="13"/>
      <c r="AA102"/>
      <c r="AB102" s="14"/>
      <c r="AC102"/>
      <c r="AD102"/>
      <c r="AE102"/>
      <c r="AF102"/>
      <c r="AG102"/>
      <c r="AH102"/>
      <c r="AJ102"/>
    </row>
    <row r="103" spans="1:36" ht="16" x14ac:dyDescent="0.2">
      <c r="A103" s="227">
        <v>150</v>
      </c>
      <c r="B103" s="228">
        <f t="shared" si="1"/>
        <v>0</v>
      </c>
      <c r="C103">
        <f t="shared" si="3"/>
        <v>132.01</v>
      </c>
      <c r="D103" s="227">
        <v>110</v>
      </c>
      <c r="E103" s="228">
        <f t="shared" si="2"/>
        <v>0</v>
      </c>
      <c r="G103" s="229">
        <f t="shared" si="4"/>
        <v>90.01</v>
      </c>
      <c r="H103" s="11"/>
      <c r="I103" s="11"/>
      <c r="T103" s="12"/>
      <c r="Y103" s="13"/>
      <c r="Z103" s="13"/>
      <c r="AA103"/>
      <c r="AB103" s="14"/>
      <c r="AC103"/>
      <c r="AD103"/>
      <c r="AE103"/>
      <c r="AF103"/>
      <c r="AG103"/>
      <c r="AH103"/>
      <c r="AJ103"/>
    </row>
    <row r="104" spans="1:36" ht="16" x14ac:dyDescent="0.2">
      <c r="A104" s="227">
        <v>160</v>
      </c>
      <c r="B104" s="228">
        <f t="shared" si="1"/>
        <v>0</v>
      </c>
      <c r="C104">
        <f t="shared" si="3"/>
        <v>150.01</v>
      </c>
      <c r="D104" s="227">
        <v>132</v>
      </c>
      <c r="E104" s="228">
        <f t="shared" si="2"/>
        <v>0</v>
      </c>
      <c r="G104" s="229">
        <f t="shared" si="4"/>
        <v>110.01</v>
      </c>
      <c r="H104" s="11"/>
      <c r="I104" s="11"/>
      <c r="T104" s="12"/>
      <c r="Y104" s="13"/>
      <c r="Z104" s="13"/>
      <c r="AA104"/>
      <c r="AB104" s="14"/>
      <c r="AC104"/>
      <c r="AD104"/>
      <c r="AE104"/>
      <c r="AF104"/>
      <c r="AG104"/>
      <c r="AH104"/>
      <c r="AJ104"/>
    </row>
    <row r="105" spans="1:36" ht="16" x14ac:dyDescent="0.2">
      <c r="A105" s="227">
        <v>180</v>
      </c>
      <c r="B105" s="228">
        <f t="shared" si="1"/>
        <v>0</v>
      </c>
      <c r="C105">
        <f t="shared" si="3"/>
        <v>160.01</v>
      </c>
      <c r="D105" s="227">
        <v>150</v>
      </c>
      <c r="E105" s="228">
        <f t="shared" si="2"/>
        <v>0</v>
      </c>
      <c r="G105" s="229">
        <f t="shared" si="4"/>
        <v>132.01</v>
      </c>
      <c r="H105" s="11"/>
      <c r="I105" s="11"/>
      <c r="T105" s="12"/>
      <c r="Y105" s="13"/>
      <c r="Z105" s="13"/>
      <c r="AA105"/>
      <c r="AB105" s="14"/>
      <c r="AC105"/>
      <c r="AD105"/>
      <c r="AE105"/>
      <c r="AF105"/>
      <c r="AG105"/>
      <c r="AH105"/>
      <c r="AJ105"/>
    </row>
    <row r="106" spans="1:36" ht="16" x14ac:dyDescent="0.2">
      <c r="A106" s="227">
        <v>200</v>
      </c>
      <c r="B106" s="228">
        <f t="shared" si="1"/>
        <v>0</v>
      </c>
      <c r="C106">
        <f t="shared" si="3"/>
        <v>180.01</v>
      </c>
      <c r="D106" s="227">
        <v>185</v>
      </c>
      <c r="E106" s="228">
        <f t="shared" si="2"/>
        <v>0</v>
      </c>
      <c r="G106" s="229">
        <f t="shared" si="4"/>
        <v>150.01</v>
      </c>
      <c r="H106" s="11"/>
      <c r="I106" s="11"/>
      <c r="T106" s="12"/>
      <c r="Y106" s="13"/>
      <c r="Z106" s="13"/>
      <c r="AA106"/>
      <c r="AB106" s="14"/>
      <c r="AC106"/>
      <c r="AD106"/>
      <c r="AE106"/>
      <c r="AF106"/>
      <c r="AG106"/>
      <c r="AH106"/>
      <c r="AJ106"/>
    </row>
    <row r="107" spans="1:36" ht="16" x14ac:dyDescent="0.2">
      <c r="A107" s="227">
        <v>250</v>
      </c>
      <c r="B107" s="228">
        <f t="shared" si="1"/>
        <v>0</v>
      </c>
      <c r="C107">
        <f t="shared" si="3"/>
        <v>200.01</v>
      </c>
      <c r="D107" s="227">
        <v>220</v>
      </c>
      <c r="E107" s="228">
        <f t="shared" si="2"/>
        <v>0</v>
      </c>
      <c r="G107" s="229">
        <f t="shared" si="4"/>
        <v>185.01</v>
      </c>
      <c r="H107" s="11"/>
      <c r="I107" s="11"/>
      <c r="T107" s="12"/>
      <c r="Y107" s="13"/>
      <c r="Z107" s="13"/>
      <c r="AA107"/>
      <c r="AB107" s="14"/>
      <c r="AC107"/>
      <c r="AD107"/>
      <c r="AE107"/>
      <c r="AF107"/>
      <c r="AG107"/>
      <c r="AH107"/>
      <c r="AJ107"/>
    </row>
    <row r="108" spans="1:36" ht="16" x14ac:dyDescent="0.2">
      <c r="A108" s="227">
        <v>280</v>
      </c>
      <c r="B108" s="228">
        <f t="shared" si="1"/>
        <v>0</v>
      </c>
      <c r="C108">
        <f t="shared" si="3"/>
        <v>250.01</v>
      </c>
      <c r="D108" s="227">
        <v>250</v>
      </c>
      <c r="E108" s="228">
        <f t="shared" si="2"/>
        <v>0</v>
      </c>
      <c r="F108"/>
      <c r="G108" s="229">
        <f t="shared" si="4"/>
        <v>220.01</v>
      </c>
      <c r="H108" s="11"/>
      <c r="I108" s="11"/>
      <c r="T108" s="12"/>
      <c r="Y108" s="13"/>
      <c r="Z108" s="13"/>
      <c r="AA108"/>
      <c r="AB108" s="14"/>
      <c r="AC108"/>
      <c r="AD108"/>
      <c r="AE108"/>
      <c r="AF108"/>
      <c r="AG108"/>
      <c r="AH108"/>
      <c r="AJ108"/>
    </row>
    <row r="109" spans="1:36" ht="16" x14ac:dyDescent="0.2">
      <c r="A109" s="227">
        <v>315</v>
      </c>
      <c r="B109" s="228">
        <f t="shared" si="1"/>
        <v>0</v>
      </c>
      <c r="C109">
        <f t="shared" si="3"/>
        <v>280.01</v>
      </c>
      <c r="D109" s="227">
        <v>280</v>
      </c>
      <c r="E109" s="228">
        <f t="shared" si="2"/>
        <v>0</v>
      </c>
      <c r="F109"/>
      <c r="G109" s="229">
        <f t="shared" si="4"/>
        <v>250.01</v>
      </c>
      <c r="H109" s="11"/>
      <c r="I109" s="11"/>
      <c r="T109" s="12"/>
      <c r="Y109" s="13"/>
      <c r="Z109" s="13"/>
      <c r="AA109"/>
      <c r="AB109" s="14"/>
      <c r="AC109"/>
      <c r="AD109"/>
      <c r="AE109"/>
      <c r="AF109"/>
      <c r="AG109"/>
      <c r="AH109"/>
      <c r="AJ109"/>
    </row>
    <row r="110" spans="1:36" ht="16" x14ac:dyDescent="0.2">
      <c r="A110" s="227">
        <v>355</v>
      </c>
      <c r="B110" s="228">
        <f t="shared" si="1"/>
        <v>0</v>
      </c>
      <c r="C110">
        <f t="shared" si="3"/>
        <v>315.01</v>
      </c>
      <c r="D110" s="227">
        <v>315</v>
      </c>
      <c r="E110" s="228">
        <f t="shared" si="2"/>
        <v>0</v>
      </c>
      <c r="F110"/>
      <c r="G110" s="229">
        <f t="shared" si="4"/>
        <v>280.01</v>
      </c>
      <c r="H110" s="11"/>
      <c r="I110" s="11"/>
      <c r="T110" s="12"/>
      <c r="Y110" s="13"/>
      <c r="Z110" s="13"/>
      <c r="AA110"/>
      <c r="AB110" s="14"/>
      <c r="AC110"/>
      <c r="AD110"/>
      <c r="AE110"/>
      <c r="AF110"/>
      <c r="AG110"/>
      <c r="AH110"/>
      <c r="AJ110"/>
    </row>
    <row r="111" spans="1:36" ht="16" x14ac:dyDescent="0.2">
      <c r="A111" s="227">
        <v>400</v>
      </c>
      <c r="B111" s="228">
        <f t="shared" si="1"/>
        <v>0</v>
      </c>
      <c r="C111">
        <f t="shared" si="3"/>
        <v>355.01</v>
      </c>
      <c r="D111" s="227">
        <v>350</v>
      </c>
      <c r="E111" s="228">
        <f t="shared" si="2"/>
        <v>0</v>
      </c>
      <c r="F111"/>
      <c r="G111" s="229">
        <f t="shared" si="4"/>
        <v>315.01</v>
      </c>
      <c r="H111" s="11"/>
      <c r="I111" s="11"/>
      <c r="T111" s="12"/>
      <c r="Y111" s="13"/>
      <c r="Z111" s="13"/>
      <c r="AA111"/>
      <c r="AB111" s="14"/>
      <c r="AC111"/>
      <c r="AD111"/>
      <c r="AE111"/>
      <c r="AF111"/>
      <c r="AG111"/>
      <c r="AH111"/>
      <c r="AJ111"/>
    </row>
    <row r="112" spans="1:36" ht="16" x14ac:dyDescent="0.2">
      <c r="A112" s="227">
        <v>450</v>
      </c>
      <c r="B112" s="228">
        <f t="shared" si="1"/>
        <v>0</v>
      </c>
      <c r="C112">
        <f t="shared" si="3"/>
        <v>400.01</v>
      </c>
      <c r="D112" s="227">
        <v>400</v>
      </c>
      <c r="E112" s="228">
        <f t="shared" si="2"/>
        <v>0</v>
      </c>
      <c r="F112"/>
      <c r="G112" s="229">
        <f t="shared" si="4"/>
        <v>350.01</v>
      </c>
      <c r="H112" s="11"/>
      <c r="I112" s="11"/>
      <c r="T112" s="12"/>
      <c r="Y112" s="13"/>
      <c r="Z112" s="13"/>
      <c r="AA112"/>
      <c r="AB112" s="14"/>
      <c r="AC112"/>
      <c r="AD112"/>
      <c r="AE112"/>
      <c r="AF112"/>
      <c r="AG112"/>
      <c r="AH112"/>
      <c r="AJ112"/>
    </row>
    <row r="113" spans="1:36" ht="17" thickBot="1" x14ac:dyDescent="0.25">
      <c r="A113" s="227">
        <v>500</v>
      </c>
      <c r="B113" s="228">
        <f t="shared" si="1"/>
        <v>0</v>
      </c>
      <c r="C113">
        <f t="shared" si="3"/>
        <v>450.01</v>
      </c>
      <c r="D113" s="230">
        <v>450</v>
      </c>
      <c r="E113" s="231">
        <f t="shared" si="2"/>
        <v>0</v>
      </c>
      <c r="F113"/>
      <c r="G113" s="229">
        <f t="shared" si="4"/>
        <v>400.01</v>
      </c>
      <c r="H113" s="11"/>
      <c r="I113" s="11"/>
      <c r="T113" s="12"/>
      <c r="Y113" s="13"/>
      <c r="Z113" s="13"/>
      <c r="AA113"/>
      <c r="AB113" s="14"/>
      <c r="AC113"/>
      <c r="AD113"/>
      <c r="AE113"/>
      <c r="AF113"/>
      <c r="AG113"/>
      <c r="AH113"/>
      <c r="AJ113"/>
    </row>
    <row r="114" spans="1:36" ht="16" thickBot="1" x14ac:dyDescent="0.25">
      <c r="A114" s="227">
        <v>560</v>
      </c>
      <c r="B114" s="228">
        <f t="shared" si="1"/>
        <v>0</v>
      </c>
      <c r="C114">
        <f t="shared" si="3"/>
        <v>500.01</v>
      </c>
      <c r="D114" s="232" t="s">
        <v>118</v>
      </c>
      <c r="E114" s="233">
        <f>SUM(E80:E113)</f>
        <v>2</v>
      </c>
      <c r="F114"/>
      <c r="G114" s="11"/>
      <c r="H114" s="11"/>
      <c r="I114" s="11"/>
      <c r="T114" s="12"/>
      <c r="Y114" s="13"/>
      <c r="Z114" s="13"/>
      <c r="AA114"/>
      <c r="AB114" s="14"/>
      <c r="AC114"/>
      <c r="AD114"/>
      <c r="AE114"/>
      <c r="AF114"/>
      <c r="AG114"/>
      <c r="AH114"/>
      <c r="AJ114"/>
    </row>
    <row r="115" spans="1:36" x14ac:dyDescent="0.2">
      <c r="A115" s="234">
        <v>630</v>
      </c>
      <c r="B115" s="228">
        <f t="shared" si="1"/>
        <v>0</v>
      </c>
      <c r="C115">
        <f t="shared" si="3"/>
        <v>560.01</v>
      </c>
      <c r="E115"/>
      <c r="F115"/>
      <c r="G115" s="11"/>
      <c r="H115" s="11"/>
      <c r="I115" s="11"/>
      <c r="T115" s="12"/>
      <c r="Y115" s="13"/>
      <c r="Z115" s="13"/>
      <c r="AA115"/>
      <c r="AB115" s="14"/>
      <c r="AC115"/>
      <c r="AD115"/>
      <c r="AE115"/>
      <c r="AF115"/>
      <c r="AG115"/>
      <c r="AH115"/>
      <c r="AJ115"/>
    </row>
    <row r="116" spans="1:36" x14ac:dyDescent="0.2">
      <c r="A116" s="235">
        <v>710</v>
      </c>
      <c r="B116" s="228">
        <f t="shared" si="1"/>
        <v>0</v>
      </c>
      <c r="C116">
        <f t="shared" si="3"/>
        <v>630.01</v>
      </c>
      <c r="E116"/>
      <c r="F116"/>
      <c r="G116" s="11"/>
      <c r="H116" s="11"/>
      <c r="I116" s="11"/>
      <c r="T116" s="12"/>
      <c r="Y116" s="13"/>
      <c r="Z116" s="13"/>
      <c r="AA116"/>
      <c r="AB116" s="14"/>
      <c r="AC116"/>
      <c r="AD116"/>
      <c r="AE116"/>
      <c r="AF116"/>
      <c r="AG116"/>
      <c r="AH116"/>
      <c r="AJ116"/>
    </row>
    <row r="117" spans="1:36" x14ac:dyDescent="0.2">
      <c r="A117" s="236">
        <v>800</v>
      </c>
      <c r="B117" s="228">
        <f t="shared" si="1"/>
        <v>0</v>
      </c>
      <c r="C117">
        <f t="shared" si="3"/>
        <v>710.01</v>
      </c>
      <c r="E117"/>
      <c r="F117"/>
      <c r="G117" s="11"/>
      <c r="H117" s="11"/>
      <c r="I117" s="11"/>
      <c r="T117" s="12"/>
      <c r="Y117" s="13"/>
      <c r="Z117" s="13"/>
      <c r="AA117"/>
      <c r="AB117" s="14"/>
      <c r="AC117"/>
      <c r="AD117"/>
      <c r="AE117"/>
      <c r="AF117"/>
      <c r="AG117"/>
      <c r="AH117"/>
      <c r="AJ117"/>
    </row>
    <row r="118" spans="1:36" x14ac:dyDescent="0.2">
      <c r="A118" s="236">
        <v>1500</v>
      </c>
      <c r="B118" s="228">
        <f t="shared" si="1"/>
        <v>0</v>
      </c>
      <c r="C118">
        <f t="shared" si="3"/>
        <v>800.01</v>
      </c>
      <c r="E118"/>
      <c r="F118"/>
      <c r="G118" s="11"/>
      <c r="H118" s="11"/>
      <c r="I118" s="11"/>
      <c r="T118" s="12"/>
      <c r="Y118" s="13"/>
      <c r="Z118" s="13"/>
      <c r="AA118"/>
      <c r="AB118" s="14"/>
      <c r="AC118"/>
      <c r="AD118"/>
      <c r="AE118"/>
      <c r="AF118"/>
      <c r="AG118"/>
      <c r="AH118"/>
      <c r="AJ118"/>
    </row>
    <row r="119" spans="1:36" x14ac:dyDescent="0.2">
      <c r="A119" s="236">
        <v>3000</v>
      </c>
      <c r="B119" s="228">
        <f t="shared" si="1"/>
        <v>0</v>
      </c>
      <c r="C119">
        <f t="shared" si="3"/>
        <v>1500.01</v>
      </c>
      <c r="E119"/>
      <c r="F119"/>
      <c r="G119" s="11"/>
      <c r="H119" s="11"/>
      <c r="I119" s="11"/>
      <c r="T119" s="12"/>
      <c r="Y119" s="13"/>
      <c r="Z119" s="13"/>
      <c r="AA119"/>
      <c r="AB119" s="14"/>
      <c r="AC119"/>
      <c r="AD119"/>
      <c r="AE119"/>
      <c r="AF119"/>
      <c r="AG119"/>
      <c r="AH119"/>
      <c r="AJ119"/>
    </row>
    <row r="120" spans="1:36" x14ac:dyDescent="0.2">
      <c r="A120" s="236">
        <v>6000</v>
      </c>
      <c r="B120" s="228">
        <f t="shared" si="1"/>
        <v>0</v>
      </c>
      <c r="C120">
        <f t="shared" si="3"/>
        <v>3000.01</v>
      </c>
      <c r="E120"/>
      <c r="G120" s="11"/>
      <c r="H120" s="11"/>
      <c r="I120" s="11"/>
      <c r="V120" s="12"/>
      <c r="AA120" s="13"/>
      <c r="AB120" s="13"/>
      <c r="AC120"/>
      <c r="AD120" s="14"/>
      <c r="AE120"/>
      <c r="AF120"/>
      <c r="AG120"/>
      <c r="AH120"/>
      <c r="AJ120"/>
    </row>
    <row r="121" spans="1:36" x14ac:dyDescent="0.2">
      <c r="A121" s="237" t="s">
        <v>118</v>
      </c>
      <c r="B121" s="238">
        <f>SUM(B80:B120)</f>
        <v>0</v>
      </c>
    </row>
    <row r="124" spans="1:36" ht="16" thickBot="1" x14ac:dyDescent="0.25"/>
    <row r="125" spans="1:36" ht="16" thickBot="1" x14ac:dyDescent="0.25">
      <c r="D125" s="219" t="s">
        <v>119</v>
      </c>
      <c r="E125" s="220"/>
    </row>
    <row r="126" spans="1:36" ht="16" x14ac:dyDescent="0.2">
      <c r="A126" s="219" t="s">
        <v>120</v>
      </c>
      <c r="B126" s="220"/>
      <c r="D126" s="224" t="s">
        <v>110</v>
      </c>
      <c r="E126" s="239" t="s">
        <v>121</v>
      </c>
    </row>
    <row r="127" spans="1:36" ht="16" x14ac:dyDescent="0.2">
      <c r="A127" s="224"/>
      <c r="B127" s="239" t="s">
        <v>116</v>
      </c>
      <c r="D127" s="240" t="s">
        <v>122</v>
      </c>
      <c r="E127" s="241">
        <f>COUNTA(A9:A14)*F156</f>
        <v>0</v>
      </c>
    </row>
    <row r="128" spans="1:36" x14ac:dyDescent="0.2">
      <c r="A128" s="227"/>
      <c r="B128" s="241">
        <f t="shared" ref="B128:B147" si="5">IFERROR(COUNTIF(AO$9:AO$17,A128),"")</f>
        <v>0</v>
      </c>
      <c r="D128" s="240" t="s">
        <v>123</v>
      </c>
      <c r="E128" s="241">
        <f>E127</f>
        <v>0</v>
      </c>
    </row>
    <row r="129" spans="1:8" x14ac:dyDescent="0.2">
      <c r="A129" s="227"/>
      <c r="B129" s="241">
        <f t="shared" si="5"/>
        <v>0</v>
      </c>
      <c r="D129" s="240" t="s">
        <v>124</v>
      </c>
      <c r="E129" s="241">
        <f>F24*(F22-F156)</f>
        <v>0</v>
      </c>
    </row>
    <row r="130" spans="1:8" x14ac:dyDescent="0.2">
      <c r="A130" s="227"/>
      <c r="B130" s="241">
        <f t="shared" si="5"/>
        <v>0</v>
      </c>
      <c r="D130" s="240" t="s">
        <v>125</v>
      </c>
      <c r="E130" s="241">
        <f>E129</f>
        <v>0</v>
      </c>
    </row>
    <row r="131" spans="1:8" x14ac:dyDescent="0.2">
      <c r="A131" s="227"/>
      <c r="B131" s="241">
        <f t="shared" si="5"/>
        <v>0</v>
      </c>
    </row>
    <row r="132" spans="1:8" ht="16" thickBot="1" x14ac:dyDescent="0.25">
      <c r="A132" s="227"/>
      <c r="B132" s="241">
        <f t="shared" si="5"/>
        <v>0</v>
      </c>
    </row>
    <row r="133" spans="1:8" x14ac:dyDescent="0.2">
      <c r="A133" s="227"/>
      <c r="B133" s="241">
        <f t="shared" si="5"/>
        <v>0</v>
      </c>
      <c r="D133" s="242" t="s">
        <v>126</v>
      </c>
      <c r="E133" s="216"/>
      <c r="G133" s="16" t="s">
        <v>127</v>
      </c>
      <c r="H133" s="15">
        <v>1</v>
      </c>
    </row>
    <row r="134" spans="1:8" ht="16" thickBot="1" x14ac:dyDescent="0.25">
      <c r="A134" s="227"/>
      <c r="B134" s="241">
        <f t="shared" si="5"/>
        <v>0</v>
      </c>
      <c r="D134" s="217" t="str">
        <f>"Substation"&amp;"-"&amp;BD3</f>
        <v>Substation-</v>
      </c>
      <c r="E134" s="218">
        <v>1</v>
      </c>
    </row>
    <row r="135" spans="1:8" x14ac:dyDescent="0.2">
      <c r="A135" s="227"/>
      <c r="B135" s="241">
        <f t="shared" si="5"/>
        <v>0</v>
      </c>
    </row>
    <row r="136" spans="1:8" x14ac:dyDescent="0.2">
      <c r="A136" s="227"/>
      <c r="B136" s="241">
        <f t="shared" si="5"/>
        <v>0</v>
      </c>
    </row>
    <row r="137" spans="1:8" x14ac:dyDescent="0.2">
      <c r="A137" s="227"/>
      <c r="B137" s="241">
        <f t="shared" si="5"/>
        <v>0</v>
      </c>
    </row>
    <row r="138" spans="1:8" x14ac:dyDescent="0.2">
      <c r="A138" s="227"/>
      <c r="B138" s="241">
        <f t="shared" si="5"/>
        <v>0</v>
      </c>
    </row>
    <row r="139" spans="1:8" x14ac:dyDescent="0.2">
      <c r="A139" s="227"/>
      <c r="B139" s="241">
        <f t="shared" si="5"/>
        <v>0</v>
      </c>
      <c r="D139" s="243" t="s">
        <v>128</v>
      </c>
      <c r="F139" s="16">
        <f>MAX(F9:F14)</f>
        <v>0</v>
      </c>
    </row>
    <row r="140" spans="1:8" x14ac:dyDescent="0.2">
      <c r="A140" s="227"/>
      <c r="B140" s="241">
        <f t="shared" si="5"/>
        <v>0</v>
      </c>
    </row>
    <row r="141" spans="1:8" x14ac:dyDescent="0.2">
      <c r="A141" s="227"/>
      <c r="B141" s="241">
        <f t="shared" si="5"/>
        <v>0</v>
      </c>
    </row>
    <row r="142" spans="1:8" x14ac:dyDescent="0.2">
      <c r="A142" s="227"/>
      <c r="B142" s="241">
        <f t="shared" si="5"/>
        <v>0</v>
      </c>
    </row>
    <row r="143" spans="1:8" x14ac:dyDescent="0.2">
      <c r="A143" s="227"/>
      <c r="B143" s="241">
        <f t="shared" si="5"/>
        <v>0</v>
      </c>
    </row>
    <row r="144" spans="1:8" x14ac:dyDescent="0.2">
      <c r="A144" s="227"/>
      <c r="B144" s="241">
        <f t="shared" si="5"/>
        <v>0</v>
      </c>
    </row>
    <row r="145" spans="1:87" x14ac:dyDescent="0.2">
      <c r="A145" s="227"/>
      <c r="B145" s="241">
        <f t="shared" si="5"/>
        <v>0</v>
      </c>
    </row>
    <row r="146" spans="1:87" x14ac:dyDescent="0.2">
      <c r="A146" s="227"/>
      <c r="B146" s="241">
        <f t="shared" si="5"/>
        <v>0</v>
      </c>
    </row>
    <row r="147" spans="1:87" x14ac:dyDescent="0.2">
      <c r="A147" s="227"/>
      <c r="B147" s="241">
        <f t="shared" si="5"/>
        <v>0</v>
      </c>
    </row>
    <row r="148" spans="1:87" x14ac:dyDescent="0.2">
      <c r="A148" s="237"/>
      <c r="B148" s="238">
        <f>SUM(B128:B147)</f>
        <v>0</v>
      </c>
    </row>
    <row r="153" spans="1:87" x14ac:dyDescent="0.2">
      <c r="E153"/>
      <c r="F153"/>
      <c r="G153"/>
    </row>
    <row r="154" spans="1:87" x14ac:dyDescent="0.2">
      <c r="D154" s="238" t="s">
        <v>129</v>
      </c>
      <c r="E154" s="241"/>
      <c r="F154" s="241"/>
      <c r="G154"/>
      <c r="H154" t="s">
        <v>130</v>
      </c>
    </row>
    <row r="155" spans="1:87" x14ac:dyDescent="0.2">
      <c r="D155" s="241" t="s">
        <v>131</v>
      </c>
      <c r="E155" s="241"/>
      <c r="F155" s="241">
        <v>25</v>
      </c>
      <c r="G155" t="s">
        <v>89</v>
      </c>
      <c r="H155" t="s">
        <v>132</v>
      </c>
    </row>
    <row r="156" spans="1:87" x14ac:dyDescent="0.2">
      <c r="D156" s="241" t="s">
        <v>133</v>
      </c>
      <c r="E156" s="241"/>
      <c r="F156" s="241">
        <v>15</v>
      </c>
      <c r="G156" t="s">
        <v>89</v>
      </c>
    </row>
    <row r="157" spans="1:87" x14ac:dyDescent="0.2">
      <c r="D157" s="241" t="s">
        <v>134</v>
      </c>
      <c r="E157" s="241"/>
      <c r="F157" s="241">
        <v>600</v>
      </c>
      <c r="G157" t="s">
        <v>135</v>
      </c>
    </row>
    <row r="158" spans="1:87" x14ac:dyDescent="0.2">
      <c r="D158" s="241" t="s">
        <v>136</v>
      </c>
      <c r="E158" s="241"/>
      <c r="F158" s="241">
        <v>50</v>
      </c>
      <c r="G158" t="s">
        <v>135</v>
      </c>
    </row>
    <row r="159" spans="1:87" x14ac:dyDescent="0.2">
      <c r="D159" s="241" t="s">
        <v>137</v>
      </c>
      <c r="E159" s="241"/>
      <c r="F159" s="241">
        <v>0.6</v>
      </c>
      <c r="G159"/>
    </row>
    <row r="160" spans="1:87" x14ac:dyDescent="0.2">
      <c r="D160" s="241" t="s">
        <v>138</v>
      </c>
      <c r="E160" s="241"/>
      <c r="F160" s="241">
        <f>F159*F157</f>
        <v>360</v>
      </c>
      <c r="AB160" s="11"/>
      <c r="AF160" s="12"/>
      <c r="AG160" s="11"/>
      <c r="AH160" s="11"/>
      <c r="AI160" s="11"/>
      <c r="AJ160" s="11"/>
      <c r="AK160" s="13"/>
      <c r="AL160" s="13"/>
      <c r="AO160" s="14"/>
      <c r="BM160"/>
      <c r="BN160"/>
      <c r="BO160"/>
      <c r="BP160"/>
      <c r="BU160" s="15"/>
      <c r="BW160" s="15"/>
      <c r="BX160" s="15"/>
      <c r="CF160" s="16"/>
      <c r="CG160" s="16"/>
      <c r="CH160" s="16"/>
      <c r="CI160" s="16"/>
    </row>
    <row r="161" spans="1:97" x14ac:dyDescent="0.2">
      <c r="D161" s="241" t="s">
        <v>139</v>
      </c>
      <c r="E161" s="241"/>
      <c r="F161" s="241">
        <f>F160-F158</f>
        <v>310</v>
      </c>
      <c r="I161" s="15"/>
      <c r="J161" s="15"/>
      <c r="K161" s="15"/>
      <c r="L161" s="15"/>
      <c r="M161"/>
      <c r="AB161" s="11"/>
      <c r="AF161" s="12"/>
      <c r="AG161" s="11"/>
      <c r="AH161" s="11"/>
      <c r="AI161" s="11"/>
      <c r="AJ161" s="11"/>
      <c r="AK161" s="13"/>
      <c r="AL161" s="13"/>
      <c r="AO161" s="14"/>
      <c r="BM161"/>
      <c r="BN161"/>
      <c r="BO161"/>
      <c r="BP161"/>
      <c r="BU161" s="15"/>
      <c r="BW161" s="15"/>
      <c r="BX161" s="15"/>
      <c r="CF161" s="16"/>
      <c r="CG161" s="16"/>
      <c r="CH161" s="16"/>
      <c r="CI161" s="16"/>
    </row>
    <row r="162" spans="1:97" x14ac:dyDescent="0.2">
      <c r="D162" s="244"/>
      <c r="E162" s="241"/>
      <c r="F162" s="241"/>
      <c r="I162" s="15"/>
      <c r="J162" s="15"/>
      <c r="K162" s="15"/>
      <c r="L162" s="15"/>
      <c r="M162"/>
      <c r="N162"/>
      <c r="O162"/>
      <c r="P162"/>
      <c r="Q162"/>
      <c r="V162" s="15"/>
      <c r="W162"/>
      <c r="AB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2"/>
      <c r="AR162" s="11"/>
      <c r="AS162" s="11"/>
      <c r="AT162" s="11"/>
      <c r="AU162" s="11"/>
      <c r="AV162" s="13"/>
      <c r="AW162" s="13"/>
      <c r="AY162" s="14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CA162"/>
      <c r="CB162"/>
      <c r="CC162" s="15"/>
      <c r="CD162" s="15"/>
      <c r="CE162" s="15"/>
      <c r="CF162" s="16"/>
      <c r="CG162" s="15"/>
      <c r="CH162" s="15"/>
      <c r="CI162" s="15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</row>
    <row r="163" spans="1:97" x14ac:dyDescent="0.2">
      <c r="A163" s="245"/>
      <c r="B163" s="245"/>
      <c r="C163" s="245"/>
      <c r="D163" s="246" t="s">
        <v>140</v>
      </c>
      <c r="E163" s="245" t="s">
        <v>141</v>
      </c>
      <c r="F163" s="245" t="s">
        <v>142</v>
      </c>
      <c r="G163" s="245"/>
      <c r="H163" s="245"/>
      <c r="I163" s="246" t="s">
        <v>140</v>
      </c>
      <c r="J163" s="245" t="s">
        <v>141</v>
      </c>
      <c r="K163" s="245"/>
      <c r="L163" s="245"/>
      <c r="M163" s="245"/>
      <c r="N163"/>
      <c r="O163"/>
      <c r="P163"/>
      <c r="Q163"/>
      <c r="R163"/>
      <c r="S163" s="16"/>
      <c r="T163" s="16"/>
      <c r="U163" s="16"/>
      <c r="V163" s="15"/>
      <c r="W163"/>
      <c r="AB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2"/>
      <c r="AR163" s="11"/>
      <c r="AS163" s="11"/>
      <c r="AT163" s="11"/>
      <c r="AU163" s="11"/>
      <c r="AV163" s="13"/>
      <c r="AW163" s="13"/>
      <c r="AY163" s="14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CA163"/>
      <c r="CB163"/>
      <c r="CC163" s="15"/>
      <c r="CD163" s="15"/>
      <c r="CE163" s="15"/>
      <c r="CF163" s="16"/>
      <c r="CG163" s="15"/>
      <c r="CH163" s="15"/>
      <c r="CI163" s="15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</row>
    <row r="164" spans="1:97" x14ac:dyDescent="0.2">
      <c r="A164" s="245" t="s">
        <v>143</v>
      </c>
      <c r="B164" s="245"/>
      <c r="C164" s="245" t="s">
        <v>64</v>
      </c>
      <c r="D164" s="246"/>
      <c r="E164" s="245"/>
      <c r="F164" s="245" t="s">
        <v>143</v>
      </c>
      <c r="G164" s="245"/>
      <c r="H164" s="245" t="s">
        <v>64</v>
      </c>
      <c r="I164" s="246"/>
      <c r="J164" s="245"/>
      <c r="K164" s="245"/>
      <c r="L164" s="245"/>
      <c r="M164" s="245"/>
      <c r="N164"/>
      <c r="O164"/>
      <c r="P164"/>
      <c r="Q164"/>
      <c r="R164"/>
      <c r="S164"/>
      <c r="T164" s="16"/>
      <c r="U164" s="16"/>
      <c r="V164" s="15"/>
      <c r="W164"/>
      <c r="AB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2"/>
      <c r="AR164" s="11"/>
      <c r="AS164" s="11"/>
      <c r="AT164" s="11"/>
      <c r="AU164" s="11"/>
      <c r="AV164" s="13"/>
      <c r="AW164" s="13"/>
      <c r="AY164" s="1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CA164"/>
      <c r="CB164"/>
      <c r="CC164" s="15"/>
      <c r="CD164" s="15"/>
      <c r="CE164" s="15"/>
      <c r="CF164" s="16"/>
      <c r="CG164" s="15"/>
      <c r="CH164" s="15"/>
      <c r="CI164" s="15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</row>
    <row r="165" spans="1:97" x14ac:dyDescent="0.2">
      <c r="A165" s="241" t="s">
        <v>144</v>
      </c>
      <c r="B165" s="241"/>
      <c r="C165" s="241" t="s">
        <v>130</v>
      </c>
      <c r="D165" s="208" t="s">
        <v>145</v>
      </c>
      <c r="E165" s="102">
        <f>F155</f>
        <v>25</v>
      </c>
      <c r="F165" s="241" t="s">
        <v>144</v>
      </c>
      <c r="G165" s="241"/>
      <c r="H165" s="241" t="s">
        <v>130</v>
      </c>
      <c r="I165" s="208" t="s">
        <v>145</v>
      </c>
      <c r="J165" s="102">
        <f>F155</f>
        <v>25</v>
      </c>
      <c r="K165" s="241"/>
      <c r="L165" s="241"/>
      <c r="M165" s="241"/>
      <c r="N165"/>
      <c r="O165"/>
      <c r="P165"/>
      <c r="Q165"/>
      <c r="R165"/>
      <c r="S165" s="16"/>
      <c r="T165" s="16"/>
      <c r="U165" s="16"/>
      <c r="V165" s="15"/>
      <c r="W165"/>
      <c r="AB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2"/>
      <c r="AR165" s="11"/>
      <c r="AS165" s="11"/>
      <c r="AT165" s="11"/>
      <c r="AU165" s="11"/>
      <c r="AV165" s="13"/>
      <c r="AW165" s="13"/>
      <c r="AY165" s="14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CA165"/>
      <c r="CB165"/>
      <c r="CC165" s="15"/>
      <c r="CD165" s="15"/>
      <c r="CE165" s="15"/>
      <c r="CF165" s="16"/>
      <c r="CG165" s="15"/>
      <c r="CH165" s="15"/>
      <c r="CI165" s="15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</row>
    <row r="166" spans="1:97" x14ac:dyDescent="0.2">
      <c r="A166" s="241" t="s">
        <v>130</v>
      </c>
      <c r="B166" s="241"/>
      <c r="C166" s="241" t="s">
        <v>146</v>
      </c>
      <c r="D166" s="208" t="s">
        <v>145</v>
      </c>
      <c r="E166" s="102">
        <f>F22-(F155+F156)</f>
        <v>-40</v>
      </c>
      <c r="F166" s="241" t="s">
        <v>130</v>
      </c>
      <c r="G166" s="241"/>
      <c r="H166" s="241" t="s">
        <v>146</v>
      </c>
      <c r="I166" s="208" t="s">
        <v>145</v>
      </c>
      <c r="J166" s="102">
        <f>F22-(F155+F156)</f>
        <v>-40</v>
      </c>
      <c r="K166" s="241"/>
      <c r="L166" s="241"/>
      <c r="M166" s="241"/>
      <c r="N166"/>
      <c r="O166"/>
      <c r="P166"/>
      <c r="Q166"/>
      <c r="R166"/>
      <c r="S166" s="16"/>
      <c r="T166" s="16"/>
      <c r="U166" s="16"/>
      <c r="V166" s="15"/>
      <c r="W166"/>
      <c r="AB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2"/>
      <c r="AR166" s="11"/>
      <c r="AS166" s="11"/>
      <c r="AT166" s="11"/>
      <c r="AU166" s="11"/>
      <c r="AV166" s="13"/>
      <c r="AW166" s="13"/>
      <c r="AY166" s="14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CA166"/>
      <c r="CB166"/>
      <c r="CC166" s="15"/>
      <c r="CD166" s="15"/>
      <c r="CE166" s="15"/>
      <c r="CF166" s="16"/>
      <c r="CG166" s="15"/>
      <c r="CH166" s="15"/>
      <c r="CI166" s="15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</row>
    <row r="167" spans="1:97" x14ac:dyDescent="0.2">
      <c r="A167" s="241" t="s">
        <v>146</v>
      </c>
      <c r="B167" s="241"/>
      <c r="C167" s="241" t="s">
        <v>147</v>
      </c>
      <c r="D167" s="208" t="s">
        <v>145</v>
      </c>
      <c r="E167" s="102">
        <f>F156</f>
        <v>15</v>
      </c>
      <c r="F167" s="241" t="s">
        <v>146</v>
      </c>
      <c r="G167" s="241"/>
      <c r="H167" s="241" t="s">
        <v>147</v>
      </c>
      <c r="I167" s="208" t="s">
        <v>145</v>
      </c>
      <c r="J167" s="102">
        <f>F156</f>
        <v>15</v>
      </c>
      <c r="K167" s="241"/>
      <c r="L167" s="241"/>
      <c r="M167" s="241"/>
      <c r="N167"/>
      <c r="O167"/>
      <c r="P167"/>
      <c r="Q167"/>
      <c r="R167"/>
      <c r="S167" s="16"/>
      <c r="T167" s="16"/>
      <c r="U167" s="16"/>
      <c r="V167" s="15"/>
      <c r="W167"/>
      <c r="AB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2"/>
      <c r="AR167" s="11"/>
      <c r="AS167" s="11"/>
      <c r="AT167" s="11"/>
      <c r="AU167" s="11"/>
      <c r="AV167" s="13"/>
      <c r="AW167" s="13"/>
      <c r="AY167" s="14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CA167"/>
      <c r="CB167"/>
      <c r="CC167" s="15"/>
      <c r="CD167" s="15"/>
      <c r="CE167" s="15"/>
      <c r="CF167" s="16"/>
      <c r="CG167" s="15"/>
      <c r="CH167" s="15"/>
      <c r="CI167" s="15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</row>
    <row r="168" spans="1:97" x14ac:dyDescent="0.2">
      <c r="A168" s="241" t="s">
        <v>144</v>
      </c>
      <c r="B168" s="241"/>
      <c r="C168" s="241" t="s">
        <v>130</v>
      </c>
      <c r="D168" s="208" t="s">
        <v>148</v>
      </c>
      <c r="E168" s="102">
        <f>F155</f>
        <v>25</v>
      </c>
      <c r="F168" s="241" t="s">
        <v>144</v>
      </c>
      <c r="G168" s="241"/>
      <c r="H168" s="241" t="s">
        <v>130</v>
      </c>
      <c r="I168" s="208" t="s">
        <v>148</v>
      </c>
      <c r="J168" s="102">
        <f>F155</f>
        <v>25</v>
      </c>
      <c r="K168" s="241"/>
      <c r="L168" s="241"/>
      <c r="M168" s="241"/>
      <c r="N168"/>
      <c r="O168"/>
      <c r="P168"/>
      <c r="Q168"/>
      <c r="R168"/>
      <c r="S168" s="16"/>
      <c r="T168" s="16"/>
      <c r="U168" s="16"/>
      <c r="V168" s="15"/>
      <c r="W168"/>
      <c r="AB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2"/>
      <c r="AR168" s="11"/>
      <c r="AS168" s="11"/>
      <c r="AT168" s="11"/>
      <c r="AU168" s="11"/>
      <c r="AV168" s="13"/>
      <c r="AW168" s="13"/>
      <c r="AY168" s="14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CA168"/>
      <c r="CB168"/>
      <c r="CC168" s="15"/>
      <c r="CD168" s="15"/>
      <c r="CE168" s="15"/>
      <c r="CF168" s="16"/>
      <c r="CG168" s="15"/>
      <c r="CH168" s="15"/>
      <c r="CI168" s="15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</row>
    <row r="169" spans="1:97" x14ac:dyDescent="0.2">
      <c r="A169" s="241" t="s">
        <v>130</v>
      </c>
      <c r="B169" s="241"/>
      <c r="C169" s="241" t="s">
        <v>146</v>
      </c>
      <c r="D169" s="208" t="s">
        <v>148</v>
      </c>
      <c r="E169" s="102">
        <f>F22-F155-F156</f>
        <v>-40</v>
      </c>
      <c r="F169" s="241" t="s">
        <v>130</v>
      </c>
      <c r="G169" s="241"/>
      <c r="H169" s="241" t="s">
        <v>146</v>
      </c>
      <c r="I169" s="208" t="s">
        <v>148</v>
      </c>
      <c r="J169" s="102">
        <f>J166</f>
        <v>-40</v>
      </c>
      <c r="K169" s="241"/>
      <c r="L169" s="241"/>
      <c r="M169" s="241"/>
      <c r="N169"/>
      <c r="O169"/>
      <c r="P169"/>
      <c r="Q169"/>
      <c r="R169"/>
      <c r="S169" s="16"/>
      <c r="T169" s="16"/>
      <c r="U169" s="16"/>
      <c r="V169" s="15"/>
      <c r="W169"/>
      <c r="AB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2"/>
      <c r="AR169" s="11"/>
      <c r="AS169" s="11"/>
      <c r="AT169" s="11"/>
      <c r="AU169" s="11"/>
      <c r="AV169" s="13"/>
      <c r="AW169" s="13"/>
      <c r="AY169" s="14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CA169"/>
      <c r="CB169"/>
      <c r="CC169" s="15"/>
      <c r="CD169" s="15"/>
      <c r="CE169" s="15"/>
      <c r="CF169" s="16"/>
      <c r="CG169" s="15"/>
      <c r="CH169" s="15"/>
      <c r="CI169" s="15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</row>
    <row r="170" spans="1:97" x14ac:dyDescent="0.2">
      <c r="A170" s="241" t="s">
        <v>130</v>
      </c>
      <c r="B170" s="241"/>
      <c r="C170" s="241" t="s">
        <v>147</v>
      </c>
      <c r="D170" s="208" t="s">
        <v>148</v>
      </c>
      <c r="E170" s="102">
        <f>F22-F155</f>
        <v>-25</v>
      </c>
      <c r="H170"/>
      <c r="J170"/>
      <c r="K170"/>
      <c r="L170"/>
      <c r="M170"/>
      <c r="N170"/>
      <c r="O170"/>
      <c r="P170"/>
      <c r="Q170"/>
      <c r="R170"/>
      <c r="S170"/>
      <c r="AB170" s="11"/>
      <c r="AG170" s="11"/>
      <c r="AH170" s="11"/>
      <c r="AI170" s="11"/>
      <c r="AJ170" s="11"/>
      <c r="AK170" s="11"/>
      <c r="AL170" s="12"/>
      <c r="AM170" s="11"/>
      <c r="AN170" s="11"/>
      <c r="AO170" s="11"/>
      <c r="AP170" s="11"/>
      <c r="AQ170" s="11"/>
      <c r="AR170" s="13"/>
      <c r="AS170" s="13"/>
      <c r="AU170" s="14"/>
      <c r="BM170"/>
      <c r="BN170"/>
      <c r="BO170"/>
      <c r="BP170"/>
      <c r="BQ170"/>
      <c r="BR170"/>
      <c r="BS170"/>
      <c r="BT170"/>
      <c r="BU170"/>
      <c r="BV170"/>
      <c r="BW170"/>
      <c r="BX170"/>
      <c r="BY170" s="15"/>
      <c r="CA170" s="15"/>
      <c r="CC170" s="15"/>
      <c r="CD170" s="15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</row>
    <row r="171" spans="1:97" x14ac:dyDescent="0.2">
      <c r="B171" s="16"/>
      <c r="E171"/>
      <c r="H171"/>
      <c r="J171"/>
      <c r="K171"/>
      <c r="L171"/>
      <c r="M171"/>
      <c r="N171"/>
      <c r="O171"/>
      <c r="P171"/>
      <c r="Q171"/>
      <c r="R171"/>
      <c r="S171"/>
      <c r="AB171" s="11"/>
      <c r="AG171" s="11"/>
      <c r="AH171" s="11"/>
      <c r="AI171" s="11"/>
      <c r="AJ171" s="11"/>
      <c r="AK171" s="11"/>
      <c r="AL171" s="12"/>
      <c r="AM171" s="11"/>
      <c r="AN171" s="11"/>
      <c r="AO171" s="11"/>
      <c r="AP171" s="11"/>
      <c r="AQ171" s="11"/>
      <c r="AR171" s="13"/>
      <c r="AS171" s="13"/>
      <c r="AU171" s="14"/>
      <c r="BM171"/>
      <c r="BN171"/>
      <c r="BO171"/>
      <c r="BP171"/>
      <c r="BQ171"/>
      <c r="BR171"/>
      <c r="BS171"/>
      <c r="BT171"/>
      <c r="BU171"/>
      <c r="BV171"/>
      <c r="BW171"/>
      <c r="BX171"/>
      <c r="BY171" s="15"/>
      <c r="CA171" s="15"/>
      <c r="CC171" s="15"/>
      <c r="CD171" s="15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</row>
    <row r="172" spans="1:97" x14ac:dyDescent="0.2">
      <c r="B172" s="16"/>
      <c r="E172"/>
      <c r="H172"/>
      <c r="J172"/>
      <c r="K172"/>
      <c r="L172"/>
      <c r="M172"/>
      <c r="N172"/>
      <c r="O172"/>
      <c r="P172"/>
      <c r="Q172"/>
      <c r="R172"/>
      <c r="S172"/>
      <c r="AB172" s="11"/>
      <c r="AG172" s="11"/>
      <c r="AH172" s="11"/>
      <c r="AI172" s="11"/>
      <c r="AJ172" s="11"/>
      <c r="AK172" s="11"/>
      <c r="AL172" s="12"/>
      <c r="AM172" s="11"/>
      <c r="AN172" s="11"/>
      <c r="AO172" s="11"/>
      <c r="AP172" s="11"/>
      <c r="AQ172" s="11"/>
      <c r="AR172" s="13"/>
      <c r="AS172" s="13"/>
      <c r="AU172" s="14"/>
      <c r="BM172"/>
      <c r="BN172"/>
      <c r="BO172"/>
      <c r="BP172"/>
      <c r="BQ172"/>
      <c r="BR172"/>
      <c r="BS172"/>
      <c r="BT172"/>
      <c r="BU172"/>
      <c r="BV172"/>
      <c r="BW172"/>
      <c r="BX172"/>
      <c r="BY172" s="15"/>
      <c r="CA172" s="15"/>
      <c r="CC172" s="15"/>
      <c r="CD172" s="15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</row>
    <row r="173" spans="1:97" x14ac:dyDescent="0.2">
      <c r="B173" s="16"/>
      <c r="E173"/>
      <c r="H173"/>
      <c r="J173"/>
      <c r="K173"/>
      <c r="L173"/>
      <c r="M173"/>
      <c r="N173"/>
      <c r="O173"/>
      <c r="P173"/>
      <c r="Q173"/>
      <c r="R173"/>
      <c r="S173"/>
      <c r="AB173" s="11"/>
      <c r="AG173" s="11"/>
      <c r="AH173" s="11"/>
      <c r="AI173" s="11"/>
      <c r="AJ173" s="11"/>
      <c r="AK173" s="11"/>
      <c r="AL173" s="12"/>
      <c r="AM173" s="11"/>
      <c r="AN173" s="11"/>
      <c r="AO173" s="11"/>
      <c r="AP173" s="11"/>
      <c r="AQ173" s="11"/>
      <c r="AR173" s="13"/>
      <c r="AS173" s="13"/>
      <c r="AU173" s="14"/>
      <c r="BM173"/>
      <c r="BN173"/>
      <c r="BO173"/>
      <c r="BP173"/>
      <c r="BQ173"/>
      <c r="BR173"/>
      <c r="BS173"/>
      <c r="BT173"/>
      <c r="BU173"/>
      <c r="BV173"/>
      <c r="BW173"/>
      <c r="BX173"/>
      <c r="BY173" s="15"/>
      <c r="CA173" s="15"/>
      <c r="CC173" s="15"/>
      <c r="CD173" s="15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</row>
    <row r="174" spans="1:97" x14ac:dyDescent="0.2">
      <c r="A174" s="245" t="s">
        <v>149</v>
      </c>
      <c r="B174" s="245"/>
      <c r="C174" s="245"/>
      <c r="D174" s="245" t="s">
        <v>150</v>
      </c>
      <c r="E174" s="245" t="s">
        <v>151</v>
      </c>
      <c r="F174" s="245" t="s">
        <v>149</v>
      </c>
      <c r="G174" s="245"/>
      <c r="H174" s="245"/>
      <c r="I174" s="245" t="s">
        <v>150</v>
      </c>
      <c r="J174" s="245" t="s">
        <v>151</v>
      </c>
      <c r="K174" s="245"/>
      <c r="L174" s="245"/>
      <c r="M174" s="245"/>
      <c r="N174"/>
      <c r="O174"/>
      <c r="P174"/>
      <c r="Q174"/>
      <c r="R174"/>
      <c r="S174"/>
      <c r="AB174" s="11"/>
      <c r="AG174" s="11"/>
      <c r="AH174" s="11"/>
      <c r="AI174" s="11"/>
      <c r="AJ174" s="11"/>
      <c r="AK174" s="11"/>
      <c r="AL174" s="12"/>
      <c r="AM174" s="11"/>
      <c r="AN174" s="11"/>
      <c r="AO174" s="11"/>
      <c r="AP174" s="11"/>
      <c r="AQ174" s="11"/>
      <c r="AR174" s="13"/>
      <c r="AS174" s="13"/>
      <c r="AU174" s="14"/>
      <c r="BM174"/>
      <c r="BN174"/>
      <c r="BO174"/>
      <c r="BP174"/>
      <c r="BQ174"/>
      <c r="BR174"/>
      <c r="BS174"/>
      <c r="BT174"/>
      <c r="BU174"/>
      <c r="BV174"/>
      <c r="BW174"/>
      <c r="BX174"/>
      <c r="BY174" s="15"/>
      <c r="CA174" s="15"/>
      <c r="CC174" s="15"/>
      <c r="CD174" s="15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</row>
    <row r="175" spans="1:97" x14ac:dyDescent="0.2">
      <c r="A175" s="245" t="s">
        <v>143</v>
      </c>
      <c r="B175" s="245"/>
      <c r="C175" s="245" t="s">
        <v>64</v>
      </c>
      <c r="D175" s="245"/>
      <c r="E175" s="241"/>
      <c r="F175" s="245" t="s">
        <v>143</v>
      </c>
      <c r="G175" s="245"/>
      <c r="H175" s="245" t="s">
        <v>64</v>
      </c>
      <c r="I175" s="245"/>
      <c r="J175" s="241"/>
      <c r="K175" s="241"/>
      <c r="L175" s="241"/>
      <c r="M175" s="241"/>
      <c r="N175"/>
      <c r="O175"/>
      <c r="P175"/>
      <c r="Q175"/>
      <c r="R175"/>
      <c r="S175"/>
      <c r="AB175" s="11"/>
      <c r="AG175" s="11"/>
      <c r="AH175" s="11"/>
      <c r="AI175" s="11"/>
      <c r="AJ175" s="11"/>
      <c r="AK175" s="11"/>
      <c r="AL175" s="12"/>
      <c r="AM175" s="11"/>
      <c r="AN175" s="11"/>
      <c r="AO175" s="11"/>
      <c r="AP175" s="11"/>
      <c r="AQ175" s="11"/>
      <c r="AR175" s="13"/>
      <c r="AS175" s="13"/>
      <c r="AU175" s="14"/>
      <c r="BM175"/>
      <c r="BN175"/>
      <c r="BO175"/>
      <c r="BP175"/>
      <c r="BQ175"/>
      <c r="BR175"/>
      <c r="BS175"/>
      <c r="BT175"/>
      <c r="BU175"/>
      <c r="BV175"/>
      <c r="BW175"/>
      <c r="BX175"/>
      <c r="BY175" s="15"/>
      <c r="CA175" s="15"/>
      <c r="CC175" s="15"/>
      <c r="CD175" s="15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</row>
    <row r="176" spans="1:97" x14ac:dyDescent="0.2">
      <c r="A176" s="241" t="s">
        <v>144</v>
      </c>
      <c r="B176" s="241"/>
      <c r="C176" s="241" t="s">
        <v>146</v>
      </c>
      <c r="D176" s="102" t="s">
        <v>152</v>
      </c>
      <c r="E176" s="102">
        <f>F22-F156</f>
        <v>-15</v>
      </c>
      <c r="F176" s="241" t="s">
        <v>144</v>
      </c>
      <c r="G176" s="241"/>
      <c r="H176" s="241" t="s">
        <v>146</v>
      </c>
      <c r="I176" s="102" t="s">
        <v>152</v>
      </c>
      <c r="J176" s="102">
        <f>$F$22-$F$156</f>
        <v>-15</v>
      </c>
      <c r="K176" s="241"/>
      <c r="L176" s="241"/>
      <c r="M176" s="241"/>
      <c r="N176"/>
      <c r="O176"/>
      <c r="P176"/>
      <c r="Q176"/>
      <c r="R176"/>
      <c r="S176"/>
      <c r="AB176" s="11"/>
      <c r="AG176" s="11"/>
      <c r="AH176" s="11"/>
      <c r="AI176" s="11"/>
      <c r="AJ176" s="11"/>
      <c r="AK176" s="11"/>
      <c r="AL176" s="12"/>
      <c r="AM176" s="11"/>
      <c r="AN176" s="11"/>
      <c r="AO176" s="11"/>
      <c r="AP176" s="11"/>
      <c r="AQ176" s="11"/>
      <c r="AR176" s="13"/>
      <c r="AS176" s="13"/>
      <c r="AU176" s="14"/>
      <c r="BM176"/>
      <c r="BN176"/>
      <c r="BO176"/>
      <c r="BP176"/>
      <c r="BQ176"/>
      <c r="BR176"/>
      <c r="BS176"/>
      <c r="BT176"/>
      <c r="BU176"/>
      <c r="BV176"/>
      <c r="BW176"/>
      <c r="BX176"/>
      <c r="BY176" s="15"/>
      <c r="CA176" s="15"/>
      <c r="CC176" s="15"/>
      <c r="CD176" s="15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</row>
    <row r="177" spans="1:93" x14ac:dyDescent="0.2">
      <c r="A177" s="241"/>
      <c r="B177" s="241"/>
      <c r="C177" s="241" t="s">
        <v>147</v>
      </c>
      <c r="D177" s="102" t="s">
        <v>152</v>
      </c>
      <c r="E177" s="102">
        <f>F156</f>
        <v>15</v>
      </c>
      <c r="F177" s="241" t="s">
        <v>146</v>
      </c>
      <c r="G177" s="241"/>
      <c r="H177" s="241" t="s">
        <v>147</v>
      </c>
      <c r="I177" s="102" t="s">
        <v>152</v>
      </c>
      <c r="J177" s="102">
        <f>F156</f>
        <v>15</v>
      </c>
      <c r="K177" s="241"/>
      <c r="L177" s="241"/>
      <c r="M177" s="241"/>
      <c r="N177"/>
      <c r="O177"/>
      <c r="P177"/>
      <c r="Q177"/>
      <c r="R177"/>
      <c r="S177"/>
      <c r="AB177" s="11"/>
      <c r="AG177" s="11"/>
      <c r="AH177" s="11"/>
      <c r="AI177" s="11"/>
      <c r="AJ177" s="11"/>
      <c r="AK177" s="11"/>
      <c r="AL177" s="12"/>
      <c r="AM177" s="11"/>
      <c r="AN177" s="11"/>
      <c r="AO177" s="11"/>
      <c r="AP177" s="11"/>
      <c r="AQ177" s="11"/>
      <c r="AR177" s="13"/>
      <c r="AS177" s="13"/>
      <c r="AU177" s="14"/>
      <c r="BM177"/>
      <c r="BN177"/>
      <c r="BO177"/>
      <c r="BP177"/>
      <c r="BQ177"/>
      <c r="BR177"/>
      <c r="BS177"/>
      <c r="BT177"/>
      <c r="BU177"/>
      <c r="BV177"/>
      <c r="BW177"/>
      <c r="BX177"/>
      <c r="BY177" s="15"/>
      <c r="CA177" s="15"/>
      <c r="CC177" s="15"/>
      <c r="CD177" s="15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</row>
    <row r="178" spans="1:93" x14ac:dyDescent="0.2">
      <c r="A178" s="241"/>
      <c r="B178" s="241"/>
      <c r="C178" s="241" t="s">
        <v>147</v>
      </c>
      <c r="D178" s="102" t="s">
        <v>148</v>
      </c>
      <c r="E178" s="102">
        <f>F22</f>
        <v>0</v>
      </c>
      <c r="F178" s="241" t="s">
        <v>144</v>
      </c>
      <c r="G178" s="241"/>
      <c r="H178" s="241" t="s">
        <v>146</v>
      </c>
      <c r="I178" s="102" t="s">
        <v>148</v>
      </c>
      <c r="J178" s="102">
        <f>J176</f>
        <v>-15</v>
      </c>
      <c r="K178" s="241"/>
      <c r="L178" s="241"/>
      <c r="M178" s="241"/>
      <c r="N178"/>
      <c r="O178"/>
      <c r="P178"/>
      <c r="Q178"/>
      <c r="R178"/>
      <c r="S178"/>
      <c r="AB178" s="11"/>
      <c r="AG178" s="11"/>
      <c r="AH178" s="11"/>
      <c r="AI178" s="11"/>
      <c r="AJ178" s="11"/>
      <c r="AK178" s="11"/>
      <c r="AL178" s="12"/>
      <c r="AM178" s="11"/>
      <c r="AN178" s="11"/>
      <c r="AO178" s="11"/>
      <c r="AP178" s="11"/>
      <c r="AQ178" s="11"/>
      <c r="AR178" s="13"/>
      <c r="AS178" s="13"/>
      <c r="AU178" s="14"/>
      <c r="BM178"/>
      <c r="BN178"/>
      <c r="BO178"/>
      <c r="BP178"/>
      <c r="BQ178"/>
      <c r="BR178"/>
      <c r="BS178"/>
      <c r="BT178"/>
      <c r="BU178"/>
      <c r="BV178"/>
      <c r="BW178"/>
      <c r="BX178"/>
      <c r="BY178" s="15"/>
      <c r="CA178" s="15"/>
      <c r="CC178" s="15"/>
      <c r="CD178" s="15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</row>
    <row r="179" spans="1:93" x14ac:dyDescent="0.2">
      <c r="A179" s="241"/>
      <c r="B179" s="241"/>
      <c r="C179" s="241" t="s">
        <v>146</v>
      </c>
      <c r="D179" s="102" t="s">
        <v>148</v>
      </c>
      <c r="E179" s="102">
        <f>E176</f>
        <v>-15</v>
      </c>
      <c r="F179" s="241"/>
      <c r="G179" s="241"/>
      <c r="H179" s="241"/>
      <c r="I179" s="241"/>
      <c r="J179" s="102"/>
      <c r="K179" s="241"/>
      <c r="L179" s="241"/>
      <c r="M179" s="241"/>
      <c r="N179"/>
      <c r="O179"/>
      <c r="P179"/>
      <c r="Q179"/>
      <c r="R179"/>
      <c r="S179"/>
      <c r="AB179" s="11"/>
      <c r="AG179" s="11"/>
      <c r="AH179" s="11"/>
      <c r="AI179" s="11"/>
      <c r="AJ179" s="11"/>
      <c r="AK179" s="11"/>
      <c r="AL179" s="12"/>
      <c r="AM179" s="11"/>
      <c r="AN179" s="11"/>
      <c r="AO179" s="11"/>
      <c r="AP179" s="11"/>
      <c r="AQ179" s="11"/>
      <c r="AR179" s="13"/>
      <c r="AS179" s="13"/>
      <c r="AU179" s="14"/>
      <c r="BM179"/>
      <c r="BN179"/>
      <c r="BO179"/>
      <c r="BP179"/>
      <c r="BQ179"/>
      <c r="BR179"/>
      <c r="BS179"/>
      <c r="BT179"/>
      <c r="BU179"/>
      <c r="BV179"/>
      <c r="BW179"/>
      <c r="BX179"/>
      <c r="BY179" s="15"/>
      <c r="CA179" s="15"/>
      <c r="CC179" s="15"/>
      <c r="CD179" s="15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</row>
    <row r="180" spans="1:93" x14ac:dyDescent="0.2">
      <c r="B180" s="16"/>
      <c r="E180"/>
      <c r="F180"/>
      <c r="G180"/>
      <c r="H180"/>
      <c r="J180" s="16"/>
      <c r="K180"/>
      <c r="L180"/>
      <c r="M180"/>
      <c r="N180"/>
      <c r="O180"/>
      <c r="AB180" s="11"/>
      <c r="AG180" s="11"/>
      <c r="AH180" s="12"/>
      <c r="AI180" s="11"/>
      <c r="AJ180" s="11"/>
      <c r="AK180" s="11"/>
      <c r="AL180" s="11"/>
      <c r="AM180" s="13"/>
      <c r="AN180" s="13"/>
      <c r="AO180" s="13"/>
      <c r="AQ180" s="14"/>
      <c r="BM180"/>
      <c r="BN180"/>
      <c r="BO180"/>
      <c r="BP180"/>
      <c r="BQ180"/>
      <c r="BR180"/>
      <c r="BU180" s="15"/>
      <c r="BV180" s="15"/>
      <c r="BW180" s="15"/>
      <c r="BY180" s="15"/>
      <c r="CF180" s="16"/>
      <c r="CG180" s="16"/>
      <c r="CH180" s="16"/>
      <c r="CI180" s="16"/>
      <c r="CJ180" s="16"/>
      <c r="CK180" s="16"/>
    </row>
    <row r="181" spans="1:93" x14ac:dyDescent="0.2">
      <c r="A181" s="245"/>
      <c r="B181" s="245"/>
      <c r="C181" s="245"/>
      <c r="D181" s="245" t="s">
        <v>153</v>
      </c>
      <c r="E181" s="245" t="s">
        <v>151</v>
      </c>
      <c r="F181" s="245" t="s">
        <v>154</v>
      </c>
      <c r="G181" s="245"/>
      <c r="H181" s="245"/>
      <c r="I181" s="245" t="s">
        <v>153</v>
      </c>
      <c r="J181" s="245" t="s">
        <v>151</v>
      </c>
      <c r="K181" s="245"/>
      <c r="L181" s="245"/>
      <c r="M181" s="245"/>
      <c r="N181"/>
      <c r="O181"/>
      <c r="P181"/>
      <c r="Q181"/>
      <c r="R181"/>
      <c r="S181"/>
      <c r="AB181" s="11"/>
      <c r="AG181" s="11"/>
      <c r="AH181" s="11"/>
      <c r="AI181" s="11"/>
      <c r="AJ181" s="11"/>
      <c r="AK181" s="11"/>
      <c r="AL181" s="12"/>
      <c r="AM181" s="11"/>
      <c r="AN181" s="11"/>
      <c r="AO181" s="11"/>
      <c r="AP181" s="11"/>
      <c r="AQ181" s="11"/>
      <c r="AR181" s="13"/>
      <c r="AS181" s="13"/>
      <c r="AU181" s="14"/>
      <c r="BM181"/>
      <c r="BN181"/>
      <c r="BO181"/>
      <c r="BP181"/>
      <c r="BQ181"/>
      <c r="BR181"/>
      <c r="BS181"/>
      <c r="BT181"/>
      <c r="BU181"/>
      <c r="BV181"/>
      <c r="BW181"/>
      <c r="BX181"/>
      <c r="BY181" s="15"/>
      <c r="CA181" s="15"/>
      <c r="CC181" s="15"/>
      <c r="CD181" s="15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</row>
    <row r="182" spans="1:93" x14ac:dyDescent="0.2">
      <c r="A182" s="245" t="s">
        <v>143</v>
      </c>
      <c r="B182" s="245"/>
      <c r="C182" s="245" t="s">
        <v>64</v>
      </c>
      <c r="D182" s="245"/>
      <c r="E182" s="241"/>
      <c r="F182" s="245" t="s">
        <v>143</v>
      </c>
      <c r="G182" s="245"/>
      <c r="H182" s="245" t="s">
        <v>64</v>
      </c>
      <c r="I182" s="245"/>
      <c r="J182" s="241"/>
      <c r="K182" s="241"/>
      <c r="L182" s="241"/>
      <c r="M182" s="241"/>
      <c r="N182"/>
      <c r="O182"/>
      <c r="P182"/>
      <c r="Q182"/>
      <c r="R182"/>
      <c r="S182"/>
      <c r="AB182" s="11"/>
      <c r="AG182" s="11"/>
      <c r="AH182" s="11"/>
      <c r="AI182" s="11"/>
      <c r="AJ182" s="11"/>
      <c r="AK182" s="11"/>
      <c r="AL182" s="12"/>
      <c r="AM182" s="11"/>
      <c r="AN182" s="11"/>
      <c r="AO182" s="11"/>
      <c r="AP182" s="11"/>
      <c r="AQ182" s="11"/>
      <c r="AR182" s="13"/>
      <c r="AS182" s="13"/>
      <c r="AU182" s="14"/>
      <c r="BM182"/>
      <c r="BN182"/>
      <c r="BO182"/>
      <c r="BP182"/>
      <c r="BQ182"/>
      <c r="BR182"/>
      <c r="BS182"/>
      <c r="BT182"/>
      <c r="BU182"/>
      <c r="BV182"/>
      <c r="BW182"/>
      <c r="BX182"/>
      <c r="BY182" s="15"/>
      <c r="CA182" s="15"/>
      <c r="CC182" s="15"/>
      <c r="CD182" s="15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</row>
    <row r="183" spans="1:93" x14ac:dyDescent="0.2">
      <c r="A183" s="241" t="s">
        <v>144</v>
      </c>
      <c r="B183" s="241"/>
      <c r="C183" s="241" t="s">
        <v>146</v>
      </c>
      <c r="D183" s="102" t="s">
        <v>155</v>
      </c>
      <c r="E183" s="102">
        <f>F22-F156</f>
        <v>-15</v>
      </c>
      <c r="F183" s="241" t="s">
        <v>144</v>
      </c>
      <c r="G183" s="241"/>
      <c r="H183" s="241" t="s">
        <v>146</v>
      </c>
      <c r="I183" s="102" t="s">
        <v>155</v>
      </c>
      <c r="J183" s="102">
        <f>$F$22-$F$156</f>
        <v>-15</v>
      </c>
      <c r="K183" s="241"/>
      <c r="L183" s="241"/>
      <c r="M183" s="241"/>
      <c r="N183"/>
      <c r="O183"/>
      <c r="P183"/>
      <c r="Q183"/>
      <c r="R183"/>
      <c r="S183"/>
      <c r="AB183" s="11"/>
      <c r="AG183" s="11"/>
      <c r="AH183" s="11"/>
      <c r="AI183" s="11"/>
      <c r="AJ183" s="11"/>
      <c r="AK183" s="11"/>
      <c r="AL183" s="12"/>
      <c r="AM183" s="11"/>
      <c r="AN183" s="11"/>
      <c r="AO183" s="11"/>
      <c r="AP183" s="11"/>
      <c r="AQ183" s="11"/>
      <c r="AR183" s="13"/>
      <c r="AS183" s="13"/>
      <c r="AU183" s="14"/>
      <c r="BM183"/>
      <c r="BN183"/>
      <c r="BO183"/>
      <c r="BP183"/>
      <c r="BQ183"/>
      <c r="BR183"/>
      <c r="BS183"/>
      <c r="BT183"/>
      <c r="BU183"/>
      <c r="BV183"/>
      <c r="BW183"/>
      <c r="BX183"/>
      <c r="BY183" s="15"/>
      <c r="CA183" s="15"/>
      <c r="CC183" s="15"/>
      <c r="CD183" s="15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</row>
    <row r="184" spans="1:93" x14ac:dyDescent="0.2">
      <c r="A184" s="241" t="s">
        <v>146</v>
      </c>
      <c r="B184" s="241"/>
      <c r="C184" s="241" t="s">
        <v>147</v>
      </c>
      <c r="D184" s="102" t="s">
        <v>155</v>
      </c>
      <c r="E184" s="102">
        <f>F156</f>
        <v>15</v>
      </c>
      <c r="F184" s="241" t="s">
        <v>146</v>
      </c>
      <c r="G184" s="241"/>
      <c r="H184" s="241" t="s">
        <v>147</v>
      </c>
      <c r="I184" s="102" t="s">
        <v>155</v>
      </c>
      <c r="J184" s="102">
        <f>$F$156</f>
        <v>15</v>
      </c>
      <c r="K184" s="241"/>
      <c r="L184" s="241"/>
      <c r="M184" s="241"/>
      <c r="N184"/>
      <c r="O184"/>
      <c r="P184"/>
      <c r="Q184"/>
      <c r="R184"/>
      <c r="S184"/>
      <c r="AB184" s="11"/>
      <c r="AG184" s="11"/>
      <c r="AH184" s="11"/>
      <c r="AI184" s="11"/>
      <c r="AJ184" s="11"/>
      <c r="AK184" s="11"/>
      <c r="AL184" s="12"/>
      <c r="AM184" s="11"/>
      <c r="AN184" s="11"/>
      <c r="AO184" s="11"/>
      <c r="AP184" s="11"/>
      <c r="AQ184" s="11"/>
      <c r="AR184" s="13"/>
      <c r="AS184" s="13"/>
      <c r="AU184" s="14"/>
      <c r="BM184"/>
      <c r="BN184"/>
      <c r="BO184"/>
      <c r="BP184"/>
      <c r="BQ184"/>
      <c r="BR184"/>
      <c r="BS184"/>
      <c r="BT184"/>
      <c r="BU184"/>
      <c r="BV184"/>
      <c r="BW184"/>
      <c r="BX184"/>
      <c r="BY184" s="15"/>
      <c r="CA184" s="15"/>
      <c r="CC184" s="15"/>
      <c r="CD184" s="15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</row>
    <row r="185" spans="1:93" x14ac:dyDescent="0.2">
      <c r="A185" s="241" t="s">
        <v>144</v>
      </c>
      <c r="B185" s="241"/>
      <c r="C185" s="241" t="s">
        <v>147</v>
      </c>
      <c r="D185" s="102" t="s">
        <v>148</v>
      </c>
      <c r="E185" s="102">
        <f>F22</f>
        <v>0</v>
      </c>
      <c r="F185" s="241" t="s">
        <v>144</v>
      </c>
      <c r="G185" s="241"/>
      <c r="H185" s="241" t="s">
        <v>146</v>
      </c>
      <c r="I185" s="102" t="s">
        <v>148</v>
      </c>
      <c r="J185" s="102">
        <f>J183</f>
        <v>-15</v>
      </c>
      <c r="K185" s="241"/>
      <c r="L185" s="241"/>
      <c r="M185" s="241"/>
      <c r="N185"/>
      <c r="O185"/>
      <c r="P185"/>
      <c r="Q185"/>
      <c r="R185"/>
      <c r="S185"/>
      <c r="AB185" s="11"/>
      <c r="AG185" s="11"/>
      <c r="AH185" s="11"/>
      <c r="AI185" s="11"/>
      <c r="AJ185" s="11"/>
      <c r="AK185" s="11"/>
      <c r="AL185" s="12"/>
      <c r="AM185" s="11"/>
      <c r="AN185" s="11"/>
      <c r="AO185" s="11"/>
      <c r="AP185" s="11"/>
      <c r="AQ185" s="11"/>
      <c r="AR185" s="13"/>
      <c r="AS185" s="13"/>
      <c r="AU185" s="14"/>
      <c r="BM185"/>
      <c r="BN185"/>
      <c r="BO185"/>
      <c r="BP185"/>
      <c r="BQ185"/>
      <c r="BR185"/>
      <c r="BS185"/>
      <c r="BT185"/>
      <c r="BU185"/>
      <c r="BV185"/>
      <c r="BW185"/>
      <c r="BX185"/>
      <c r="BY185" s="15"/>
      <c r="CA185" s="15"/>
      <c r="CC185" s="15"/>
      <c r="CD185" s="15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</row>
    <row r="186" spans="1:93" x14ac:dyDescent="0.2">
      <c r="A186" s="241" t="s">
        <v>144</v>
      </c>
      <c r="B186" s="241"/>
      <c r="C186" s="241" t="s">
        <v>146</v>
      </c>
      <c r="D186" s="102" t="s">
        <v>148</v>
      </c>
      <c r="E186" s="102">
        <f>E176</f>
        <v>-15</v>
      </c>
      <c r="F186" s="241"/>
      <c r="G186" s="241"/>
      <c r="H186" s="241"/>
      <c r="I186" s="241"/>
      <c r="J186" s="102"/>
      <c r="K186" s="241"/>
      <c r="L186" s="241"/>
      <c r="M186" s="241"/>
      <c r="N186"/>
      <c r="O186"/>
      <c r="P186"/>
      <c r="Q186"/>
      <c r="R186"/>
      <c r="S186"/>
      <c r="AB186" s="11"/>
      <c r="AG186" s="11"/>
      <c r="AH186" s="11"/>
      <c r="AI186" s="11"/>
      <c r="AJ186" s="11"/>
      <c r="AK186" s="11"/>
      <c r="AL186" s="12"/>
      <c r="AM186" s="11"/>
      <c r="AN186" s="11"/>
      <c r="AO186" s="11"/>
      <c r="AP186" s="11"/>
      <c r="AQ186" s="11"/>
      <c r="AR186" s="13"/>
      <c r="AS186" s="13"/>
      <c r="AU186" s="14"/>
      <c r="BM186"/>
      <c r="BN186"/>
      <c r="BO186"/>
      <c r="BP186"/>
      <c r="BQ186"/>
      <c r="BR186"/>
      <c r="BS186"/>
      <c r="BT186"/>
      <c r="BU186"/>
      <c r="BV186"/>
      <c r="BW186"/>
      <c r="BX186"/>
      <c r="BY186" s="15"/>
      <c r="CA186" s="15"/>
      <c r="CC186" s="15"/>
      <c r="CD186" s="15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</row>
    <row r="187" spans="1:93" x14ac:dyDescent="0.2">
      <c r="B187" s="16"/>
      <c r="E187"/>
      <c r="F187"/>
      <c r="G187"/>
      <c r="H187"/>
      <c r="J187" s="16"/>
      <c r="K187"/>
      <c r="L187"/>
      <c r="M187"/>
      <c r="N187"/>
      <c r="O187"/>
      <c r="AB187" s="11"/>
      <c r="AG187" s="11"/>
      <c r="AH187" s="12"/>
      <c r="AI187" s="11"/>
      <c r="AJ187" s="11"/>
      <c r="AK187" s="11"/>
      <c r="AL187" s="11"/>
      <c r="AM187" s="13"/>
      <c r="AN187" s="13"/>
      <c r="AO187" s="13"/>
      <c r="AQ187" s="14"/>
      <c r="BM187"/>
      <c r="BN187"/>
      <c r="BO187"/>
      <c r="BP187"/>
      <c r="BQ187"/>
      <c r="BR187"/>
      <c r="BU187" s="15"/>
      <c r="BV187" s="15"/>
      <c r="BW187" s="15"/>
      <c r="BY187" s="15"/>
      <c r="CF187" s="16"/>
      <c r="CG187" s="16"/>
      <c r="CH187" s="16"/>
      <c r="CI187" s="16"/>
      <c r="CJ187" s="16"/>
      <c r="CK187" s="16"/>
    </row>
    <row r="188" spans="1:93" x14ac:dyDescent="0.2">
      <c r="B188" s="16"/>
      <c r="E188"/>
      <c r="F188"/>
      <c r="G188"/>
      <c r="H188"/>
      <c r="J188" s="16"/>
      <c r="K188"/>
      <c r="L188"/>
      <c r="M188"/>
      <c r="N188"/>
      <c r="O188"/>
      <c r="AB188" s="11"/>
      <c r="AG188" s="11"/>
      <c r="AH188" s="12"/>
      <c r="AI188" s="11"/>
      <c r="AJ188" s="11"/>
      <c r="AK188" s="11"/>
      <c r="AL188" s="11"/>
      <c r="AM188" s="13"/>
      <c r="AN188" s="13"/>
      <c r="AO188" s="13"/>
      <c r="AQ188" s="14"/>
      <c r="BM188"/>
      <c r="BN188"/>
      <c r="BO188"/>
      <c r="BP188"/>
      <c r="BQ188"/>
      <c r="BR188"/>
      <c r="BU188" s="15"/>
      <c r="BV188" s="15"/>
      <c r="BW188" s="15"/>
      <c r="BY188" s="15"/>
      <c r="CF188" s="16"/>
      <c r="CG188" s="16"/>
      <c r="CH188" s="16"/>
      <c r="CI188" s="16"/>
      <c r="CJ188" s="16"/>
      <c r="CK188" s="16"/>
    </row>
    <row r="189" spans="1:93" x14ac:dyDescent="0.2">
      <c r="A189" s="245" t="s">
        <v>156</v>
      </c>
      <c r="B189" s="245"/>
      <c r="C189" s="241"/>
      <c r="D189" s="245" t="s">
        <v>157</v>
      </c>
      <c r="E189" s="245" t="s">
        <v>158</v>
      </c>
      <c r="F189"/>
      <c r="G189"/>
      <c r="H189"/>
      <c r="J189" s="62"/>
      <c r="K189"/>
      <c r="L189" s="62"/>
      <c r="M189" s="62"/>
      <c r="N189"/>
      <c r="O189"/>
      <c r="AB189" s="11"/>
      <c r="AG189" s="11"/>
      <c r="AH189" s="12"/>
      <c r="AI189" s="11"/>
      <c r="AJ189" s="11"/>
      <c r="AK189" s="11"/>
      <c r="AL189" s="11"/>
      <c r="AM189" s="13"/>
      <c r="AN189" s="13"/>
      <c r="AO189" s="13"/>
      <c r="AQ189" s="14"/>
      <c r="BM189"/>
      <c r="BN189"/>
      <c r="BO189"/>
      <c r="BP189"/>
      <c r="BQ189"/>
      <c r="BR189"/>
      <c r="BU189" s="15"/>
      <c r="BV189" s="15"/>
      <c r="BW189" s="15"/>
      <c r="BY189" s="15"/>
      <c r="CF189" s="16"/>
      <c r="CG189" s="16"/>
      <c r="CH189" s="16"/>
      <c r="CI189" s="16"/>
      <c r="CJ189" s="16"/>
      <c r="CK189" s="16"/>
    </row>
    <row r="190" spans="1:93" x14ac:dyDescent="0.2">
      <c r="A190" s="245" t="s">
        <v>143</v>
      </c>
      <c r="B190" s="245"/>
      <c r="C190" s="245" t="s">
        <v>64</v>
      </c>
      <c r="D190" s="102"/>
      <c r="E190" s="241"/>
      <c r="F190"/>
      <c r="G190"/>
      <c r="H190"/>
      <c r="J190" s="62"/>
      <c r="K190" s="62"/>
      <c r="L190" s="16"/>
      <c r="M190"/>
      <c r="N190"/>
      <c r="O190"/>
      <c r="AB190" s="11"/>
      <c r="AG190" s="11"/>
      <c r="AH190" s="12"/>
      <c r="AI190" s="11"/>
      <c r="AJ190" s="11"/>
      <c r="AK190" s="11"/>
      <c r="AL190" s="11"/>
      <c r="AM190" s="13"/>
      <c r="AN190" s="13"/>
      <c r="AO190" s="13"/>
      <c r="AQ190" s="14"/>
      <c r="BM190"/>
      <c r="BN190"/>
      <c r="BO190"/>
      <c r="BP190"/>
      <c r="BQ190"/>
      <c r="BR190"/>
      <c r="BU190" s="15"/>
      <c r="BV190" s="15"/>
      <c r="BW190" s="15"/>
      <c r="BY190" s="15"/>
      <c r="CF190" s="16"/>
      <c r="CG190" s="16"/>
      <c r="CH190" s="16"/>
      <c r="CI190" s="16"/>
      <c r="CJ190" s="16"/>
      <c r="CK190" s="16"/>
    </row>
    <row r="191" spans="1:93" x14ac:dyDescent="0.2">
      <c r="A191" s="241" t="s">
        <v>144</v>
      </c>
      <c r="B191" s="241"/>
      <c r="C191" s="241" t="s">
        <v>159</v>
      </c>
      <c r="D191" s="241" t="s">
        <v>155</v>
      </c>
      <c r="E191" s="102">
        <f>F22</f>
        <v>0</v>
      </c>
      <c r="F191"/>
      <c r="G191"/>
      <c r="H191"/>
      <c r="J191"/>
      <c r="K191"/>
      <c r="L191"/>
      <c r="M191"/>
      <c r="N191"/>
      <c r="O191"/>
      <c r="AB191" s="11"/>
      <c r="AG191" s="11"/>
      <c r="AH191" s="12"/>
      <c r="AI191" s="11"/>
      <c r="AJ191" s="11"/>
      <c r="AK191" s="11"/>
      <c r="AL191" s="11"/>
      <c r="AM191" s="13"/>
      <c r="AN191" s="13"/>
      <c r="AO191" s="13"/>
      <c r="AQ191" s="14"/>
      <c r="BM191"/>
      <c r="BN191"/>
      <c r="BO191"/>
      <c r="BP191"/>
      <c r="BQ191"/>
      <c r="BR191"/>
      <c r="BU191" s="15"/>
      <c r="BV191" s="15"/>
      <c r="BW191" s="15"/>
      <c r="BY191" s="15"/>
      <c r="CF191" s="16"/>
      <c r="CG191" s="16"/>
      <c r="CH191" s="16"/>
      <c r="CI191" s="16"/>
      <c r="CJ191" s="16"/>
      <c r="CK191" s="16"/>
    </row>
    <row r="192" spans="1:93" x14ac:dyDescent="0.2">
      <c r="A192" s="241"/>
      <c r="B192" s="241"/>
      <c r="C192" s="241"/>
      <c r="D192" s="102"/>
      <c r="E192" s="241"/>
      <c r="F192"/>
      <c r="G192"/>
      <c r="H192"/>
      <c r="J192"/>
      <c r="K192"/>
      <c r="L192" s="16"/>
      <c r="M192"/>
      <c r="N192"/>
      <c r="O192"/>
      <c r="AB192" s="11"/>
      <c r="AG192" s="11"/>
      <c r="AH192" s="12"/>
      <c r="AI192" s="11"/>
      <c r="AJ192" s="11"/>
      <c r="AK192" s="11"/>
      <c r="AL192" s="11"/>
      <c r="AM192" s="13"/>
      <c r="AN192" s="13"/>
      <c r="AO192" s="13"/>
      <c r="AQ192" s="14"/>
      <c r="BM192"/>
      <c r="BN192"/>
      <c r="BO192"/>
      <c r="BP192"/>
      <c r="BQ192"/>
      <c r="BR192"/>
      <c r="BU192" s="15"/>
      <c r="BV192" s="15"/>
      <c r="BW192" s="15"/>
      <c r="BY192" s="15"/>
      <c r="CF192" s="16"/>
      <c r="CG192" s="16"/>
      <c r="CH192" s="16"/>
      <c r="CI192" s="16"/>
      <c r="CJ192" s="16"/>
      <c r="CK192" s="16"/>
    </row>
    <row r="195" spans="1:13" x14ac:dyDescent="0.2">
      <c r="A195" s="245" t="s">
        <v>160</v>
      </c>
      <c r="B195" s="245"/>
      <c r="C195" s="245"/>
      <c r="D195" s="246" t="s">
        <v>161</v>
      </c>
      <c r="E195" s="245" t="s">
        <v>162</v>
      </c>
      <c r="F195" s="245" t="s">
        <v>160</v>
      </c>
      <c r="G195" s="245"/>
      <c r="H195" s="245"/>
      <c r="I195" s="246" t="s">
        <v>161</v>
      </c>
      <c r="J195" s="245" t="s">
        <v>162</v>
      </c>
      <c r="K195" s="245"/>
      <c r="L195" s="245"/>
      <c r="M195" s="245"/>
    </row>
    <row r="196" spans="1:13" x14ac:dyDescent="0.2">
      <c r="A196" s="245" t="s">
        <v>143</v>
      </c>
      <c r="B196" s="245"/>
      <c r="C196" s="245" t="s">
        <v>64</v>
      </c>
      <c r="D196" s="246"/>
      <c r="E196" s="245"/>
      <c r="F196" s="245" t="s">
        <v>143</v>
      </c>
      <c r="G196" s="245"/>
      <c r="H196" s="245" t="s">
        <v>64</v>
      </c>
      <c r="I196" s="246"/>
      <c r="J196" s="245"/>
      <c r="K196" s="245"/>
      <c r="L196" s="245"/>
      <c r="M196" s="245"/>
    </row>
    <row r="197" spans="1:13" x14ac:dyDescent="0.2">
      <c r="A197" s="241" t="s">
        <v>144</v>
      </c>
      <c r="B197" s="241"/>
      <c r="C197" s="241" t="s">
        <v>130</v>
      </c>
      <c r="D197" s="208" t="s">
        <v>145</v>
      </c>
      <c r="E197" s="102">
        <f>F155</f>
        <v>25</v>
      </c>
      <c r="F197" s="241" t="s">
        <v>144</v>
      </c>
      <c r="G197" s="241"/>
      <c r="H197" s="241" t="s">
        <v>130</v>
      </c>
      <c r="I197" s="208" t="s">
        <v>145</v>
      </c>
      <c r="J197" s="102">
        <f>F155</f>
        <v>25</v>
      </c>
      <c r="K197" s="241"/>
      <c r="L197" s="241"/>
      <c r="M197" s="241"/>
    </row>
    <row r="198" spans="1:13" x14ac:dyDescent="0.2">
      <c r="A198" s="241" t="s">
        <v>130</v>
      </c>
      <c r="B198" s="241"/>
      <c r="C198" s="241" t="s">
        <v>147</v>
      </c>
      <c r="D198" s="208" t="s">
        <v>145</v>
      </c>
      <c r="E198" s="102">
        <f>F22-F155</f>
        <v>-25</v>
      </c>
      <c r="F198" s="241" t="s">
        <v>130</v>
      </c>
      <c r="G198" s="241"/>
      <c r="H198" s="241" t="s">
        <v>147</v>
      </c>
      <c r="I198" s="208" t="s">
        <v>145</v>
      </c>
      <c r="J198" s="102">
        <f>F22-F155</f>
        <v>-25</v>
      </c>
      <c r="K198" s="241"/>
      <c r="L198" s="241"/>
      <c r="M198" s="241"/>
    </row>
    <row r="199" spans="1:13" x14ac:dyDescent="0.2">
      <c r="A199" s="241" t="s">
        <v>144</v>
      </c>
      <c r="B199" s="241"/>
      <c r="C199" s="241" t="s">
        <v>130</v>
      </c>
      <c r="D199" s="208" t="s">
        <v>148</v>
      </c>
      <c r="E199" s="102">
        <f>E197</f>
        <v>25</v>
      </c>
      <c r="F199" s="241" t="s">
        <v>144</v>
      </c>
      <c r="G199" s="241"/>
      <c r="H199" s="241" t="s">
        <v>130</v>
      </c>
      <c r="I199" s="208" t="s">
        <v>148</v>
      </c>
      <c r="J199" s="102">
        <f>F155</f>
        <v>25</v>
      </c>
      <c r="K199" s="241"/>
      <c r="L199" s="241"/>
      <c r="M199" s="241"/>
    </row>
    <row r="200" spans="1:13" x14ac:dyDescent="0.2">
      <c r="A200" s="241" t="s">
        <v>130</v>
      </c>
      <c r="B200" s="241"/>
      <c r="C200" s="241" t="s">
        <v>147</v>
      </c>
      <c r="D200" s="208" t="s">
        <v>148</v>
      </c>
      <c r="E200" s="102">
        <f>E198</f>
        <v>-25</v>
      </c>
      <c r="F200" s="241"/>
      <c r="G200" s="241"/>
      <c r="H200" s="241"/>
      <c r="I200" s="208"/>
      <c r="J200" s="241"/>
      <c r="K200" s="241"/>
      <c r="L200" s="241"/>
      <c r="M200" s="241"/>
    </row>
    <row r="201" spans="1:13" x14ac:dyDescent="0.2">
      <c r="B201" s="16"/>
      <c r="E201"/>
      <c r="H201"/>
      <c r="J201"/>
      <c r="K201"/>
      <c r="L201"/>
      <c r="M201"/>
    </row>
    <row r="202" spans="1:13" x14ac:dyDescent="0.2">
      <c r="B202" s="16"/>
      <c r="E202"/>
      <c r="H202"/>
      <c r="J202"/>
      <c r="K202"/>
      <c r="L202"/>
      <c r="M202"/>
    </row>
    <row r="203" spans="1:13" x14ac:dyDescent="0.2">
      <c r="A203" s="245" t="s">
        <v>163</v>
      </c>
      <c r="B203" s="245"/>
      <c r="C203" s="245"/>
      <c r="D203" s="245" t="s">
        <v>164</v>
      </c>
      <c r="E203" s="245" t="s">
        <v>165</v>
      </c>
      <c r="F203" s="245" t="s">
        <v>163</v>
      </c>
      <c r="G203" s="245"/>
      <c r="H203" s="245"/>
      <c r="I203" s="245" t="s">
        <v>164</v>
      </c>
      <c r="J203" s="245" t="s">
        <v>165</v>
      </c>
      <c r="K203" s="245"/>
      <c r="L203" s="245"/>
      <c r="M203" s="245"/>
    </row>
    <row r="204" spans="1:13" x14ac:dyDescent="0.2">
      <c r="A204" s="245" t="s">
        <v>143</v>
      </c>
      <c r="B204" s="245"/>
      <c r="C204" s="245" t="s">
        <v>64</v>
      </c>
      <c r="D204" s="245"/>
      <c r="E204" s="241"/>
      <c r="F204" s="245" t="s">
        <v>143</v>
      </c>
      <c r="G204" s="245"/>
      <c r="H204" s="245" t="s">
        <v>64</v>
      </c>
      <c r="I204" s="245"/>
      <c r="J204" s="241"/>
      <c r="K204" s="241"/>
      <c r="L204" s="241"/>
      <c r="M204" s="241"/>
    </row>
    <row r="205" spans="1:13" x14ac:dyDescent="0.2">
      <c r="A205" s="241" t="s">
        <v>144</v>
      </c>
      <c r="B205" s="241"/>
      <c r="C205" s="241" t="s">
        <v>147</v>
      </c>
      <c r="D205" s="102" t="s">
        <v>155</v>
      </c>
      <c r="E205" s="102">
        <f>$F$22</f>
        <v>0</v>
      </c>
      <c r="F205" s="241" t="s">
        <v>144</v>
      </c>
      <c r="G205" s="241"/>
      <c r="H205" s="241" t="s">
        <v>147</v>
      </c>
      <c r="I205" s="102" t="s">
        <v>152</v>
      </c>
      <c r="J205" s="102">
        <f>$F$22</f>
        <v>0</v>
      </c>
      <c r="K205" s="241"/>
      <c r="L205" s="241"/>
      <c r="M205" s="241"/>
    </row>
    <row r="206" spans="1:13" x14ac:dyDescent="0.2">
      <c r="A206" s="241" t="s">
        <v>144</v>
      </c>
      <c r="B206" s="241"/>
      <c r="C206" s="241" t="s">
        <v>147</v>
      </c>
      <c r="D206" s="102" t="s">
        <v>148</v>
      </c>
      <c r="E206" s="102">
        <f>$E$205</f>
        <v>0</v>
      </c>
      <c r="F206" s="241"/>
      <c r="G206" s="241"/>
      <c r="H206" s="241"/>
      <c r="I206" s="102"/>
      <c r="J206" s="241"/>
      <c r="K206" s="241"/>
      <c r="L206" s="241"/>
      <c r="M206" s="241"/>
    </row>
    <row r="207" spans="1:13" x14ac:dyDescent="0.2">
      <c r="A207" s="241"/>
      <c r="B207" s="241"/>
      <c r="C207" s="241"/>
      <c r="D207" s="241"/>
      <c r="E207" s="241"/>
      <c r="F207" s="241"/>
      <c r="G207" s="241"/>
      <c r="H207" s="241"/>
      <c r="I207" s="241"/>
      <c r="J207" s="241"/>
      <c r="K207" s="241"/>
      <c r="L207" s="241"/>
      <c r="M207" s="241"/>
    </row>
    <row r="208" spans="1:13" x14ac:dyDescent="0.2">
      <c r="B208" s="16"/>
      <c r="E208"/>
      <c r="F208"/>
      <c r="G208"/>
      <c r="H208"/>
      <c r="J208" s="16"/>
      <c r="K208"/>
      <c r="L208"/>
      <c r="M208"/>
    </row>
    <row r="209" spans="2:13" x14ac:dyDescent="0.2">
      <c r="B209" s="16"/>
      <c r="E209"/>
      <c r="F209"/>
      <c r="G209"/>
      <c r="H209"/>
      <c r="J209" s="16"/>
      <c r="K209"/>
      <c r="L209"/>
      <c r="M209"/>
    </row>
    <row r="228" spans="1:1" x14ac:dyDescent="0.2">
      <c r="A228" s="16">
        <f>MATCH("Total",$A$1:$A$227,0)-15</f>
        <v>4</v>
      </c>
    </row>
  </sheetData>
  <mergeCells count="17">
    <mergeCell ref="R7:T7"/>
    <mergeCell ref="W7:Z7"/>
    <mergeCell ref="AA7:AB7"/>
    <mergeCell ref="G4:Q6"/>
    <mergeCell ref="R4:S4"/>
    <mergeCell ref="T4:U4"/>
    <mergeCell ref="R5:S5"/>
    <mergeCell ref="T5:U5"/>
    <mergeCell ref="R6:S6"/>
    <mergeCell ref="T6:U6"/>
    <mergeCell ref="G1:Q3"/>
    <mergeCell ref="R1:S1"/>
    <mergeCell ref="T1:U1"/>
    <mergeCell ref="R2:S2"/>
    <mergeCell ref="T2:U2"/>
    <mergeCell ref="R3:S3"/>
    <mergeCell ref="T3:U3"/>
  </mergeCells>
  <conditionalFormatting sqref="H14:H18 C14:F18 J14:J18">
    <cfRule type="expression" dxfId="6" priority="7" stopIfTrue="1">
      <formula>AND((#REF!=#REF!), ($D14=#REF!))</formula>
    </cfRule>
  </conditionalFormatting>
  <conditionalFormatting sqref="CI9:CI11">
    <cfRule type="cellIs" dxfId="5" priority="4" operator="equal">
      <formula>"0"</formula>
    </cfRule>
    <cfRule type="cellIs" dxfId="4" priority="5" operator="equal">
      <formula>"(blank)"</formula>
    </cfRule>
    <cfRule type="cellIs" dxfId="3" priority="6" operator="equal">
      <formula>0</formula>
    </cfRule>
  </conditionalFormatting>
  <conditionalFormatting sqref="BK8">
    <cfRule type="cellIs" dxfId="2" priority="1" operator="equal">
      <formula>"0"</formula>
    </cfRule>
    <cfRule type="cellIs" dxfId="1" priority="2" operator="equal">
      <formula>"(blank)"</formula>
    </cfRule>
    <cfRule type="cellIs" dxfId="0" priority="3" operator="equal">
      <formula>0</formula>
    </cfRule>
  </conditionalFormatting>
  <pageMargins left="0.7" right="0.7" top="0.75" bottom="0.75" header="0.3" footer="0.3"/>
  <pageSetup paperSize="8" scale="5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 for MCC</vt:lpstr>
      <vt:lpstr>'Template for MCC'!Print_Area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devan.rehunathan@outlook.com</dc:creator>
  <cp:lastModifiedBy>devan.rehunathan@outlook.com</cp:lastModifiedBy>
  <dcterms:created xsi:type="dcterms:W3CDTF">2020-10-05T15:14:21Z</dcterms:created>
  <dcterms:modified xsi:type="dcterms:W3CDTF">2020-10-05T15:14:59Z</dcterms:modified>
</cp:coreProperties>
</file>