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data/"/>
    </mc:Choice>
  </mc:AlternateContent>
  <xr:revisionPtr revIDLastSave="0" documentId="8_{86C057BB-1874-CC44-B06E-8FEAF69A98E3}" xr6:coauthVersionLast="45" xr6:coauthVersionMax="45" xr10:uidLastSave="{00000000-0000-0000-0000-000000000000}"/>
  <bookViews>
    <workbookView xWindow="0" yWindow="0" windowWidth="38400" windowHeight="24000" xr2:uid="{B461CD7A-802F-A04C-AE14-8BCB23B70888}"/>
  </bookViews>
  <sheets>
    <sheet name="Cable Calculator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lum_Data" localSheetId="0">'[1]AS3008 Look_Up_Tables'!$F$2:$AE$23</definedName>
    <definedName name="Alum_Data">#REF!</definedName>
    <definedName name="APPROVED_BY">[3]Info!$C$9</definedName>
    <definedName name="Breaker_Rated_Current">#REF!</definedName>
    <definedName name="Breaker_Tripping_Current" localSheetId="0">'[1]AS3008 Look_Up_Tables'!$M$119:$N$121</definedName>
    <definedName name="Breaker_Tripping_Current">#REF!</definedName>
    <definedName name="Breaker_Type" localSheetId="0">'[1]AS3008 Look_Up_Tables'!$M$119:$M$121</definedName>
    <definedName name="Breaker_Type">#REF!</definedName>
    <definedName name="Cable_Data" localSheetId="0">'[1]AS3008 Look_Up_Tables'!$F$26:$AM$47</definedName>
    <definedName name="Cable_Data">#REF!</definedName>
    <definedName name="Cable_Data_HV" localSheetId="0">'[1]AS3008 Look_Up_Tables'!$A$94:$AL$112</definedName>
    <definedName name="Cable_Data_HV">#REF!</definedName>
    <definedName name="Cable_Size">#REF!</definedName>
    <definedName name="Cable_Size__HV">#REF!</definedName>
    <definedName name="Cable_Size_HV" localSheetId="0">'[1]AS3008 Look_Up_Tables'!$A$95:$A$111</definedName>
    <definedName name="Cable_Size_HV">#REF!</definedName>
    <definedName name="Cable_Size_LV" localSheetId="0">'[1]AS3008 Look_Up_Tables'!$F$27:$F$46</definedName>
    <definedName name="Cable_Size_LV">#REF!</definedName>
    <definedName name="Cable_Type" localSheetId="0">'[1]AS3008 Look_Up_Tables'!$E$80:$E$81</definedName>
    <definedName name="Cable_Type">#REF!</definedName>
    <definedName name="Cable_Type_Code" localSheetId="0">'[1]AS3008 Look_Up_Tables'!$E$80:$F$81</definedName>
    <definedName name="Cable_Type_Code">#REF!</definedName>
    <definedName name="Cable_Voltage" localSheetId="0">'[1]AS3008 Look_Up_Tables'!$A$53:$B$62</definedName>
    <definedName name="Cable_Voltage">#REF!</definedName>
    <definedName name="CB">#REF!</definedName>
    <definedName name="CB_Fuse" localSheetId="0">'[1]AS3008 Look_Up_Tables'!$M$124:$M$125</definedName>
    <definedName name="CB_Fuse">#REF!</definedName>
    <definedName name="CB_Type" localSheetId="0">'[1]AS3008 Look_Up_Tables'!$M$133:$M$136</definedName>
    <definedName name="CB_Type">#REF!</definedName>
    <definedName name="Circuits" localSheetId="0">'[1]AS3008 Look_Up_Tables'!$D$54:$D$65</definedName>
    <definedName name="Circuits">#REF!</definedName>
    <definedName name="Cond_type" localSheetId="0">'[1]AS3008 Look_Up_Tables'!$G$77:$G$78</definedName>
    <definedName name="Cond_type">#REF!</definedName>
    <definedName name="Conductor" localSheetId="0">'[1]AS3008 Look_Up_Tables'!$G$73:$G$74</definedName>
    <definedName name="Conductor">#REF!</definedName>
    <definedName name="Conductor_Resistivity" localSheetId="0">'[1]AS3008 Look_Up_Tables'!$I$132:$J$133</definedName>
    <definedName name="Conductor_Resistivity">#REF!</definedName>
    <definedName name="Data">#REF!</definedName>
    <definedName name="DATE_APPR">[3]Info!$C$10</definedName>
    <definedName name="DATE_PREP">[3]Info!$C$8</definedName>
    <definedName name="depth" localSheetId="0">'[1]AS3008 Look_Up_Tables'!$Z$80:$Z$85</definedName>
    <definedName name="depth">#REF!</definedName>
    <definedName name="Depth_Derating" localSheetId="0">'[1]AS3008 Look_Up_Tables'!$Z$80:$AE$89</definedName>
    <definedName name="Depth_Derating">#REF!</definedName>
    <definedName name="Drive_Sizes" localSheetId="0">'[1]AS3008 Look_Up_Tables'!$A$4:$A$50</definedName>
    <definedName name="Drive_Sizes">#REF!</definedName>
    <definedName name="FDR_Rating" localSheetId="0">'[1]AS3008 Look_Up_Tables'!$J$71:$J$91</definedName>
    <definedName name="FDR_Rating">#REF!</definedName>
    <definedName name="Fuse_Type" localSheetId="0">'[1]AS3008 Look_Up_Tables'!$M$129:$M$130</definedName>
    <definedName name="Fuse_Type">#REF!</definedName>
    <definedName name="gG_Fuse_Gates" localSheetId="0">'[1]AS3008 Look_Up_Tables'!$U$118:$Y$137</definedName>
    <definedName name="gG_Fuse_Gates">#REF!</definedName>
    <definedName name="gG_Fuse_Rated_Current">#REF!</definedName>
    <definedName name="Harmonic_Level">#REF!</definedName>
    <definedName name="Harmonic_Reduction" localSheetId="0">'[1]AS3008 Look_Up_Tables'!$I$120:$J$127</definedName>
    <definedName name="Harmonic_Reduction">#REF!</definedName>
    <definedName name="HV_Cond" localSheetId="0">'[1]AS3008 Look_Up_Tables'!$G$73</definedName>
    <definedName name="HV_Cond">#REF!</definedName>
    <definedName name="HV_Sizes" localSheetId="0">'[1]AS3008 Look_Up_Tables'!$A$33:$A$50</definedName>
    <definedName name="HV_Sizes">#REF!</definedName>
    <definedName name="Install_Types" localSheetId="0">'[1]AS3008 Look_Up_Tables'!$AD$71:$AE$76</definedName>
    <definedName name="Install_Types">#REF!</definedName>
    <definedName name="Installation" localSheetId="0">'[1]AS3008 Look_Up_Tables'!$AD$71:$AD$76</definedName>
    <definedName name="Installation">#REF!</definedName>
    <definedName name="Installation_Derating" localSheetId="0">'[1]AS3008 Look_Up_Tables'!$D$53:$AH$66</definedName>
    <definedName name="Installation_Derating">#REF!</definedName>
    <definedName name="K_Factor" localSheetId="0">'[1]AS3008 Look_Up_Tables'!$AG$119:$AL$124</definedName>
    <definedName name="K_Factor">#REF!</definedName>
    <definedName name="Load_Type" localSheetId="0">'[1]AS3008 Look_Up_Tables'!$AP$54:$AP$83</definedName>
    <definedName name="Load_Type">#REF!</definedName>
    <definedName name="MechEquipIdent">'[4]Equip Designations &amp; Spec''s'!$A$4:$A$78</definedName>
    <definedName name="Min_Earth_Size" localSheetId="0">'[1]AS3008 Look_Up_Tables'!$P$119:$R$138</definedName>
    <definedName name="Min_Earth_Size">#REF!</definedName>
    <definedName name="Motor_11000V" localSheetId="0">'[1]Motor Data'!$A$119:$C$133</definedName>
    <definedName name="Motor_11000V">#REF!</definedName>
    <definedName name="Motor_3300V" localSheetId="0">'[1]Motor Data'!$A$82:$C$95</definedName>
    <definedName name="Motor_3300V">#REF!</definedName>
    <definedName name="Motor_415V" localSheetId="0">'[1]Motor Data'!$A$4:$C$38</definedName>
    <definedName name="Motor_415V">#REF!</definedName>
    <definedName name="Motor_6600V" localSheetId="0">'[1]Motor Data'!$A$100:$C$114</definedName>
    <definedName name="Motor_6600V">#REF!</definedName>
    <definedName name="Motor_690V" localSheetId="0">'[1]Motor Data'!$A$43:$C$77</definedName>
    <definedName name="Motor_690V">#REF!</definedName>
    <definedName name="Motor_kW">#REF!</definedName>
    <definedName name="Motor_Start" localSheetId="0">'[1]AS3008 Look_Up_Tables'!$AK$54:$AK$57</definedName>
    <definedName name="Motor_Start">#REF!</definedName>
    <definedName name="N_A" localSheetId="0">'[1]AS3008 Look_Up_Tables'!$M$88</definedName>
    <definedName name="N_A">#REF!</definedName>
    <definedName name="Plant_Areas">'[5]Plant Areas'!$A$3:$A$50</definedName>
    <definedName name="PREPARED_BY">[3]Info!$C$7</definedName>
    <definedName name="_xlnm.Print_Area" localSheetId="0">'Cable Calculator'!$A$1:$AJ$237</definedName>
    <definedName name="_xlnm.Print_Titles" localSheetId="0">'Cable Calculator'!$1:$7</definedName>
    <definedName name="PROY_CODE">[3]Info!$C$5</definedName>
    <definedName name="PROY_NAME">[3]Info!$C$4</definedName>
    <definedName name="REV">[3]Info!$C$6</definedName>
    <definedName name="Single_Multi_Core" localSheetId="0">'[1]AS3008 Look_Up_Tables'!$A$66:$A$68</definedName>
    <definedName name="Single_Multi_Core">#REF!</definedName>
    <definedName name="Soil_Resistivity" localSheetId="0">'[1]AS3008 Look_Up_Tables'!$AD$119:$AE$126</definedName>
    <definedName name="Soil_Resistivity">#REF!</definedName>
    <definedName name="Soil_Temp" localSheetId="0">'[1]AS3008 Look_Up_Tables'!$L$71:$L$77</definedName>
    <definedName name="Soil_Temp">#REF!</definedName>
    <definedName name="Soil_Thermal_Res_Factor" localSheetId="0">'[1]AS3008 Look_Up_Tables'!$A$118:$E$129</definedName>
    <definedName name="Soil_Thermal_Res_Factor">#REF!</definedName>
    <definedName name="SoilCond" localSheetId="0">'[1]AS3008 Look_Up_Tables'!$AD$119:$AD$126</definedName>
    <definedName name="SoilCond">#REF!</definedName>
    <definedName name="Spacing_Conduit" localSheetId="0">'[1]AS3008 Look_Up_Tables'!$AB$72:$AB$75</definedName>
    <definedName name="Spacing_Conduit">#REF!</definedName>
    <definedName name="Spacing_Direct" localSheetId="0">'[1]AS3008 Look_Up_Tables'!$Z$72:$Z$76</definedName>
    <definedName name="Spacing_Direct">#REF!</definedName>
    <definedName name="Spacing_Ladder" localSheetId="0">'[1]AS3008 Look_Up_Tables'!$AA$72:$AA$73</definedName>
    <definedName name="Spacing_Ladder">#REF!</definedName>
    <definedName name="Table">#REF!</definedName>
    <definedName name="TECO_11kV_DATA" localSheetId="0">'[1]Motor Data'!$A$119:$J$133</definedName>
    <definedName name="TECO_11kV_DATA">#REF!</definedName>
    <definedName name="TECO_3.3kV_DATA" localSheetId="0">'[1]Motor Data'!$A$82:$J$95</definedName>
    <definedName name="TECO_3.3kV_DATA">#REF!</definedName>
    <definedName name="TECO_415V_DATA" localSheetId="0">'[1]Motor Data'!$A$4:$J$38</definedName>
    <definedName name="TECO_415V_DATA">#REF!</definedName>
    <definedName name="TECO_6.6kV_DATA" localSheetId="0">'[1]Motor Data'!$A$100:$J$114</definedName>
    <definedName name="TECO_6.6kV_DATA">#REF!</definedName>
    <definedName name="TECO_690V_DATA" localSheetId="0">'[1]Motor Data'!$A$43:$J$77</definedName>
    <definedName name="TECO_690V_DATA">#REF!</definedName>
    <definedName name="Temperature" localSheetId="0">'[1]AS3008 Look_Up_Tables'!$M$71:$M$86</definedName>
    <definedName name="Temperature">#REF!</definedName>
    <definedName name="Temperature_Derating" localSheetId="0">'[1]AS3008 Look_Up_Tables'!$M$70:$X$87</definedName>
    <definedName name="Temperature_Derating">#REF!</definedName>
    <definedName name="TNF_Drive">#REF!</definedName>
    <definedName name="TNF_Sizes" localSheetId="0">'[1]AS3008 Look_Up_Tables'!$A$72:$A$91</definedName>
    <definedName name="TNF_Sizes">#REF!</definedName>
    <definedName name="TX_kVA">#REF!</definedName>
    <definedName name="Voltage" localSheetId="0">'[1]AS3008 Look_Up_Tables'!$A$53:$A$61</definedName>
    <definedName name="Voltage">#REF!</definedName>
    <definedName name="Yes_No" localSheetId="0">'[1]AS3008 Look_Up_Tables'!$D$80:$D$81</definedName>
    <definedName name="Yes_N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9" i="2" l="1"/>
  <c r="AA216" i="2"/>
  <c r="W216" i="2"/>
  <c r="AF215" i="2"/>
  <c r="AA215" i="2"/>
  <c r="W215" i="2"/>
  <c r="B215" i="2"/>
  <c r="AA214" i="2"/>
  <c r="B214" i="2"/>
  <c r="B213" i="2"/>
  <c r="AA212" i="2"/>
  <c r="B212" i="2"/>
  <c r="W210" i="2"/>
  <c r="W209" i="2"/>
  <c r="W187" i="2"/>
  <c r="AD174" i="2"/>
  <c r="AD173" i="2"/>
  <c r="AA173" i="2"/>
  <c r="B173" i="2"/>
  <c r="AD172" i="2"/>
  <c r="AD170" i="2"/>
  <c r="B170" i="2"/>
  <c r="W169" i="2"/>
  <c r="B169" i="2"/>
  <c r="AD167" i="2"/>
  <c r="AA167" i="2"/>
  <c r="B167" i="2"/>
  <c r="AD166" i="2"/>
  <c r="W166" i="2"/>
  <c r="W184" i="2" s="1"/>
  <c r="W189" i="2" s="1"/>
  <c r="W190" i="2" s="1"/>
  <c r="R196" i="2" s="1"/>
  <c r="R201" i="2" s="1"/>
  <c r="B166" i="2"/>
  <c r="W163" i="2"/>
  <c r="W164" i="2" s="1"/>
  <c r="W217" i="2" s="1"/>
  <c r="W162" i="2"/>
  <c r="R137" i="2"/>
  <c r="R136" i="2"/>
  <c r="R134" i="2"/>
  <c r="R95" i="2"/>
  <c r="B95" i="2"/>
  <c r="Y94" i="2"/>
  <c r="Y93" i="2"/>
  <c r="Y92" i="2"/>
  <c r="B90" i="2"/>
  <c r="B89" i="2"/>
  <c r="B74" i="2"/>
  <c r="V72" i="2"/>
  <c r="R72" i="2"/>
  <c r="AX63" i="2"/>
  <c r="BG63" i="2" s="1"/>
  <c r="Y59" i="2"/>
  <c r="R59" i="2"/>
  <c r="R58" i="2"/>
  <c r="Y57" i="2"/>
  <c r="B57" i="2"/>
  <c r="B56" i="2"/>
  <c r="Y55" i="2"/>
  <c r="R55" i="2"/>
  <c r="Y54" i="2"/>
  <c r="B54" i="2"/>
  <c r="AW53" i="2"/>
  <c r="AW55" i="2" s="1"/>
  <c r="R46" i="2" s="1"/>
  <c r="Y50" i="2"/>
  <c r="R44" i="2"/>
  <c r="AV41" i="2"/>
  <c r="BG44" i="2" s="1"/>
  <c r="AD41" i="2"/>
  <c r="R40" i="2"/>
  <c r="AU35" i="2"/>
  <c r="R34" i="2"/>
  <c r="V34" i="2" s="1"/>
  <c r="AP28" i="2"/>
  <c r="AP27" i="2"/>
  <c r="R31" i="2" s="1"/>
  <c r="AP26" i="2"/>
  <c r="R28" i="2" s="1"/>
  <c r="B24" i="2"/>
  <c r="K20" i="2"/>
  <c r="K19" i="2"/>
  <c r="BI17" i="2"/>
  <c r="B17" i="2"/>
  <c r="AX14" i="2"/>
  <c r="X14" i="2"/>
  <c r="B14" i="2"/>
  <c r="X13" i="2"/>
  <c r="B13" i="2"/>
  <c r="AB12" i="2"/>
  <c r="K22" i="2" s="1"/>
  <c r="B12" i="2"/>
  <c r="B11" i="2"/>
  <c r="B10" i="2"/>
  <c r="AZ6" i="2"/>
  <c r="R93" i="2" l="1"/>
  <c r="AB92" i="2"/>
  <c r="R92" i="2"/>
  <c r="AB91" i="2"/>
  <c r="R91" i="2"/>
  <c r="AC88" i="2" s="1"/>
  <c r="R135" i="2"/>
  <c r="R139" i="2" s="1"/>
  <c r="R140" i="2" s="1"/>
  <c r="R146" i="2" s="1"/>
  <c r="R151" i="2" s="1"/>
  <c r="J153" i="2" s="1"/>
  <c r="AB93" i="2"/>
  <c r="R32" i="2"/>
  <c r="AB35" i="2"/>
  <c r="R29" i="2"/>
  <c r="R35" i="2" s="1"/>
  <c r="AB50" i="2"/>
  <c r="AB32" i="2"/>
  <c r="N22" i="2"/>
  <c r="X22" i="2"/>
  <c r="W175" i="2"/>
  <c r="J230" i="2" l="1"/>
  <c r="J229" i="2"/>
  <c r="J227" i="2"/>
  <c r="W218" i="2"/>
  <c r="R224" i="2" s="1"/>
  <c r="J226" i="2"/>
  <c r="W178" i="2"/>
  <c r="AU38" i="2"/>
  <c r="AU39" i="2" s="1"/>
  <c r="J100" i="2"/>
  <c r="J105" i="2" s="1"/>
  <c r="Z110" i="2"/>
  <c r="Z115" i="2" s="1"/>
  <c r="BU21" i="2"/>
  <c r="J110" i="2"/>
  <c r="J115" i="2" s="1"/>
  <c r="R70" i="2"/>
  <c r="R74" i="2" s="1"/>
  <c r="Z100" i="2"/>
  <c r="Z105" i="2" s="1"/>
  <c r="AU37" i="2"/>
  <c r="Y31" i="2"/>
  <c r="AS8" i="2"/>
  <c r="AS10" i="2" s="1"/>
  <c r="AS11" i="2" s="1"/>
  <c r="Y34" i="2"/>
  <c r="R39" i="2"/>
  <c r="K76" i="2"/>
  <c r="R50" i="2"/>
  <c r="Y47" i="2" s="1"/>
  <c r="B32" i="2"/>
  <c r="AU36" i="2"/>
  <c r="R48" i="2"/>
  <c r="R37" i="2"/>
  <c r="AO6" i="2"/>
  <c r="R45" i="2"/>
  <c r="B31" i="2"/>
  <c r="J117" i="2" l="1"/>
  <c r="J233" i="2"/>
  <c r="J232" i="2"/>
  <c r="R77" i="2"/>
  <c r="R80" i="2" l="1"/>
  <c r="J126" i="2"/>
  <c r="Z80" i="2" l="1"/>
  <c r="B84" i="2"/>
  <c r="K8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craig.angelos</author>
  </authors>
  <commentList>
    <comment ref="AB11" authorId="0" shapeId="0" xr:uid="{F6BEFCE1-6928-9947-870D-5F043C7B7B68}">
      <text>
        <r>
          <rPr>
            <sz val="8"/>
            <color indexed="81"/>
            <rFont val="Tahoma"/>
            <family val="2"/>
          </rPr>
          <t xml:space="preserve">Select 
- </t>
        </r>
        <r>
          <rPr>
            <b/>
            <sz val="8"/>
            <color indexed="81"/>
            <rFont val="Tahoma"/>
            <family val="2"/>
          </rPr>
          <t>TNF</t>
        </r>
        <r>
          <rPr>
            <sz val="8"/>
            <color indexed="81"/>
            <rFont val="Tahoma"/>
            <family val="2"/>
          </rPr>
          <t xml:space="preserve"> for Transformer,
- </t>
        </r>
        <r>
          <rPr>
            <b/>
            <sz val="8"/>
            <color indexed="81"/>
            <rFont val="Tahoma"/>
            <family val="2"/>
          </rPr>
          <t>MCC</t>
        </r>
        <r>
          <rPr>
            <sz val="8"/>
            <color indexed="81"/>
            <rFont val="Tahoma"/>
            <family val="2"/>
          </rPr>
          <t xml:space="preserve"> for Motor Control Centre,
- </t>
        </r>
        <r>
          <rPr>
            <b/>
            <sz val="8"/>
            <color indexed="81"/>
            <rFont val="Tahoma"/>
            <family val="2"/>
          </rPr>
          <t xml:space="preserve">EDB </t>
        </r>
        <r>
          <rPr>
            <sz val="8"/>
            <color indexed="81"/>
            <rFont val="Tahoma"/>
            <family val="2"/>
          </rPr>
          <t xml:space="preserve"> for Distribution board,
- or other codes to suit or other drive types</t>
        </r>
      </text>
    </comment>
    <comment ref="X12" authorId="0" shapeId="0" xr:uid="{D6C95A50-0A99-1345-A4CE-207156823BAA}">
      <text>
        <r>
          <rPr>
            <sz val="8"/>
            <color indexed="81"/>
            <rFont val="Tahoma"/>
            <family val="2"/>
          </rPr>
          <t xml:space="preserve">Change Value depending if the Equipment is:
- DB Feeder   (Amps)
- MCC Feeder (Amps)
- Transformer (kVA), or
- Drive Motor (kW)
</t>
        </r>
      </text>
    </comment>
    <comment ref="X13" authorId="0" shapeId="0" xr:uid="{0AE1A398-687E-7F47-B2C6-44ECD96C33FC}">
      <text>
        <r>
          <rPr>
            <sz val="8"/>
            <color indexed="81"/>
            <rFont val="Tahoma"/>
            <family val="2"/>
          </rPr>
          <t>Value changes to
100%  if equipment
 is a Transformer,
DB or MCC Feeder</t>
        </r>
      </text>
    </comment>
    <comment ref="X14" authorId="0" shapeId="0" xr:uid="{8E8750AA-F54B-8B4F-865A-DFBA5A423103}">
      <text>
        <r>
          <rPr>
            <sz val="8"/>
            <color indexed="81"/>
            <rFont val="Tahoma"/>
            <family val="2"/>
          </rPr>
          <t>Value changes to
100%  if equipment
 is a Transformer, DB or MCC Feeder</t>
        </r>
      </text>
    </comment>
  </commentList>
</comments>
</file>

<file path=xl/sharedStrings.xml><?xml version="1.0" encoding="utf-8"?>
<sst xmlns="http://schemas.openxmlformats.org/spreadsheetml/2006/main" count="331" uniqueCount="192">
  <si>
    <t>Calculation Sheet</t>
  </si>
  <si>
    <t>Document No.</t>
  </si>
  <si>
    <t>Rev No.</t>
  </si>
  <si>
    <t>Description</t>
  </si>
  <si>
    <t>Prepared By</t>
  </si>
  <si>
    <t>Checked By</t>
  </si>
  <si>
    <t xml:space="preserve">For HV </t>
  </si>
  <si>
    <t>Non touching for HV cables</t>
  </si>
  <si>
    <t>Date</t>
  </si>
  <si>
    <t>Total DF</t>
  </si>
  <si>
    <r>
      <t xml:space="preserve">Values in </t>
    </r>
    <r>
      <rPr>
        <b/>
        <sz val="12"/>
        <color indexed="10"/>
        <rFont val="Times New Roman"/>
        <family val="1"/>
      </rPr>
      <t>RED</t>
    </r>
    <r>
      <rPr>
        <b/>
        <sz val="11"/>
        <rFont val="Times New Roman"/>
        <family val="1"/>
      </rPr>
      <t xml:space="preserve"> to be altered by means of the DROP-DOWN Menus Only</t>
    </r>
  </si>
  <si>
    <t>Current flow</t>
  </si>
  <si>
    <t>PMP</t>
  </si>
  <si>
    <t>Amp per cond</t>
  </si>
  <si>
    <t>%</t>
  </si>
  <si>
    <t>pu</t>
  </si>
  <si>
    <t>For Current</t>
  </si>
  <si>
    <t xml:space="preserve">Conductor Size </t>
  </si>
  <si>
    <t>mm2</t>
  </si>
  <si>
    <t>System Voltage (V)</t>
  </si>
  <si>
    <t>Volts</t>
  </si>
  <si>
    <t>For Voltage Drop</t>
  </si>
  <si>
    <t xml:space="preserve"> </t>
  </si>
  <si>
    <r>
      <t>Full Load Current (I</t>
    </r>
    <r>
      <rPr>
        <b/>
        <vertAlign val="subscript"/>
        <sz val="10"/>
        <color indexed="8"/>
        <rFont val="Arial"/>
        <family val="2"/>
      </rPr>
      <t>FL</t>
    </r>
    <r>
      <rPr>
        <b/>
        <sz val="10"/>
        <color indexed="8"/>
        <rFont val="Arial"/>
        <family val="2"/>
      </rPr>
      <t>)</t>
    </r>
  </si>
  <si>
    <t>=</t>
  </si>
  <si>
    <t xml:space="preserve">   </t>
  </si>
  <si>
    <t>From Motor Data Tables</t>
  </si>
  <si>
    <t>Amps (at 50Hz)</t>
  </si>
  <si>
    <r>
      <t xml:space="preserve">Selections as per </t>
    </r>
    <r>
      <rPr>
        <b/>
        <sz val="10"/>
        <color indexed="8"/>
        <rFont val="Arial"/>
        <family val="2"/>
      </rPr>
      <t>AS3008</t>
    </r>
    <r>
      <rPr>
        <sz val="10"/>
        <color indexed="8"/>
        <rFont val="Arial"/>
        <family val="2"/>
      </rPr>
      <t>.1.1:2009</t>
    </r>
  </si>
  <si>
    <r>
      <t xml:space="preserve">Cables to be used shall have a temperature rating of </t>
    </r>
    <r>
      <rPr>
        <b/>
        <sz val="10"/>
        <color indexed="8"/>
        <rFont val="Arial"/>
        <family val="2"/>
      </rPr>
      <t>90°C</t>
    </r>
  </si>
  <si>
    <t>Cable Ladder - 3 Tier</t>
  </si>
  <si>
    <t>Temp</t>
  </si>
  <si>
    <t>Cable spacing</t>
  </si>
  <si>
    <t>Touching</t>
  </si>
  <si>
    <t>Installation Type</t>
  </si>
  <si>
    <t>Conduit - In Ground</t>
  </si>
  <si>
    <t>Cable Location</t>
  </si>
  <si>
    <t>Cable Type</t>
  </si>
  <si>
    <t>Standard</t>
  </si>
  <si>
    <r>
      <t>o</t>
    </r>
    <r>
      <rPr>
        <b/>
        <sz val="10"/>
        <rFont val="Arial"/>
        <family val="2"/>
      </rPr>
      <t>C</t>
    </r>
  </si>
  <si>
    <t>AS3008,</t>
  </si>
  <si>
    <t>Number of Circuits per Ladder / Conduit</t>
  </si>
  <si>
    <t>For LV</t>
  </si>
  <si>
    <t>Cable Spacing</t>
  </si>
  <si>
    <t>Derating Factor (DF) - Cable Spacing</t>
  </si>
  <si>
    <r>
      <t xml:space="preserve">Number of Layers on </t>
    </r>
    <r>
      <rPr>
        <u/>
        <sz val="10"/>
        <color indexed="8"/>
        <rFont val="Arial"/>
        <family val="2"/>
      </rPr>
      <t>Ladder</t>
    </r>
  </si>
  <si>
    <r>
      <t xml:space="preserve">Derating Factor (DF) - # of Layers on </t>
    </r>
    <r>
      <rPr>
        <u/>
        <sz val="10"/>
        <color indexed="8"/>
        <rFont val="Arial"/>
        <family val="2"/>
      </rPr>
      <t>Ladder</t>
    </r>
  </si>
  <si>
    <t xml:space="preserve">Depth of Cable Laying </t>
  </si>
  <si>
    <t>metres</t>
  </si>
  <si>
    <t>Derating Factor (DF) - Depth of Cable Laying</t>
  </si>
  <si>
    <t>AS3008, Table 28</t>
  </si>
  <si>
    <t>Cable Voltage Rating</t>
  </si>
  <si>
    <t>kV</t>
  </si>
  <si>
    <t>Single / Multi Core Configuration</t>
  </si>
  <si>
    <t>3c</t>
  </si>
  <si>
    <t>Arranged as:</t>
  </si>
  <si>
    <r>
      <t>Soil Characteristics (</t>
    </r>
    <r>
      <rPr>
        <b/>
        <sz val="8"/>
        <color indexed="8"/>
        <rFont val="Arial"/>
        <family val="2"/>
      </rPr>
      <t>For u/g use only)</t>
    </r>
    <r>
      <rPr>
        <sz val="10"/>
        <color indexed="8"/>
        <rFont val="Arial"/>
        <family val="2"/>
      </rPr>
      <t>:</t>
    </r>
  </si>
  <si>
    <t>1.2 General except very dry light soils</t>
  </si>
  <si>
    <t>(Select best description/value)</t>
  </si>
  <si>
    <t>Soil Thermal Resistivity</t>
  </si>
  <si>
    <r>
      <t>°</t>
    </r>
    <r>
      <rPr>
        <b/>
        <sz val="9"/>
        <rFont val="Arial"/>
        <family val="2"/>
      </rPr>
      <t>C.m/W</t>
    </r>
  </si>
  <si>
    <t>Soil Derating Factor</t>
  </si>
  <si>
    <t>AS3008 Table 29 + interpolations</t>
  </si>
  <si>
    <t>Conductor Insulation</t>
  </si>
  <si>
    <t>Selected Cable Size</t>
  </si>
  <si>
    <r>
      <t>mm</t>
    </r>
    <r>
      <rPr>
        <b/>
        <vertAlign val="superscript"/>
        <sz val="10"/>
        <rFont val="Arial"/>
        <family val="2"/>
      </rPr>
      <t>2</t>
    </r>
  </si>
  <si>
    <t>Conductor Size Factor (For U/Gnd Use Only )</t>
  </si>
  <si>
    <r>
      <t xml:space="preserve">Conductor </t>
    </r>
    <r>
      <rPr>
        <b/>
        <sz val="8"/>
        <color indexed="8"/>
        <rFont val="Arial"/>
        <family val="2"/>
      </rPr>
      <t>(NOTE:</t>
    </r>
    <r>
      <rPr>
        <sz val="10"/>
        <color indexed="8"/>
        <rFont val="Arial"/>
        <family val="2"/>
      </rPr>
      <t xml:space="preserve"> </t>
    </r>
    <r>
      <rPr>
        <b/>
        <u/>
        <sz val="8"/>
        <color indexed="8"/>
        <rFont val="Arial"/>
        <family val="2"/>
      </rPr>
      <t>Only</t>
    </r>
    <r>
      <rPr>
        <b/>
        <sz val="8"/>
        <color indexed="8"/>
        <rFont val="Arial"/>
        <family val="2"/>
      </rPr>
      <t xml:space="preserve"> Cu is used for HV calcs</t>
    </r>
    <r>
      <rPr>
        <sz val="10"/>
        <color indexed="8"/>
        <rFont val="Arial"/>
        <family val="2"/>
      </rPr>
      <t>)</t>
    </r>
  </si>
  <si>
    <t>Cu</t>
  </si>
  <si>
    <t>Nominal Current Rating (per cable)</t>
  </si>
  <si>
    <t>Amps</t>
  </si>
  <si>
    <t>Number of Cores in Parallel per Phase</t>
  </si>
  <si>
    <t xml:space="preserve">Harmonic Current Considerations: </t>
  </si>
  <si>
    <t xml:space="preserve">Selection of cable type </t>
  </si>
  <si>
    <t>Neutral Conductor 50Hz Current</t>
  </si>
  <si>
    <t>No</t>
  </si>
  <si>
    <t>Harmonics arise from</t>
  </si>
  <si>
    <t xml:space="preserve">Phase Conductor Reduction Factor </t>
  </si>
  <si>
    <t>By % of  Harmonic Current</t>
  </si>
  <si>
    <t>Neutral Harmonic Current Reduction Factor</t>
  </si>
  <si>
    <t>4. Cable Phase and Neutral Conductor Current Rating &amp; Size Checks</t>
  </si>
  <si>
    <r>
      <t>Worst Case:</t>
    </r>
    <r>
      <rPr>
        <sz val="10"/>
        <rFont val="Arial"/>
        <family val="2"/>
      </rPr>
      <t xml:space="preserve"> 3 cables bunched in 1 layer (Under Sub) or 5 cables bunched, in 2 layers on ladder (Plant area) or 6 cables in conduit under ground</t>
    </r>
  </si>
  <si>
    <t>Under Sub</t>
  </si>
  <si>
    <t>In Field</t>
  </si>
  <si>
    <t>Conduit</t>
  </si>
  <si>
    <t>Actual Conductors Currents</t>
  </si>
  <si>
    <t>Phase Current Including Harmonic Component</t>
  </si>
  <si>
    <t>Neutral Current Including Harmonic Component</t>
  </si>
  <si>
    <t xml:space="preserve">Cable Full Load Rating </t>
  </si>
  <si>
    <t>Cable Spare Capacity</t>
  </si>
  <si>
    <t>Cable Full Load Rating (for FLC)</t>
  </si>
  <si>
    <t>Spare Capacity</t>
  </si>
  <si>
    <t xml:space="preserve">Conclusion </t>
  </si>
  <si>
    <t xml:space="preserve">Indicative Max Run </t>
  </si>
  <si>
    <t>4. Volt Drop Capacity</t>
  </si>
  <si>
    <t>AS3851</t>
  </si>
  <si>
    <t xml:space="preserve">  </t>
  </si>
  <si>
    <t>Cable Volt Drop</t>
  </si>
  <si>
    <t>mV/A.m</t>
  </si>
  <si>
    <r>
      <t>Cable Resistance (R</t>
    </r>
    <r>
      <rPr>
        <b/>
        <vertAlign val="subscript"/>
        <sz val="10"/>
        <rFont val="Arial"/>
        <family val="2"/>
      </rPr>
      <t>c</t>
    </r>
    <r>
      <rPr>
        <sz val="10"/>
        <rFont val="Arial"/>
        <family val="2"/>
      </rPr>
      <t>)</t>
    </r>
  </si>
  <si>
    <r>
      <t>W</t>
    </r>
    <r>
      <rPr>
        <b/>
        <sz val="10"/>
        <rFont val="Arial"/>
        <family val="2"/>
      </rPr>
      <t>/km</t>
    </r>
  </si>
  <si>
    <r>
      <t>Cable Reactance (X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)</t>
    </r>
  </si>
  <si>
    <t>Type of Starting (ie DOL, VSD, SST, LRS)</t>
  </si>
  <si>
    <t>VSD</t>
  </si>
  <si>
    <t>Running Volt Drop</t>
  </si>
  <si>
    <t>Motor FLC x Motor Cable Route Length x Cable Volt Drop (mV/A.m)</t>
  </si>
  <si>
    <t>No of Conductors/Phase x 1000</t>
  </si>
  <si>
    <t>by mV/A.m</t>
  </si>
  <si>
    <t>by Cable Impedance</t>
  </si>
  <si>
    <t>% Volt Drop (Running)</t>
  </si>
  <si>
    <t>Running Volt Drop x 100</t>
  </si>
  <si>
    <t>Max VD =</t>
  </si>
  <si>
    <t>System Voltage</t>
  </si>
  <si>
    <t>Starting Volt Drop</t>
  </si>
  <si>
    <t>Motor Starting Current x Motor Cable Route Length x Cable Volt Drop (mV/A.m)</t>
  </si>
  <si>
    <t>% Volt Drop (Starting)</t>
  </si>
  <si>
    <t>Starting Volt Drop x 100</t>
  </si>
  <si>
    <t>5. Cable Thermal Loading</t>
  </si>
  <si>
    <t>Cable Thermal Loading</t>
  </si>
  <si>
    <t>Full Load Current</t>
  </si>
  <si>
    <t>Cable De-rated Capacity</t>
  </si>
  <si>
    <t>6. Cable Fault (Short Circuit) Rating Check</t>
  </si>
  <si>
    <t>Design Fault Level</t>
  </si>
  <si>
    <t>kA</t>
  </si>
  <si>
    <t>Design Fault Duration</t>
  </si>
  <si>
    <t>sec</t>
  </si>
  <si>
    <t>Selected Conductor Size</t>
  </si>
  <si>
    <t>Conductor Material</t>
  </si>
  <si>
    <t>No Conductors per Phase</t>
  </si>
  <si>
    <t>Initial Conductor Temperature</t>
  </si>
  <si>
    <r>
      <t>°</t>
    </r>
    <r>
      <rPr>
        <b/>
        <sz val="10"/>
        <rFont val="Arial"/>
        <family val="2"/>
      </rPr>
      <t>C</t>
    </r>
  </si>
  <si>
    <t>Final Conductor Temperature</t>
  </si>
  <si>
    <t>Table 52</t>
  </si>
  <si>
    <t>Constant K</t>
  </si>
  <si>
    <t>Table 51</t>
  </si>
  <si>
    <t>Minimum Total Conductor Size</t>
  </si>
  <si>
    <t>( Fault Current)</t>
  </si>
  <si>
    <t>x</t>
  </si>
  <si>
    <t>Fault Duration</t>
  </si>
  <si>
    <t>( constant K )</t>
  </si>
  <si>
    <t>Minimum Conductor Size</t>
  </si>
  <si>
    <t>Min Total Conductor Size</t>
  </si>
  <si>
    <t>No of Conductors / Phase</t>
  </si>
  <si>
    <t>7. Earth Conductor Checks</t>
  </si>
  <si>
    <t>(As per AS2067 the 25% rule does not apply to earths between the LV secondary of distribution transformers and substation earth)</t>
  </si>
  <si>
    <t>Is an Earth Conductor required</t>
  </si>
  <si>
    <t>Yes</t>
  </si>
  <si>
    <t>Does Circuit Protection Include Earth Leakage Protection</t>
  </si>
  <si>
    <t>Phase/Active Cable Conductor Size</t>
  </si>
  <si>
    <t>Number of Active Cores in Parallel per Phase</t>
  </si>
  <si>
    <t>Summation of Active Conductors Cross Sectional Area</t>
  </si>
  <si>
    <t>Fix for HV cables</t>
  </si>
  <si>
    <t>Is there a further 'Running Earth' that provides a Return Path</t>
  </si>
  <si>
    <t>Summation of Earth Conductors Cross Sectional Area</t>
  </si>
  <si>
    <t>Check Sum earth conductor area &gt; 25% sum of active conductor areas</t>
  </si>
  <si>
    <t>Earth Cable Size as % of Sum of Active Conductor Size</t>
  </si>
  <si>
    <t>7.1 Minimum Cross Sectional Area of Earth Conductor</t>
  </si>
  <si>
    <t>Design 1Ph to Earth Fault Level</t>
  </si>
  <si>
    <t>PVC-V90</t>
  </si>
  <si>
    <t>No Conductors in parallel</t>
  </si>
  <si>
    <t>°C</t>
  </si>
  <si>
    <t>AS3008, Eq 5.3(1)</t>
  </si>
  <si>
    <r>
      <t>( constant K )</t>
    </r>
    <r>
      <rPr>
        <vertAlign val="superscript"/>
        <sz val="10"/>
        <rFont val="Arial"/>
        <family val="2"/>
      </rPr>
      <t>2</t>
    </r>
  </si>
  <si>
    <t>Minimum Conductor Size
for each Earth</t>
  </si>
  <si>
    <t>No of Conductors</t>
  </si>
  <si>
    <t>discounts any 'Running Earth' smaller</t>
  </si>
  <si>
    <t>than the primary earth cores laid</t>
  </si>
  <si>
    <t xml:space="preserve">with the phases conductors </t>
  </si>
  <si>
    <t>7.3 Earth Fault Loop Maximum Circuit Length Check</t>
  </si>
  <si>
    <r>
      <t xml:space="preserve">Conductor </t>
    </r>
    <r>
      <rPr>
        <b/>
        <sz val="8"/>
        <color indexed="8"/>
        <rFont val="Arial"/>
        <family val="2"/>
      </rPr>
      <t>(NOTE:</t>
    </r>
    <r>
      <rPr>
        <sz val="10"/>
        <color indexed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>Only Cu is used for earth conductor</t>
    </r>
    <r>
      <rPr>
        <sz val="10"/>
        <color indexed="8"/>
        <rFont val="Arial"/>
        <family val="2"/>
      </rPr>
      <t>)</t>
    </r>
  </si>
  <si>
    <r>
      <t>Nominal Phase Voltage (U</t>
    </r>
    <r>
      <rPr>
        <vertAlign val="subscript"/>
        <sz val="10"/>
        <rFont val="Arial"/>
        <family val="2"/>
      </rPr>
      <t>o</t>
    </r>
    <r>
      <rPr>
        <sz val="10"/>
        <rFont val="Arial"/>
        <family val="2"/>
      </rPr>
      <t>)</t>
    </r>
  </si>
  <si>
    <t>V</t>
  </si>
  <si>
    <r>
      <t>Resistivity at Normal Temperature (</t>
    </r>
    <r>
      <rPr>
        <i/>
        <sz val="10"/>
        <rFont val="Arial"/>
        <family val="2"/>
      </rPr>
      <t>p</t>
    </r>
    <r>
      <rPr>
        <sz val="10"/>
        <rFont val="Arial"/>
        <family val="2"/>
      </rPr>
      <t>)</t>
    </r>
  </si>
  <si>
    <r>
      <t>W</t>
    </r>
    <r>
      <rPr>
        <b/>
        <sz val="10"/>
        <rFont val="Arial"/>
        <family val="2"/>
      </rPr>
      <t>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/m</t>
    </r>
  </si>
  <si>
    <t>Protective device</t>
  </si>
  <si>
    <t>Circuit Breaker</t>
  </si>
  <si>
    <t>MCCB</t>
  </si>
  <si>
    <t>if motor 2 x FLC</t>
  </si>
  <si>
    <t>A</t>
  </si>
  <si>
    <t>if feeder = FLC</t>
  </si>
  <si>
    <t>Type C</t>
  </si>
  <si>
    <t>Mean Tripping Current (Ia)</t>
  </si>
  <si>
    <r>
      <t>Active Conductor Total Cross Sectional Area (S</t>
    </r>
    <r>
      <rPr>
        <b/>
        <vertAlign val="subscript"/>
        <sz val="10"/>
        <rFont val="Arial"/>
        <family val="2"/>
      </rPr>
      <t>ph</t>
    </r>
    <r>
      <rPr>
        <sz val="10"/>
        <rFont val="Arial"/>
        <family val="2"/>
      </rPr>
      <t>)</t>
    </r>
  </si>
  <si>
    <r>
      <t>Earth  Conductor Total Cross Sectional Area (S</t>
    </r>
    <r>
      <rPr>
        <b/>
        <vertAlign val="subscript"/>
        <sz val="10"/>
        <rFont val="Arial"/>
        <family val="2"/>
      </rPr>
      <t>pe</t>
    </r>
    <r>
      <rPr>
        <sz val="10"/>
        <rFont val="Arial"/>
        <family val="2"/>
      </rPr>
      <t>)</t>
    </r>
  </si>
  <si>
    <t>Cable route length</t>
  </si>
  <si>
    <t>m</t>
  </si>
  <si>
    <t>Maximum Length</t>
  </si>
  <si>
    <r>
      <t>0.80*U</t>
    </r>
    <r>
      <rPr>
        <sz val="10"/>
        <rFont val="Arial"/>
        <family val="2"/>
      </rPr>
      <t>o</t>
    </r>
    <r>
      <rPr>
        <sz val="10"/>
        <rFont val="Arial"/>
        <family val="2"/>
      </rPr>
      <t>*S</t>
    </r>
    <r>
      <rPr>
        <vertAlign val="subscript"/>
        <sz val="10"/>
        <rFont val="Arial"/>
        <family val="2"/>
      </rPr>
      <t>ph</t>
    </r>
    <r>
      <rPr>
        <sz val="10"/>
        <rFont val="Arial"/>
        <family val="2"/>
      </rPr>
      <t>*S</t>
    </r>
    <r>
      <rPr>
        <vertAlign val="subscript"/>
        <sz val="10"/>
        <rFont val="Arial"/>
        <family val="2"/>
      </rPr>
      <t>pe</t>
    </r>
  </si>
  <si>
    <t>AS/NZS 3000</t>
  </si>
  <si>
    <t>B7</t>
  </si>
  <si>
    <r>
      <t>I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*</t>
    </r>
    <r>
      <rPr>
        <i/>
        <sz val="10"/>
        <rFont val="Arial"/>
        <family val="2"/>
      </rPr>
      <t>p</t>
    </r>
    <r>
      <rPr>
        <sz val="10"/>
        <rFont val="Arial"/>
        <family val="2"/>
      </rPr>
      <t>*(S</t>
    </r>
    <r>
      <rPr>
        <vertAlign val="subscript"/>
        <sz val="10"/>
        <rFont val="Arial"/>
        <family val="2"/>
      </rPr>
      <t>ph</t>
    </r>
    <r>
      <rPr>
        <sz val="10"/>
        <rFont val="Arial"/>
        <family val="2"/>
      </rPr>
      <t>+S</t>
    </r>
    <r>
      <rPr>
        <vertAlign val="subscript"/>
        <sz val="10"/>
        <rFont val="Arial"/>
        <family val="2"/>
      </rPr>
      <t>pe</t>
    </r>
    <r>
      <rPr>
        <sz val="10"/>
        <rFont val="Arial"/>
        <family val="2"/>
      </rPr>
      <t>)</t>
    </r>
  </si>
  <si>
    <t xml:space="preserve">Conclusions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</si>
</sst>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C09]dd\-mmm\-yy;@"/>
    <numFmt numFmtId="165" formatCode="00000"/>
    <numFmt numFmtId="166" formatCode="000"/>
    <numFmt numFmtId="167" formatCode="0.0"/>
    <numFmt numFmtId="168" formatCode="0.000"/>
    <numFmt numFmtId="169" formatCode="0.0%"/>
  </numFmts>
  <fonts count="5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Helvetica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color indexed="12"/>
      <name val="Times New Roman"/>
      <family val="1"/>
    </font>
    <font>
      <b/>
      <sz val="8"/>
      <color indexed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2"/>
      <color indexed="10"/>
      <name val="Times New Roman"/>
      <family val="1"/>
    </font>
    <font>
      <b/>
      <u/>
      <sz val="11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8"/>
      <name val="Helvetica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color indexed="9"/>
      <name val="Arial"/>
      <family val="2"/>
    </font>
    <font>
      <u/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color indexed="8"/>
      <name val="Arial"/>
      <family val="2"/>
    </font>
    <font>
      <b/>
      <sz val="9"/>
      <color indexed="10"/>
      <name val="Arial"/>
      <family val="2"/>
    </font>
    <font>
      <sz val="11"/>
      <color theme="1"/>
      <name val="Calibri"/>
      <family val="2"/>
      <scheme val="minor"/>
    </font>
    <font>
      <b/>
      <u/>
      <sz val="8"/>
      <color indexed="8"/>
      <name val="Arial"/>
      <family val="2"/>
    </font>
    <font>
      <b/>
      <sz val="8"/>
      <name val="Arial"/>
      <family val="2"/>
    </font>
    <font>
      <b/>
      <i/>
      <u/>
      <sz val="10"/>
      <name val="Arial"/>
      <family val="2"/>
    </font>
    <font>
      <b/>
      <u/>
      <sz val="11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sz val="10"/>
      <color indexed="55"/>
      <name val="Arial"/>
      <family val="2"/>
    </font>
    <font>
      <b/>
      <sz val="10"/>
      <color indexed="60"/>
      <name val="Arial"/>
      <family val="2"/>
    </font>
    <font>
      <b/>
      <vertAlign val="subscript"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u/>
      <sz val="10"/>
      <color indexed="12"/>
      <name val="Arial"/>
      <family val="2"/>
    </font>
    <font>
      <b/>
      <sz val="9"/>
      <color indexed="8"/>
      <name val="Arial"/>
      <family val="2"/>
    </font>
    <font>
      <vertAlign val="superscript"/>
      <sz val="11"/>
      <name val="Times New Roman"/>
      <family val="1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sz val="10"/>
      <name val="Symbol"/>
      <family val="1"/>
      <charset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7" fillId="0" borderId="0"/>
    <xf numFmtId="9" fontId="1" fillId="0" borderId="0" applyFont="0" applyFill="0" applyBorder="0" applyAlignment="0" applyProtection="0"/>
  </cellStyleXfs>
  <cellXfs count="476">
    <xf numFmtId="0" fontId="0" fillId="0" borderId="0" xfId="0"/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" xfId="1" applyFont="1" applyBorder="1" applyAlignment="1">
      <alignment horizontal="right" vertical="center"/>
    </xf>
    <xf numFmtId="0" fontId="5" fillId="0" borderId="2" xfId="1" applyFont="1" applyBorder="1" applyAlignment="1">
      <alignment horizontal="right" vertical="center"/>
    </xf>
    <xf numFmtId="0" fontId="5" fillId="0" borderId="3" xfId="1" applyFont="1" applyBorder="1" applyAlignment="1">
      <alignment horizontal="right" vertical="center"/>
    </xf>
    <xf numFmtId="0" fontId="1" fillId="0" borderId="0" xfId="1" applyAlignment="1">
      <alignment horizontal="left"/>
    </xf>
    <xf numFmtId="0" fontId="1" fillId="0" borderId="0" xfId="1"/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2" xfId="1" applyFont="1" applyBorder="1" applyAlignment="1">
      <alignment horizontal="right" vertical="center"/>
    </xf>
    <xf numFmtId="0" fontId="6" fillId="0" borderId="3" xfId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6" xfId="1" applyFont="1" applyBorder="1" applyAlignment="1">
      <alignment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5" fillId="0" borderId="1" xfId="1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5" fillId="0" borderId="0" xfId="1" applyFont="1" applyAlignment="1">
      <alignment horizontal="left"/>
    </xf>
    <xf numFmtId="0" fontId="5" fillId="0" borderId="0" xfId="1" applyFont="1"/>
    <xf numFmtId="0" fontId="5" fillId="0" borderId="4" xfId="1" applyFont="1" applyBorder="1"/>
    <xf numFmtId="0" fontId="4" fillId="0" borderId="0" xfId="1" applyFont="1"/>
    <xf numFmtId="0" fontId="5" fillId="0" borderId="5" xfId="1" applyFont="1" applyBorder="1"/>
    <xf numFmtId="0" fontId="5" fillId="0" borderId="4" xfId="1" applyFont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5" fillId="0" borderId="6" xfId="1" applyFont="1" applyBorder="1"/>
    <xf numFmtId="0" fontId="5" fillId="0" borderId="7" xfId="1" applyFont="1" applyBorder="1"/>
    <xf numFmtId="15" fontId="7" fillId="0" borderId="7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164" fontId="7" fillId="0" borderId="7" xfId="1" applyNumberFormat="1" applyFont="1" applyBorder="1" applyAlignment="1">
      <alignment horizontal="center" vertical="center"/>
    </xf>
    <xf numFmtId="164" fontId="7" fillId="0" borderId="8" xfId="1" applyNumberFormat="1" applyFont="1" applyBorder="1" applyAlignment="1">
      <alignment horizontal="center" vertical="center"/>
    </xf>
    <xf numFmtId="0" fontId="8" fillId="0" borderId="10" xfId="1" applyFont="1" applyBorder="1" applyAlignment="1">
      <alignment horizontal="left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1" xfId="1" applyFont="1" applyBorder="1" applyAlignment="1">
      <alignment horizontal="left" vertical="center"/>
    </xf>
    <xf numFmtId="0" fontId="9" fillId="0" borderId="11" xfId="1" applyFont="1" applyBorder="1"/>
    <xf numFmtId="0" fontId="8" fillId="0" borderId="13" xfId="1" applyFont="1" applyBorder="1" applyAlignment="1">
      <alignment horizontal="left" vertical="center"/>
    </xf>
    <xf numFmtId="0" fontId="9" fillId="0" borderId="0" xfId="1" applyFont="1" applyAlignment="1">
      <alignment horizontal="left"/>
    </xf>
    <xf numFmtId="0" fontId="9" fillId="0" borderId="0" xfId="1" applyFont="1"/>
    <xf numFmtId="0" fontId="9" fillId="0" borderId="4" xfId="1" applyFont="1" applyBorder="1"/>
    <xf numFmtId="2" fontId="1" fillId="0" borderId="0" xfId="1" applyNumberFormat="1"/>
    <xf numFmtId="0" fontId="9" fillId="0" borderId="5" xfId="1" applyFont="1" applyBorder="1"/>
    <xf numFmtId="0" fontId="8" fillId="0" borderId="14" xfId="1" applyFont="1" applyBorder="1" applyAlignment="1">
      <alignment horizontal="left" vertical="center"/>
    </xf>
    <xf numFmtId="0" fontId="10" fillId="0" borderId="15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8" fillId="0" borderId="18" xfId="1" applyFont="1" applyBorder="1" applyAlignment="1">
      <alignment horizontal="left" vertical="center"/>
    </xf>
    <xf numFmtId="0" fontId="1" fillId="0" borderId="19" xfId="1" applyBorder="1"/>
    <xf numFmtId="0" fontId="12" fillId="0" borderId="20" xfId="1" applyFont="1" applyBorder="1" applyAlignment="1">
      <alignment horizontal="left"/>
    </xf>
    <xf numFmtId="0" fontId="12" fillId="0" borderId="21" xfId="1" applyFont="1" applyBorder="1" applyAlignment="1">
      <alignment horizontal="left"/>
    </xf>
    <xf numFmtId="0" fontId="1" fillId="0" borderId="22" xfId="1" applyBorder="1"/>
    <xf numFmtId="0" fontId="1" fillId="0" borderId="23" xfId="1" applyBorder="1"/>
    <xf numFmtId="0" fontId="1" fillId="0" borderId="24" xfId="1" applyBorder="1"/>
    <xf numFmtId="0" fontId="1" fillId="0" borderId="25" xfId="1" applyBorder="1"/>
    <xf numFmtId="0" fontId="1" fillId="0" borderId="4" xfId="1" applyBorder="1"/>
    <xf numFmtId="0" fontId="1" fillId="0" borderId="5" xfId="1" applyBorder="1"/>
    <xf numFmtId="0" fontId="1" fillId="0" borderId="26" xfId="1" applyBorder="1"/>
    <xf numFmtId="165" fontId="13" fillId="2" borderId="26" xfId="1" applyNumberFormat="1" applyFont="1" applyFill="1" applyBorder="1" applyAlignment="1">
      <alignment horizontal="center"/>
    </xf>
    <xf numFmtId="165" fontId="13" fillId="2" borderId="27" xfId="1" applyNumberFormat="1" applyFont="1" applyFill="1" applyBorder="1" applyAlignment="1">
      <alignment horizontal="center"/>
    </xf>
    <xf numFmtId="165" fontId="13" fillId="2" borderId="23" xfId="1" applyNumberFormat="1" applyFont="1" applyFill="1" applyBorder="1" applyAlignment="1">
      <alignment horizontal="center"/>
    </xf>
    <xf numFmtId="0" fontId="14" fillId="2" borderId="26" xfId="1" applyFont="1" applyFill="1" applyBorder="1" applyAlignment="1">
      <alignment horizontal="center"/>
    </xf>
    <xf numFmtId="0" fontId="14" fillId="2" borderId="27" xfId="1" applyFont="1" applyFill="1" applyBorder="1" applyAlignment="1">
      <alignment horizontal="center"/>
    </xf>
    <xf numFmtId="0" fontId="14" fillId="2" borderId="23" xfId="1" applyFont="1" applyFill="1" applyBorder="1" applyAlignment="1">
      <alignment horizontal="center"/>
    </xf>
    <xf numFmtId="166" fontId="13" fillId="2" borderId="26" xfId="1" quotePrefix="1" applyNumberFormat="1" applyFont="1" applyFill="1" applyBorder="1" applyAlignment="1">
      <alignment horizontal="center"/>
    </xf>
    <xf numFmtId="166" fontId="13" fillId="2" borderId="23" xfId="1" quotePrefix="1" applyNumberFormat="1" applyFont="1" applyFill="1" applyBorder="1" applyAlignment="1">
      <alignment horizontal="center"/>
    </xf>
    <xf numFmtId="0" fontId="15" fillId="0" borderId="22" xfId="1" applyFont="1" applyBorder="1" applyAlignment="1">
      <alignment vertical="center" wrapText="1"/>
    </xf>
    <xf numFmtId="0" fontId="14" fillId="2" borderId="26" xfId="1" applyFont="1" applyFill="1" applyBorder="1"/>
    <xf numFmtId="0" fontId="14" fillId="2" borderId="27" xfId="1" applyFont="1" applyFill="1" applyBorder="1"/>
    <xf numFmtId="0" fontId="14" fillId="2" borderId="23" xfId="1" applyFont="1" applyFill="1" applyBorder="1"/>
    <xf numFmtId="0" fontId="16" fillId="3" borderId="26" xfId="1" applyFont="1" applyFill="1" applyBorder="1" applyAlignment="1">
      <alignment horizontal="left"/>
    </xf>
    <xf numFmtId="0" fontId="16" fillId="3" borderId="27" xfId="1" applyFont="1" applyFill="1" applyBorder="1" applyAlignment="1">
      <alignment horizontal="left"/>
    </xf>
    <xf numFmtId="0" fontId="16" fillId="3" borderId="23" xfId="1" applyFont="1" applyFill="1" applyBorder="1" applyAlignment="1">
      <alignment horizontal="left"/>
    </xf>
    <xf numFmtId="0" fontId="15" fillId="0" borderId="22" xfId="1" applyFont="1" applyBorder="1" applyAlignment="1">
      <alignment horizontal="left" vertical="center" wrapText="1"/>
    </xf>
    <xf numFmtId="0" fontId="16" fillId="2" borderId="26" xfId="1" applyFont="1" applyFill="1" applyBorder="1" applyAlignment="1">
      <alignment horizontal="center"/>
    </xf>
    <xf numFmtId="0" fontId="16" fillId="2" borderId="27" xfId="1" applyFont="1" applyFill="1" applyBorder="1" applyAlignment="1">
      <alignment horizontal="center"/>
    </xf>
    <xf numFmtId="0" fontId="16" fillId="2" borderId="23" xfId="1" applyFont="1" applyFill="1" applyBorder="1" applyAlignment="1">
      <alignment horizontal="center"/>
    </xf>
    <xf numFmtId="0" fontId="1" fillId="4" borderId="22" xfId="1" applyFill="1" applyBorder="1"/>
    <xf numFmtId="0" fontId="12" fillId="0" borderId="26" xfId="1" applyFont="1" applyBorder="1" applyAlignment="1">
      <alignment horizontal="left"/>
    </xf>
    <xf numFmtId="0" fontId="12" fillId="0" borderId="27" xfId="1" applyFont="1" applyBorder="1" applyAlignment="1">
      <alignment horizontal="left"/>
    </xf>
    <xf numFmtId="0" fontId="12" fillId="0" borderId="23" xfId="1" applyFont="1" applyBorder="1" applyAlignment="1">
      <alignment horizontal="left"/>
    </xf>
    <xf numFmtId="0" fontId="1" fillId="0" borderId="22" xfId="1" applyBorder="1" applyAlignment="1">
      <alignment horizontal="left"/>
    </xf>
    <xf numFmtId="167" fontId="1" fillId="0" borderId="0" xfId="1" applyNumberFormat="1"/>
    <xf numFmtId="0" fontId="1" fillId="0" borderId="28" xfId="1" applyBorder="1"/>
    <xf numFmtId="0" fontId="1" fillId="0" borderId="29" xfId="1" applyBorder="1"/>
    <xf numFmtId="0" fontId="17" fillId="3" borderId="1" xfId="1" applyFont="1" applyFill="1" applyBorder="1" applyAlignment="1">
      <alignment vertical="center" wrapText="1"/>
    </xf>
    <xf numFmtId="0" fontId="17" fillId="3" borderId="2" xfId="1" applyFont="1" applyFill="1" applyBorder="1" applyAlignment="1">
      <alignment vertical="center" wrapText="1"/>
    </xf>
    <xf numFmtId="0" fontId="17" fillId="3" borderId="12" xfId="1" applyFont="1" applyFill="1" applyBorder="1" applyAlignment="1">
      <alignment vertical="center" wrapText="1"/>
    </xf>
    <xf numFmtId="0" fontId="16" fillId="4" borderId="11" xfId="1" quotePrefix="1" applyFont="1" applyFill="1" applyBorder="1" applyAlignment="1">
      <alignment horizontal="center" vertical="center" wrapText="1"/>
    </xf>
    <xf numFmtId="0" fontId="1" fillId="5" borderId="30" xfId="1" applyFill="1" applyBorder="1" applyAlignment="1">
      <alignment horizontal="center"/>
    </xf>
    <xf numFmtId="0" fontId="1" fillId="5" borderId="31" xfId="1" applyFill="1" applyBorder="1" applyAlignment="1">
      <alignment horizontal="center"/>
    </xf>
    <xf numFmtId="0" fontId="1" fillId="5" borderId="32" xfId="1" applyFill="1" applyBorder="1" applyAlignment="1">
      <alignment horizontal="center"/>
    </xf>
    <xf numFmtId="0" fontId="17" fillId="3" borderId="6" xfId="1" applyFont="1" applyFill="1" applyBorder="1" applyAlignment="1">
      <alignment vertical="center" wrapText="1"/>
    </xf>
    <xf numFmtId="0" fontId="17" fillId="3" borderId="7" xfId="1" applyFont="1" applyFill="1" applyBorder="1" applyAlignment="1">
      <alignment vertical="center" wrapText="1"/>
    </xf>
    <xf numFmtId="0" fontId="17" fillId="3" borderId="33" xfId="1" applyFont="1" applyFill="1" applyBorder="1" applyAlignment="1">
      <alignment vertical="center" wrapText="1"/>
    </xf>
    <xf numFmtId="0" fontId="16" fillId="4" borderId="34" xfId="1" applyFont="1" applyFill="1" applyBorder="1" applyAlignment="1">
      <alignment horizontal="center" vertical="center" wrapText="1"/>
    </xf>
    <xf numFmtId="0" fontId="1" fillId="5" borderId="35" xfId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0" fontId="1" fillId="5" borderId="8" xfId="1" applyFill="1" applyBorder="1" applyAlignment="1">
      <alignment horizontal="center"/>
    </xf>
    <xf numFmtId="167" fontId="1" fillId="0" borderId="0" xfId="1" applyNumberFormat="1" applyAlignment="1">
      <alignment vertical="center"/>
    </xf>
    <xf numFmtId="0" fontId="19" fillId="0" borderId="26" xfId="1" applyFont="1" applyBorder="1"/>
    <xf numFmtId="0" fontId="16" fillId="0" borderId="22" xfId="1" quotePrefix="1" applyFont="1" applyBorder="1" applyAlignment="1">
      <alignment horizontal="center"/>
    </xf>
    <xf numFmtId="167" fontId="16" fillId="2" borderId="26" xfId="1" applyNumberFormat="1" applyFont="1" applyFill="1" applyBorder="1" applyAlignment="1">
      <alignment horizontal="center"/>
    </xf>
    <xf numFmtId="167" fontId="16" fillId="2" borderId="27" xfId="1" applyNumberFormat="1" applyFont="1" applyFill="1" applyBorder="1" applyAlignment="1">
      <alignment horizontal="center"/>
    </xf>
    <xf numFmtId="167" fontId="16" fillId="2" borderId="23" xfId="1" applyNumberFormat="1" applyFont="1" applyFill="1" applyBorder="1" applyAlignment="1">
      <alignment horizontal="center"/>
    </xf>
    <xf numFmtId="0" fontId="16" fillId="3" borderId="26" xfId="1" applyFont="1" applyFill="1" applyBorder="1"/>
    <xf numFmtId="0" fontId="16" fillId="3" borderId="23" xfId="1" applyFont="1" applyFill="1" applyBorder="1"/>
    <xf numFmtId="0" fontId="1" fillId="3" borderId="22" xfId="1" applyFill="1" applyBorder="1"/>
    <xf numFmtId="0" fontId="1" fillId="0" borderId="22" xfId="1" quotePrefix="1" applyBorder="1" applyAlignment="1">
      <alignment horizontal="center"/>
    </xf>
    <xf numFmtId="0" fontId="12" fillId="0" borderId="26" xfId="1" applyFont="1" applyBorder="1" applyAlignment="1">
      <alignment horizontal="left"/>
    </xf>
    <xf numFmtId="0" fontId="12" fillId="0" borderId="27" xfId="1" applyFont="1" applyBorder="1" applyAlignment="1">
      <alignment horizontal="left"/>
    </xf>
    <xf numFmtId="0" fontId="12" fillId="0" borderId="23" xfId="1" applyFont="1" applyBorder="1" applyAlignment="1">
      <alignment horizontal="left"/>
    </xf>
    <xf numFmtId="0" fontId="20" fillId="0" borderId="22" xfId="1" applyFont="1" applyBorder="1"/>
    <xf numFmtId="0" fontId="14" fillId="2" borderId="26" xfId="1" applyFont="1" applyFill="1" applyBorder="1" applyAlignment="1">
      <alignment horizontal="left"/>
    </xf>
    <xf numFmtId="0" fontId="14" fillId="2" borderId="27" xfId="1" applyFont="1" applyFill="1" applyBorder="1" applyAlignment="1">
      <alignment horizontal="left"/>
    </xf>
    <xf numFmtId="0" fontId="1" fillId="0" borderId="27" xfId="1" applyBorder="1" applyAlignment="1">
      <alignment horizontal="left"/>
    </xf>
    <xf numFmtId="0" fontId="1" fillId="0" borderId="23" xfId="1" applyBorder="1" applyAlignment="1">
      <alignment horizontal="left"/>
    </xf>
    <xf numFmtId="0" fontId="16" fillId="0" borderId="22" xfId="1" applyFont="1" applyBorder="1" applyAlignment="1">
      <alignment horizontal="center"/>
    </xf>
    <xf numFmtId="0" fontId="1" fillId="0" borderId="36" xfId="1" applyBorder="1"/>
    <xf numFmtId="0" fontId="1" fillId="0" borderId="7" xfId="1" applyBorder="1"/>
    <xf numFmtId="0" fontId="17" fillId="2" borderId="26" xfId="1" applyFont="1" applyFill="1" applyBorder="1" applyAlignment="1">
      <alignment horizontal="center"/>
    </xf>
    <xf numFmtId="0" fontId="17" fillId="2" borderId="27" xfId="1" applyFont="1" applyFill="1" applyBorder="1" applyAlignment="1">
      <alignment horizontal="center"/>
    </xf>
    <xf numFmtId="0" fontId="1" fillId="0" borderId="6" xfId="1" applyBorder="1"/>
    <xf numFmtId="0" fontId="1" fillId="0" borderId="8" xfId="1" applyBorder="1"/>
    <xf numFmtId="0" fontId="21" fillId="3" borderId="26" xfId="1" applyFont="1" applyFill="1" applyBorder="1"/>
    <xf numFmtId="0" fontId="21" fillId="3" borderId="23" xfId="1" applyFont="1" applyFill="1" applyBorder="1"/>
    <xf numFmtId="0" fontId="14" fillId="0" borderId="22" xfId="1" applyFont="1" applyBorder="1"/>
    <xf numFmtId="2" fontId="16" fillId="2" borderId="26" xfId="1" applyNumberFormat="1" applyFont="1" applyFill="1" applyBorder="1" applyAlignment="1">
      <alignment horizontal="center"/>
    </xf>
    <xf numFmtId="2" fontId="16" fillId="2" borderId="27" xfId="1" applyNumberFormat="1" applyFont="1" applyFill="1" applyBorder="1" applyAlignment="1">
      <alignment horizontal="center"/>
    </xf>
    <xf numFmtId="2" fontId="16" fillId="2" borderId="23" xfId="1" applyNumberFormat="1" applyFont="1" applyFill="1" applyBorder="1" applyAlignment="1">
      <alignment horizontal="center"/>
    </xf>
    <xf numFmtId="0" fontId="16" fillId="3" borderId="26" xfId="1" applyFont="1" applyFill="1" applyBorder="1" applyAlignment="1">
      <alignment horizontal="center"/>
    </xf>
    <xf numFmtId="0" fontId="16" fillId="3" borderId="27" xfId="1" applyFont="1" applyFill="1" applyBorder="1" applyAlignment="1">
      <alignment horizontal="center"/>
    </xf>
    <xf numFmtId="0" fontId="16" fillId="3" borderId="23" xfId="1" applyFont="1" applyFill="1" applyBorder="1" applyAlignment="1">
      <alignment horizontal="center"/>
    </xf>
    <xf numFmtId="0" fontId="16" fillId="0" borderId="0" xfId="1" applyFont="1"/>
    <xf numFmtId="167" fontId="14" fillId="2" borderId="26" xfId="1" applyNumberFormat="1" applyFont="1" applyFill="1" applyBorder="1" applyAlignment="1">
      <alignment horizontal="center"/>
    </xf>
    <xf numFmtId="0" fontId="14" fillId="3" borderId="26" xfId="1" applyFont="1" applyFill="1" applyBorder="1" applyAlignment="1">
      <alignment horizontal="center"/>
    </xf>
    <xf numFmtId="0" fontId="14" fillId="3" borderId="27" xfId="1" applyFont="1" applyFill="1" applyBorder="1" applyAlignment="1">
      <alignment horizontal="center"/>
    </xf>
    <xf numFmtId="0" fontId="14" fillId="3" borderId="23" xfId="1" applyFont="1" applyFill="1" applyBorder="1" applyAlignment="1">
      <alignment horizontal="center"/>
    </xf>
    <xf numFmtId="0" fontId="14" fillId="0" borderId="24" xfId="1" applyFont="1" applyBorder="1"/>
    <xf numFmtId="0" fontId="1" fillId="6" borderId="22" xfId="1" applyFill="1" applyBorder="1"/>
    <xf numFmtId="0" fontId="22" fillId="7" borderId="37" xfId="1" applyFont="1" applyFill="1" applyBorder="1" applyAlignment="1">
      <alignment horizontal="center"/>
    </xf>
    <xf numFmtId="168" fontId="16" fillId="2" borderId="26" xfId="1" applyNumberFormat="1" applyFont="1" applyFill="1" applyBorder="1" applyAlignment="1">
      <alignment horizontal="center"/>
    </xf>
    <xf numFmtId="168" fontId="16" fillId="2" borderId="27" xfId="1" applyNumberFormat="1" applyFont="1" applyFill="1" applyBorder="1" applyAlignment="1">
      <alignment horizontal="center"/>
    </xf>
    <xf numFmtId="168" fontId="16" fillId="2" borderId="23" xfId="1" applyNumberFormat="1" applyFont="1" applyFill="1" applyBorder="1" applyAlignment="1">
      <alignment horizontal="center"/>
    </xf>
    <xf numFmtId="0" fontId="14" fillId="3" borderId="26" xfId="1" applyFont="1" applyFill="1" applyBorder="1"/>
    <xf numFmtId="0" fontId="14" fillId="3" borderId="23" xfId="1" applyFont="1" applyFill="1" applyBorder="1"/>
    <xf numFmtId="0" fontId="17" fillId="2" borderId="26" xfId="1" quotePrefix="1" applyFont="1" applyFill="1" applyBorder="1" applyAlignment="1">
      <alignment horizontal="center"/>
    </xf>
    <xf numFmtId="0" fontId="17" fillId="2" borderId="23" xfId="1" applyFont="1" applyFill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23" xfId="1" applyFont="1" applyBorder="1" applyAlignment="1">
      <alignment horizontal="center"/>
    </xf>
    <xf numFmtId="0" fontId="26" fillId="2" borderId="38" xfId="1" applyFont="1" applyFill="1" applyBorder="1" applyAlignment="1">
      <alignment horizontal="center" vertical="center" wrapText="1"/>
    </xf>
    <xf numFmtId="0" fontId="26" fillId="2" borderId="39" xfId="1" applyFont="1" applyFill="1" applyBorder="1" applyAlignment="1">
      <alignment horizontal="center" vertical="center" wrapText="1"/>
    </xf>
    <xf numFmtId="0" fontId="26" fillId="2" borderId="40" xfId="1" applyFont="1" applyFill="1" applyBorder="1" applyAlignment="1">
      <alignment horizontal="center" vertical="center" wrapText="1"/>
    </xf>
    <xf numFmtId="0" fontId="26" fillId="2" borderId="41" xfId="1" applyFont="1" applyFill="1" applyBorder="1" applyAlignment="1">
      <alignment horizontal="center" vertical="center" wrapText="1"/>
    </xf>
    <xf numFmtId="0" fontId="26" fillId="2" borderId="42" xfId="1" applyFont="1" applyFill="1" applyBorder="1" applyAlignment="1">
      <alignment horizontal="center" vertical="center" wrapText="1"/>
    </xf>
    <xf numFmtId="0" fontId="26" fillId="2" borderId="43" xfId="1" applyFont="1" applyFill="1" applyBorder="1" applyAlignment="1">
      <alignment horizontal="center" vertical="center" wrapText="1"/>
    </xf>
    <xf numFmtId="0" fontId="16" fillId="3" borderId="26" xfId="1" applyFont="1" applyFill="1" applyBorder="1" applyAlignment="1">
      <alignment horizontal="left"/>
    </xf>
    <xf numFmtId="0" fontId="16" fillId="3" borderId="27" xfId="1" applyFont="1" applyFill="1" applyBorder="1" applyAlignment="1">
      <alignment horizontal="center"/>
    </xf>
    <xf numFmtId="0" fontId="16" fillId="3" borderId="23" xfId="1" applyFont="1" applyFill="1" applyBorder="1" applyAlignment="1">
      <alignment horizontal="center"/>
    </xf>
    <xf numFmtId="0" fontId="16" fillId="3" borderId="26" xfId="1" applyFont="1" applyFill="1" applyBorder="1" applyAlignment="1">
      <alignment horizontal="center"/>
    </xf>
    <xf numFmtId="0" fontId="14" fillId="2" borderId="26" xfId="2" applyFont="1" applyFill="1" applyBorder="1" applyAlignment="1">
      <alignment horizontal="center"/>
    </xf>
    <xf numFmtId="0" fontId="14" fillId="2" borderId="27" xfId="2" applyFont="1" applyFill="1" applyBorder="1" applyAlignment="1">
      <alignment horizontal="center"/>
    </xf>
    <xf numFmtId="0" fontId="14" fillId="2" borderId="23" xfId="2" applyFont="1" applyFill="1" applyBorder="1" applyAlignment="1">
      <alignment horizontal="center"/>
    </xf>
    <xf numFmtId="0" fontId="14" fillId="0" borderId="0" xfId="1" applyFont="1"/>
    <xf numFmtId="0" fontId="29" fillId="3" borderId="26" xfId="1" applyFont="1" applyFill="1" applyBorder="1" applyAlignment="1">
      <alignment horizontal="center"/>
    </xf>
    <xf numFmtId="0" fontId="29" fillId="3" borderId="27" xfId="1" applyFont="1" applyFill="1" applyBorder="1" applyAlignment="1">
      <alignment horizontal="center"/>
    </xf>
    <xf numFmtId="0" fontId="29" fillId="3" borderId="23" xfId="1" applyFont="1" applyFill="1" applyBorder="1" applyAlignment="1">
      <alignment horizontal="center"/>
    </xf>
    <xf numFmtId="0" fontId="13" fillId="2" borderId="26" xfId="1" applyFont="1" applyFill="1" applyBorder="1" applyAlignment="1">
      <alignment horizontal="center"/>
    </xf>
    <xf numFmtId="0" fontId="13" fillId="2" borderId="27" xfId="1" applyFont="1" applyFill="1" applyBorder="1" applyAlignment="1">
      <alignment horizontal="center"/>
    </xf>
    <xf numFmtId="0" fontId="13" fillId="2" borderId="23" xfId="1" applyFont="1" applyFill="1" applyBorder="1" applyAlignment="1">
      <alignment horizontal="center"/>
    </xf>
    <xf numFmtId="0" fontId="13" fillId="0" borderId="26" xfId="1" applyFont="1" applyBorder="1" applyAlignment="1">
      <alignment horizontal="center"/>
    </xf>
    <xf numFmtId="0" fontId="13" fillId="0" borderId="27" xfId="1" applyFont="1" applyBorder="1" applyAlignment="1">
      <alignment horizontal="center"/>
    </xf>
    <xf numFmtId="0" fontId="13" fillId="0" borderId="39" xfId="1" applyFont="1" applyBorder="1" applyAlignment="1">
      <alignment horizontal="center"/>
    </xf>
    <xf numFmtId="0" fontId="13" fillId="0" borderId="40" xfId="1" applyFont="1" applyBorder="1" applyAlignment="1">
      <alignment horizontal="center"/>
    </xf>
    <xf numFmtId="0" fontId="16" fillId="0" borderId="38" xfId="1" applyFont="1" applyBorder="1" applyAlignment="1">
      <alignment horizontal="center"/>
    </xf>
    <xf numFmtId="0" fontId="16" fillId="0" borderId="39" xfId="1" applyFont="1" applyBorder="1" applyAlignment="1">
      <alignment horizontal="center"/>
    </xf>
    <xf numFmtId="0" fontId="16" fillId="0" borderId="40" xfId="1" applyFont="1" applyBorder="1" applyAlignment="1">
      <alignment horizontal="center"/>
    </xf>
    <xf numFmtId="0" fontId="17" fillId="0" borderId="22" xfId="1" applyFont="1" applyBorder="1"/>
    <xf numFmtId="0" fontId="1" fillId="3" borderId="26" xfId="1" applyFill="1" applyBorder="1" applyAlignment="1">
      <alignment horizontal="left"/>
    </xf>
    <xf numFmtId="0" fontId="1" fillId="3" borderId="27" xfId="1" applyFill="1" applyBorder="1" applyAlignment="1">
      <alignment horizontal="left"/>
    </xf>
    <xf numFmtId="0" fontId="1" fillId="3" borderId="23" xfId="1" applyFill="1" applyBorder="1" applyAlignment="1">
      <alignment horizontal="left"/>
    </xf>
    <xf numFmtId="0" fontId="22" fillId="7" borderId="44" xfId="1" applyFont="1" applyFill="1" applyBorder="1" applyAlignment="1">
      <alignment horizontal="center"/>
    </xf>
    <xf numFmtId="1" fontId="17" fillId="2" borderId="26" xfId="1" applyNumberFormat="1" applyFont="1" applyFill="1" applyBorder="1" applyAlignment="1">
      <alignment horizontal="center"/>
    </xf>
    <xf numFmtId="1" fontId="17" fillId="2" borderId="27" xfId="1" applyNumberFormat="1" applyFont="1" applyFill="1" applyBorder="1" applyAlignment="1">
      <alignment horizontal="center"/>
    </xf>
    <xf numFmtId="1" fontId="17" fillId="2" borderId="23" xfId="1" applyNumberFormat="1" applyFont="1" applyFill="1" applyBorder="1" applyAlignment="1">
      <alignment horizontal="center"/>
    </xf>
    <xf numFmtId="0" fontId="1" fillId="3" borderId="26" xfId="1" applyFill="1" applyBorder="1" applyAlignment="1">
      <alignment horizontal="left"/>
    </xf>
    <xf numFmtId="0" fontId="1" fillId="3" borderId="27" xfId="1" applyFill="1" applyBorder="1" applyAlignment="1">
      <alignment horizontal="left"/>
    </xf>
    <xf numFmtId="0" fontId="1" fillId="3" borderId="23" xfId="1" applyFill="1" applyBorder="1" applyAlignment="1">
      <alignment horizontal="left"/>
    </xf>
    <xf numFmtId="0" fontId="1" fillId="0" borderId="27" xfId="1" applyBorder="1"/>
    <xf numFmtId="0" fontId="12" fillId="0" borderId="26" xfId="1" applyFont="1" applyBorder="1"/>
    <xf numFmtId="0" fontId="30" fillId="0" borderId="45" xfId="1" applyFont="1" applyBorder="1" applyAlignment="1">
      <alignment horizontal="left" vertical="center" wrapText="1"/>
    </xf>
    <xf numFmtId="0" fontId="30" fillId="0" borderId="0" xfId="1" applyFont="1" applyAlignment="1">
      <alignment horizontal="left" vertical="center" wrapText="1"/>
    </xf>
    <xf numFmtId="0" fontId="30" fillId="0" borderId="46" xfId="1" applyFont="1" applyBorder="1" applyAlignment="1">
      <alignment horizontal="left" vertical="center" wrapText="1"/>
    </xf>
    <xf numFmtId="0" fontId="1" fillId="0" borderId="47" xfId="1" applyBorder="1"/>
    <xf numFmtId="167" fontId="16" fillId="0" borderId="22" xfId="1" applyNumberFormat="1" applyFont="1" applyBorder="1" applyAlignment="1">
      <alignment horizontal="center"/>
    </xf>
    <xf numFmtId="0" fontId="16" fillId="0" borderId="22" xfId="1" applyFont="1" applyBorder="1"/>
    <xf numFmtId="167" fontId="31" fillId="0" borderId="22" xfId="1" applyNumberFormat="1" applyFont="1" applyBorder="1" applyAlignment="1">
      <alignment horizontal="left"/>
    </xf>
    <xf numFmtId="167" fontId="32" fillId="0" borderId="22" xfId="1" applyNumberFormat="1" applyFont="1" applyBorder="1" applyAlignment="1">
      <alignment horizontal="left"/>
    </xf>
    <xf numFmtId="167" fontId="16" fillId="0" borderId="22" xfId="1" quotePrefix="1" applyNumberFormat="1" applyFont="1" applyBorder="1" applyAlignment="1">
      <alignment horizontal="center"/>
    </xf>
    <xf numFmtId="0" fontId="16" fillId="3" borderId="41" xfId="1" applyFont="1" applyFill="1" applyBorder="1"/>
    <xf numFmtId="0" fontId="16" fillId="3" borderId="43" xfId="1" applyFont="1" applyFill="1" applyBorder="1"/>
    <xf numFmtId="0" fontId="1" fillId="3" borderId="24" xfId="1" applyFill="1" applyBorder="1"/>
    <xf numFmtId="0" fontId="16" fillId="0" borderId="22" xfId="1" applyFont="1" applyBorder="1" applyAlignment="1">
      <alignment horizontal="right"/>
    </xf>
    <xf numFmtId="0" fontId="1" fillId="0" borderId="26" xfId="1" quotePrefix="1" applyBorder="1" applyAlignment="1">
      <alignment horizontal="center"/>
    </xf>
    <xf numFmtId="0" fontId="33" fillId="0" borderId="39" xfId="1" applyFont="1" applyBorder="1"/>
    <xf numFmtId="0" fontId="34" fillId="0" borderId="39" xfId="1" applyFont="1" applyBorder="1"/>
    <xf numFmtId="2" fontId="16" fillId="2" borderId="41" xfId="1" applyNumberFormat="1" applyFont="1" applyFill="1" applyBorder="1"/>
    <xf numFmtId="167" fontId="16" fillId="2" borderId="42" xfId="1" applyNumberFormat="1" applyFont="1" applyFill="1" applyBorder="1"/>
    <xf numFmtId="167" fontId="16" fillId="2" borderId="43" xfId="1" applyNumberFormat="1" applyFont="1" applyFill="1" applyBorder="1"/>
    <xf numFmtId="0" fontId="32" fillId="0" borderId="22" xfId="1" applyFont="1" applyBorder="1" applyAlignment="1">
      <alignment horizontal="right"/>
    </xf>
    <xf numFmtId="167" fontId="16" fillId="0" borderId="26" xfId="1" applyNumberFormat="1" applyFont="1" applyBorder="1" applyAlignment="1">
      <alignment horizontal="center"/>
    </xf>
    <xf numFmtId="167" fontId="16" fillId="0" borderId="27" xfId="1" applyNumberFormat="1" applyFont="1" applyBorder="1" applyAlignment="1">
      <alignment horizontal="center"/>
    </xf>
    <xf numFmtId="167" fontId="16" fillId="0" borderId="23" xfId="1" applyNumberFormat="1" applyFont="1" applyBorder="1" applyAlignment="1">
      <alignment horizontal="center"/>
    </xf>
    <xf numFmtId="0" fontId="16" fillId="0" borderId="26" xfId="1" applyFont="1" applyBorder="1"/>
    <xf numFmtId="169" fontId="16" fillId="2" borderId="26" xfId="3" applyNumberFormat="1" applyFont="1" applyFill="1" applyBorder="1" applyAlignment="1">
      <alignment horizontal="center"/>
    </xf>
    <xf numFmtId="169" fontId="16" fillId="2" borderId="27" xfId="3" applyNumberFormat="1" applyFont="1" applyFill="1" applyBorder="1" applyAlignment="1">
      <alignment horizontal="center"/>
    </xf>
    <xf numFmtId="169" fontId="16" fillId="2" borderId="23" xfId="3" applyNumberFormat="1" applyFont="1" applyFill="1" applyBorder="1" applyAlignment="1">
      <alignment horizontal="center"/>
    </xf>
    <xf numFmtId="0" fontId="16" fillId="3" borderId="22" xfId="1" applyFont="1" applyFill="1" applyBorder="1" applyAlignment="1">
      <alignment horizontal="left"/>
    </xf>
    <xf numFmtId="0" fontId="16" fillId="3" borderId="22" xfId="1" applyFont="1" applyFill="1" applyBorder="1" applyAlignment="1">
      <alignment horizontal="right"/>
    </xf>
    <xf numFmtId="0" fontId="35" fillId="2" borderId="26" xfId="1" applyFont="1" applyFill="1" applyBorder="1" applyAlignment="1">
      <alignment horizontal="right"/>
    </xf>
    <xf numFmtId="0" fontId="35" fillId="2" borderId="27" xfId="1" applyFont="1" applyFill="1" applyBorder="1" applyAlignment="1">
      <alignment horizontal="right"/>
    </xf>
    <xf numFmtId="0" fontId="35" fillId="2" borderId="23" xfId="1" applyFont="1" applyFill="1" applyBorder="1" applyAlignment="1">
      <alignment horizontal="right"/>
    </xf>
    <xf numFmtId="0" fontId="1" fillId="2" borderId="22" xfId="1" quotePrefix="1" applyFill="1" applyBorder="1"/>
    <xf numFmtId="0" fontId="36" fillId="3" borderId="26" xfId="1" applyFont="1" applyFill="1" applyBorder="1"/>
    <xf numFmtId="0" fontId="16" fillId="3" borderId="27" xfId="1" applyFont="1" applyFill="1" applyBorder="1"/>
    <xf numFmtId="0" fontId="37" fillId="8" borderId="26" xfId="1" applyFont="1" applyFill="1" applyBorder="1" applyAlignment="1">
      <alignment horizontal="center"/>
    </xf>
    <xf numFmtId="0" fontId="37" fillId="8" borderId="27" xfId="1" applyFont="1" applyFill="1" applyBorder="1" applyAlignment="1">
      <alignment horizontal="center"/>
    </xf>
    <xf numFmtId="0" fontId="37" fillId="8" borderId="23" xfId="1" applyFont="1" applyFill="1" applyBorder="1" applyAlignment="1">
      <alignment horizontal="center"/>
    </xf>
    <xf numFmtId="0" fontId="1" fillId="0" borderId="48" xfId="1" applyBorder="1"/>
    <xf numFmtId="2" fontId="14" fillId="9" borderId="49" xfId="1" applyNumberFormat="1" applyFont="1" applyFill="1" applyBorder="1" applyAlignment="1">
      <alignment horizontal="center"/>
    </xf>
    <xf numFmtId="2" fontId="14" fillId="9" borderId="50" xfId="1" applyNumberFormat="1" applyFont="1" applyFill="1" applyBorder="1" applyAlignment="1">
      <alignment horizontal="center"/>
    </xf>
    <xf numFmtId="2" fontId="14" fillId="9" borderId="51" xfId="1" applyNumberFormat="1" applyFont="1" applyFill="1" applyBorder="1" applyAlignment="1">
      <alignment horizontal="center"/>
    </xf>
    <xf numFmtId="2" fontId="22" fillId="10" borderId="52" xfId="1" applyNumberFormat="1" applyFont="1" applyFill="1" applyBorder="1" applyAlignment="1">
      <alignment vertical="center" wrapText="1"/>
    </xf>
    <xf numFmtId="167" fontId="22" fillId="10" borderId="53" xfId="1" applyNumberFormat="1" applyFont="1" applyFill="1" applyBorder="1" applyAlignment="1">
      <alignment vertical="center" wrapText="1"/>
    </xf>
    <xf numFmtId="0" fontId="22" fillId="10" borderId="53" xfId="1" applyFont="1" applyFill="1" applyBorder="1"/>
    <xf numFmtId="0" fontId="38" fillId="10" borderId="53" xfId="1" applyFont="1" applyFill="1" applyBorder="1"/>
    <xf numFmtId="0" fontId="38" fillId="10" borderId="54" xfId="1" applyFont="1" applyFill="1" applyBorder="1"/>
    <xf numFmtId="0" fontId="13" fillId="2" borderId="26" xfId="1" applyFont="1" applyFill="1" applyBorder="1"/>
    <xf numFmtId="0" fontId="13" fillId="2" borderId="27" xfId="1" applyFont="1" applyFill="1" applyBorder="1"/>
    <xf numFmtId="0" fontId="13" fillId="2" borderId="23" xfId="1" applyFont="1" applyFill="1" applyBorder="1"/>
    <xf numFmtId="0" fontId="16" fillId="3" borderId="23" xfId="1" applyFont="1" applyFill="1" applyBorder="1" applyAlignment="1">
      <alignment horizontal="left"/>
    </xf>
    <xf numFmtId="0" fontId="1" fillId="3" borderId="22" xfId="1" applyFill="1" applyBorder="1" applyAlignment="1">
      <alignment horizontal="left"/>
    </xf>
    <xf numFmtId="0" fontId="1" fillId="0" borderId="26" xfId="1" applyBorder="1" applyAlignment="1">
      <alignment vertical="center"/>
    </xf>
    <xf numFmtId="0" fontId="1" fillId="0" borderId="27" xfId="1" applyBorder="1" applyAlignment="1">
      <alignment vertical="center" wrapText="1"/>
    </xf>
    <xf numFmtId="0" fontId="39" fillId="2" borderId="26" xfId="1" applyFont="1" applyFill="1" applyBorder="1" applyAlignment="1">
      <alignment horizontal="center"/>
    </xf>
    <xf numFmtId="0" fontId="39" fillId="2" borderId="27" xfId="1" applyFont="1" applyFill="1" applyBorder="1" applyAlignment="1">
      <alignment horizontal="center"/>
    </xf>
    <xf numFmtId="0" fontId="39" fillId="2" borderId="23" xfId="1" applyFont="1" applyFill="1" applyBorder="1" applyAlignment="1">
      <alignment horizontal="center"/>
    </xf>
    <xf numFmtId="0" fontId="41" fillId="3" borderId="26" xfId="1" applyFont="1" applyFill="1" applyBorder="1" applyAlignment="1">
      <alignment horizontal="left"/>
    </xf>
    <xf numFmtId="0" fontId="41" fillId="3" borderId="27" xfId="1" applyFont="1" applyFill="1" applyBorder="1" applyAlignment="1">
      <alignment horizontal="left"/>
    </xf>
    <xf numFmtId="0" fontId="41" fillId="3" borderId="23" xfId="1" applyFont="1" applyFill="1" applyBorder="1" applyAlignment="1">
      <alignment horizontal="left"/>
    </xf>
    <xf numFmtId="0" fontId="1" fillId="4" borderId="11" xfId="1" quotePrefix="1" applyFill="1" applyBorder="1" applyAlignment="1">
      <alignment horizontal="center" vertical="center" wrapText="1"/>
    </xf>
    <xf numFmtId="0" fontId="1" fillId="4" borderId="34" xfId="1" applyFill="1" applyBorder="1" applyAlignment="1">
      <alignment horizontal="center" vertical="center" wrapText="1"/>
    </xf>
    <xf numFmtId="0" fontId="1" fillId="0" borderId="55" xfId="1" applyBorder="1"/>
    <xf numFmtId="0" fontId="1" fillId="0" borderId="24" xfId="1" applyBorder="1" applyAlignment="1">
      <alignment vertical="center" wrapText="1"/>
    </xf>
    <xf numFmtId="0" fontId="1" fillId="0" borderId="24" xfId="1" applyBorder="1" applyAlignment="1">
      <alignment horizontal="center"/>
    </xf>
    <xf numFmtId="0" fontId="1" fillId="0" borderId="56" xfId="1" applyBorder="1"/>
    <xf numFmtId="0" fontId="1" fillId="0" borderId="22" xfId="1" applyBorder="1" applyAlignment="1">
      <alignment vertical="center" wrapText="1"/>
    </xf>
    <xf numFmtId="0" fontId="16" fillId="0" borderId="22" xfId="1" applyFont="1" applyBorder="1" applyAlignment="1">
      <alignment vertical="center" wrapText="1"/>
    </xf>
    <xf numFmtId="0" fontId="16" fillId="0" borderId="22" xfId="1" quotePrefix="1" applyFont="1" applyBorder="1" applyAlignment="1">
      <alignment vertical="center" wrapText="1"/>
    </xf>
    <xf numFmtId="0" fontId="16" fillId="0" borderId="22" xfId="1" quotePrefix="1" applyFont="1" applyBorder="1" applyAlignment="1">
      <alignment horizontal="center" vertical="center" wrapText="1"/>
    </xf>
    <xf numFmtId="0" fontId="1" fillId="0" borderId="28" xfId="1" applyBorder="1" applyAlignment="1">
      <alignment vertical="center" wrapText="1"/>
    </xf>
    <xf numFmtId="0" fontId="1" fillId="0" borderId="28" xfId="1" applyBorder="1" applyAlignment="1">
      <alignment horizontal="center"/>
    </xf>
    <xf numFmtId="0" fontId="1" fillId="0" borderId="57" xfId="1" applyBorder="1"/>
    <xf numFmtId="0" fontId="16" fillId="3" borderId="1" xfId="1" applyFont="1" applyFill="1" applyBorder="1" applyAlignment="1">
      <alignment vertical="center" wrapText="1"/>
    </xf>
    <xf numFmtId="0" fontId="16" fillId="3" borderId="2" xfId="1" applyFont="1" applyFill="1" applyBorder="1" applyAlignment="1">
      <alignment vertical="center" wrapText="1"/>
    </xf>
    <xf numFmtId="0" fontId="16" fillId="3" borderId="12" xfId="1" applyFont="1" applyFill="1" applyBorder="1" applyAlignment="1">
      <alignment vertical="center" wrapText="1"/>
    </xf>
    <xf numFmtId="0" fontId="1" fillId="5" borderId="58" xfId="1" applyFill="1" applyBorder="1" applyAlignment="1">
      <alignment horizontal="center"/>
    </xf>
    <xf numFmtId="0" fontId="1" fillId="5" borderId="59" xfId="1" applyFill="1" applyBorder="1"/>
    <xf numFmtId="0" fontId="1" fillId="5" borderId="60" xfId="1" applyFill="1" applyBorder="1"/>
    <xf numFmtId="0" fontId="13" fillId="0" borderId="61" xfId="1" applyFont="1" applyBorder="1"/>
    <xf numFmtId="0" fontId="13" fillId="0" borderId="62" xfId="1" applyFont="1" applyBorder="1"/>
    <xf numFmtId="0" fontId="13" fillId="0" borderId="62" xfId="1" applyFont="1" applyBorder="1" applyAlignment="1">
      <alignment horizontal="right"/>
    </xf>
    <xf numFmtId="0" fontId="13" fillId="5" borderId="63" xfId="1" applyFont="1" applyFill="1" applyBorder="1" applyAlignment="1">
      <alignment horizontal="center"/>
    </xf>
    <xf numFmtId="0" fontId="13" fillId="5" borderId="64" xfId="1" applyFont="1" applyFill="1" applyBorder="1" applyAlignment="1">
      <alignment horizontal="center"/>
    </xf>
    <xf numFmtId="0" fontId="13" fillId="0" borderId="65" xfId="1" applyFont="1" applyBorder="1"/>
    <xf numFmtId="0" fontId="16" fillId="3" borderId="6" xfId="1" applyFont="1" applyFill="1" applyBorder="1" applyAlignment="1">
      <alignment vertical="center" wrapText="1"/>
    </xf>
    <xf numFmtId="0" fontId="16" fillId="3" borderId="7" xfId="1" applyFont="1" applyFill="1" applyBorder="1" applyAlignment="1">
      <alignment vertical="center" wrapText="1"/>
    </xf>
    <xf numFmtId="0" fontId="16" fillId="3" borderId="33" xfId="1" applyFont="1" applyFill="1" applyBorder="1" applyAlignment="1">
      <alignment vertical="center" wrapText="1"/>
    </xf>
    <xf numFmtId="0" fontId="1" fillId="5" borderId="66" xfId="1" applyFill="1" applyBorder="1" applyAlignment="1">
      <alignment horizontal="left"/>
    </xf>
    <xf numFmtId="0" fontId="1" fillId="5" borderId="67" xfId="1" applyFill="1" applyBorder="1" applyAlignment="1">
      <alignment horizontal="left"/>
    </xf>
    <xf numFmtId="0" fontId="1" fillId="0" borderId="19" xfId="1" applyBorder="1" applyAlignment="1">
      <alignment horizontal="left"/>
    </xf>
    <xf numFmtId="0" fontId="1" fillId="0" borderId="24" xfId="1" applyBorder="1" applyAlignment="1">
      <alignment horizontal="left" vertical="center" wrapText="1"/>
    </xf>
    <xf numFmtId="0" fontId="1" fillId="0" borderId="24" xfId="1" applyBorder="1" applyAlignment="1">
      <alignment horizontal="left"/>
    </xf>
    <xf numFmtId="0" fontId="1" fillId="0" borderId="25" xfId="1" applyBorder="1" applyAlignment="1">
      <alignment horizontal="left"/>
    </xf>
    <xf numFmtId="0" fontId="1" fillId="0" borderId="55" xfId="1" applyBorder="1" applyAlignment="1">
      <alignment horizontal="left"/>
    </xf>
    <xf numFmtId="0" fontId="1" fillId="0" borderId="22" xfId="1" applyBorder="1" applyAlignment="1">
      <alignment horizontal="left" vertical="center" wrapText="1"/>
    </xf>
    <xf numFmtId="2" fontId="16" fillId="2" borderId="26" xfId="1" applyNumberFormat="1" applyFont="1" applyFill="1" applyBorder="1"/>
    <xf numFmtId="2" fontId="16" fillId="2" borderId="27" xfId="1" applyNumberFormat="1" applyFont="1" applyFill="1" applyBorder="1"/>
    <xf numFmtId="0" fontId="1" fillId="0" borderId="47" xfId="1" applyBorder="1" applyAlignment="1">
      <alignment horizontal="left"/>
    </xf>
    <xf numFmtId="0" fontId="1" fillId="0" borderId="28" xfId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7" fillId="3" borderId="2" xfId="1" applyFont="1" applyFill="1" applyBorder="1" applyAlignment="1">
      <alignment vertical="center"/>
    </xf>
    <xf numFmtId="0" fontId="17" fillId="3" borderId="12" xfId="1" applyFont="1" applyFill="1" applyBorder="1" applyAlignment="1">
      <alignment vertical="center"/>
    </xf>
    <xf numFmtId="0" fontId="1" fillId="4" borderId="11" xfId="1" quotePrefix="1" applyFill="1" applyBorder="1" applyAlignment="1">
      <alignment horizontal="center" vertical="center"/>
    </xf>
    <xf numFmtId="0" fontId="17" fillId="3" borderId="6" xfId="1" applyFont="1" applyFill="1" applyBorder="1" applyAlignment="1">
      <alignment vertical="center"/>
    </xf>
    <xf numFmtId="0" fontId="17" fillId="3" borderId="7" xfId="1" applyFont="1" applyFill="1" applyBorder="1" applyAlignment="1">
      <alignment vertical="center"/>
    </xf>
    <xf numFmtId="0" fontId="17" fillId="3" borderId="33" xfId="1" applyFont="1" applyFill="1" applyBorder="1" applyAlignment="1">
      <alignment vertical="center"/>
    </xf>
    <xf numFmtId="0" fontId="1" fillId="4" borderId="34" xfId="1" quotePrefix="1" applyFill="1" applyBorder="1" applyAlignment="1">
      <alignment horizontal="center" vertical="center"/>
    </xf>
    <xf numFmtId="0" fontId="1" fillId="0" borderId="24" xfId="1" applyBorder="1" applyAlignment="1">
      <alignment vertical="center"/>
    </xf>
    <xf numFmtId="0" fontId="1" fillId="0" borderId="22" xfId="1" applyBorder="1" applyAlignment="1">
      <alignment vertical="center"/>
    </xf>
    <xf numFmtId="0" fontId="1" fillId="0" borderId="40" xfId="1" applyBorder="1"/>
    <xf numFmtId="0" fontId="1" fillId="5" borderId="67" xfId="1" applyFill="1" applyBorder="1"/>
    <xf numFmtId="0" fontId="16" fillId="3" borderId="27" xfId="1" applyFont="1" applyFill="1" applyBorder="1" applyAlignment="1">
      <alignment vertical="center"/>
    </xf>
    <xf numFmtId="0" fontId="16" fillId="3" borderId="23" xfId="1" applyFont="1" applyFill="1" applyBorder="1" applyAlignment="1">
      <alignment vertical="center"/>
    </xf>
    <xf numFmtId="0" fontId="1" fillId="3" borderId="28" xfId="1" applyFill="1" applyBorder="1"/>
    <xf numFmtId="0" fontId="1" fillId="3" borderId="47" xfId="1" applyFill="1" applyBorder="1"/>
    <xf numFmtId="0" fontId="1" fillId="0" borderId="29" xfId="1" applyBorder="1" applyAlignment="1">
      <alignment horizontal="center"/>
    </xf>
    <xf numFmtId="0" fontId="1" fillId="0" borderId="27" xfId="1" applyBorder="1" applyAlignment="1">
      <alignment horizontal="center"/>
    </xf>
    <xf numFmtId="0" fontId="1" fillId="0" borderId="36" xfId="1" applyBorder="1" applyAlignment="1">
      <alignment horizontal="center"/>
    </xf>
    <xf numFmtId="0" fontId="43" fillId="0" borderId="27" xfId="1" applyFont="1" applyBorder="1"/>
    <xf numFmtId="0" fontId="1" fillId="0" borderId="22" xfId="1" applyBorder="1" applyAlignment="1">
      <alignment horizontal="right"/>
    </xf>
    <xf numFmtId="0" fontId="1" fillId="4" borderId="68" xfId="1" quotePrefix="1" applyFill="1" applyBorder="1" applyAlignment="1">
      <alignment horizontal="center" vertical="center" wrapText="1"/>
    </xf>
    <xf numFmtId="0" fontId="1" fillId="5" borderId="69" xfId="1" applyFill="1" applyBorder="1"/>
    <xf numFmtId="0" fontId="1" fillId="5" borderId="70" xfId="1" applyFill="1" applyBorder="1"/>
    <xf numFmtId="0" fontId="1" fillId="5" borderId="70" xfId="1" applyFill="1" applyBorder="1" applyAlignment="1">
      <alignment horizontal="center"/>
    </xf>
    <xf numFmtId="0" fontId="1" fillId="5" borderId="71" xfId="1" applyFill="1" applyBorder="1"/>
    <xf numFmtId="0" fontId="16" fillId="5" borderId="23" xfId="1" applyFont="1" applyFill="1" applyBorder="1" applyAlignment="1">
      <alignment horizontal="center" vertical="top"/>
    </xf>
    <xf numFmtId="0" fontId="1" fillId="4" borderId="35" xfId="1" applyFill="1" applyBorder="1" applyAlignment="1">
      <alignment horizontal="center" vertical="center" wrapText="1"/>
    </xf>
    <xf numFmtId="0" fontId="1" fillId="5" borderId="72" xfId="1" applyFill="1" applyBorder="1"/>
    <xf numFmtId="0" fontId="1" fillId="5" borderId="24" xfId="1" applyFill="1" applyBorder="1"/>
    <xf numFmtId="0" fontId="1" fillId="5" borderId="24" xfId="1" applyFill="1" applyBorder="1" applyAlignment="1">
      <alignment horizontal="center"/>
    </xf>
    <xf numFmtId="0" fontId="1" fillId="5" borderId="73" xfId="1" applyFill="1" applyBorder="1"/>
    <xf numFmtId="0" fontId="1" fillId="5" borderId="23" xfId="1" applyFill="1" applyBorder="1"/>
    <xf numFmtId="0" fontId="1" fillId="0" borderId="22" xfId="1" applyBorder="1" applyAlignment="1">
      <alignment horizontal="center"/>
    </xf>
    <xf numFmtId="0" fontId="16" fillId="3" borderId="27" xfId="1" applyFont="1" applyFill="1" applyBorder="1" applyAlignment="1">
      <alignment horizontal="left"/>
    </xf>
    <xf numFmtId="0" fontId="44" fillId="2" borderId="26" xfId="1" applyFont="1" applyFill="1" applyBorder="1" applyAlignment="1">
      <alignment horizontal="center"/>
    </xf>
    <xf numFmtId="0" fontId="44" fillId="2" borderId="27" xfId="1" applyFont="1" applyFill="1" applyBorder="1" applyAlignment="1">
      <alignment horizontal="center"/>
    </xf>
    <xf numFmtId="0" fontId="44" fillId="2" borderId="23" xfId="1" applyFont="1" applyFill="1" applyBorder="1" applyAlignment="1">
      <alignment horizontal="center"/>
    </xf>
    <xf numFmtId="0" fontId="16" fillId="0" borderId="66" xfId="1" applyFont="1" applyBorder="1"/>
    <xf numFmtId="0" fontId="16" fillId="3" borderId="1" xfId="1" applyFont="1" applyFill="1" applyBorder="1" applyAlignment="1">
      <alignment horizontal="left" vertical="center" wrapText="1"/>
    </xf>
    <xf numFmtId="0" fontId="16" fillId="3" borderId="2" xfId="1" applyFont="1" applyFill="1" applyBorder="1" applyAlignment="1">
      <alignment horizontal="left" vertical="center" wrapText="1"/>
    </xf>
    <xf numFmtId="0" fontId="16" fillId="3" borderId="12" xfId="1" applyFont="1" applyFill="1" applyBorder="1" applyAlignment="1">
      <alignment horizontal="left" vertical="center" wrapText="1"/>
    </xf>
    <xf numFmtId="0" fontId="1" fillId="5" borderId="74" xfId="1" applyFill="1" applyBorder="1"/>
    <xf numFmtId="0" fontId="1" fillId="5" borderId="75" xfId="1" applyFill="1" applyBorder="1"/>
    <xf numFmtId="0" fontId="1" fillId="5" borderId="74" xfId="1" applyFill="1" applyBorder="1" applyAlignment="1">
      <alignment horizontal="right"/>
    </xf>
    <xf numFmtId="0" fontId="45" fillId="5" borderId="53" xfId="1" applyFont="1" applyFill="1" applyBorder="1" applyAlignment="1">
      <alignment horizontal="justify"/>
    </xf>
    <xf numFmtId="0" fontId="1" fillId="5" borderId="3" xfId="1" applyFill="1" applyBorder="1"/>
    <xf numFmtId="0" fontId="16" fillId="3" borderId="6" xfId="1" applyFont="1" applyFill="1" applyBorder="1" applyAlignment="1">
      <alignment horizontal="left" vertical="center" wrapText="1"/>
    </xf>
    <xf numFmtId="0" fontId="16" fillId="3" borderId="7" xfId="1" applyFont="1" applyFill="1" applyBorder="1" applyAlignment="1">
      <alignment horizontal="left" vertical="center" wrapText="1"/>
    </xf>
    <xf numFmtId="0" fontId="16" fillId="3" borderId="33" xfId="1" applyFont="1" applyFill="1" applyBorder="1" applyAlignment="1">
      <alignment horizontal="left" vertical="center" wrapText="1"/>
    </xf>
    <xf numFmtId="0" fontId="1" fillId="5" borderId="34" xfId="1" applyFill="1" applyBorder="1" applyAlignment="1">
      <alignment horizontal="left"/>
    </xf>
    <xf numFmtId="0" fontId="1" fillId="5" borderId="34" xfId="1" applyFill="1" applyBorder="1" applyAlignment="1">
      <alignment horizontal="right"/>
    </xf>
    <xf numFmtId="0" fontId="45" fillId="5" borderId="7" xfId="1" applyFont="1" applyFill="1" applyBorder="1" applyAlignment="1">
      <alignment horizontal="justify" vertical="center"/>
    </xf>
    <xf numFmtId="167" fontId="16" fillId="2" borderId="41" xfId="1" applyNumberFormat="1" applyFont="1" applyFill="1" applyBorder="1" applyAlignment="1">
      <alignment horizontal="center"/>
    </xf>
    <xf numFmtId="167" fontId="16" fillId="2" borderId="42" xfId="1" applyNumberFormat="1" applyFont="1" applyFill="1" applyBorder="1" applyAlignment="1">
      <alignment horizontal="center"/>
    </xf>
    <xf numFmtId="167" fontId="16" fillId="2" borderId="43" xfId="1" applyNumberFormat="1" applyFont="1" applyFill="1" applyBorder="1" applyAlignment="1">
      <alignment horizontal="center"/>
    </xf>
    <xf numFmtId="0" fontId="1" fillId="5" borderId="22" xfId="1" applyFill="1" applyBorder="1"/>
    <xf numFmtId="0" fontId="16" fillId="5" borderId="70" xfId="1" applyFont="1" applyFill="1" applyBorder="1"/>
    <xf numFmtId="0" fontId="16" fillId="5" borderId="24" xfId="1" applyFont="1" applyFill="1" applyBorder="1"/>
    <xf numFmtId="0" fontId="43" fillId="0" borderId="26" xfId="1" applyFont="1" applyBorder="1"/>
    <xf numFmtId="1" fontId="14" fillId="2" borderId="41" xfId="1" applyNumberFormat="1" applyFont="1" applyFill="1" applyBorder="1" applyAlignment="1">
      <alignment horizontal="center"/>
    </xf>
    <xf numFmtId="1" fontId="14" fillId="2" borderId="42" xfId="1" applyNumberFormat="1" applyFont="1" applyFill="1" applyBorder="1" applyAlignment="1">
      <alignment horizontal="center"/>
    </xf>
    <xf numFmtId="1" fontId="14" fillId="2" borderId="43" xfId="1" applyNumberFormat="1" applyFont="1" applyFill="1" applyBorder="1" applyAlignment="1">
      <alignment horizontal="center"/>
    </xf>
    <xf numFmtId="1" fontId="16" fillId="2" borderId="41" xfId="1" applyNumberFormat="1" applyFont="1" applyFill="1" applyBorder="1" applyAlignment="1">
      <alignment horizontal="center"/>
    </xf>
    <xf numFmtId="1" fontId="16" fillId="2" borderId="42" xfId="1" applyNumberFormat="1" applyFont="1" applyFill="1" applyBorder="1" applyAlignment="1">
      <alignment horizontal="center"/>
    </xf>
    <xf numFmtId="1" fontId="16" fillId="2" borderId="43" xfId="1" applyNumberFormat="1" applyFont="1" applyFill="1" applyBorder="1" applyAlignment="1">
      <alignment horizontal="center"/>
    </xf>
    <xf numFmtId="0" fontId="24" fillId="0" borderId="22" xfId="1" applyFont="1" applyBorder="1"/>
    <xf numFmtId="167" fontId="17" fillId="2" borderId="26" xfId="1" applyNumberFormat="1" applyFont="1" applyFill="1" applyBorder="1" applyAlignment="1">
      <alignment horizontal="center"/>
    </xf>
    <xf numFmtId="167" fontId="17" fillId="2" borderId="27" xfId="1" applyNumberFormat="1" applyFont="1" applyFill="1" applyBorder="1" applyAlignment="1">
      <alignment horizontal="center"/>
    </xf>
    <xf numFmtId="167" fontId="17" fillId="2" borderId="23" xfId="1" applyNumberFormat="1" applyFont="1" applyFill="1" applyBorder="1" applyAlignment="1">
      <alignment horizontal="center"/>
    </xf>
    <xf numFmtId="0" fontId="33" fillId="0" borderId="22" xfId="1" applyFont="1" applyBorder="1"/>
    <xf numFmtId="167" fontId="14" fillId="2" borderId="27" xfId="1" applyNumberFormat="1" applyFont="1" applyFill="1" applyBorder="1" applyAlignment="1">
      <alignment horizontal="center"/>
    </xf>
    <xf numFmtId="167" fontId="14" fillId="2" borderId="23" xfId="1" applyNumberFormat="1" applyFont="1" applyFill="1" applyBorder="1" applyAlignment="1">
      <alignment horizontal="center"/>
    </xf>
    <xf numFmtId="0" fontId="33" fillId="0" borderId="26" xfId="1" applyFont="1" applyBorder="1"/>
    <xf numFmtId="1" fontId="13" fillId="2" borderId="41" xfId="1" applyNumberFormat="1" applyFont="1" applyFill="1" applyBorder="1" applyAlignment="1">
      <alignment horizontal="center"/>
    </xf>
    <xf numFmtId="1" fontId="13" fillId="2" borderId="42" xfId="1" applyNumberFormat="1" applyFont="1" applyFill="1" applyBorder="1" applyAlignment="1">
      <alignment horizontal="center"/>
    </xf>
    <xf numFmtId="1" fontId="13" fillId="2" borderId="43" xfId="1" applyNumberFormat="1" applyFont="1" applyFill="1" applyBorder="1" applyAlignment="1">
      <alignment horizontal="center"/>
    </xf>
    <xf numFmtId="0" fontId="33" fillId="0" borderId="25" xfId="1" applyFont="1" applyBorder="1"/>
    <xf numFmtId="2" fontId="16" fillId="2" borderId="41" xfId="1" applyNumberFormat="1" applyFont="1" applyFill="1" applyBorder="1" applyAlignment="1">
      <alignment horizontal="center"/>
    </xf>
    <xf numFmtId="2" fontId="16" fillId="2" borderId="42" xfId="1" applyNumberFormat="1" applyFont="1" applyFill="1" applyBorder="1" applyAlignment="1">
      <alignment horizontal="center"/>
    </xf>
    <xf numFmtId="2" fontId="16" fillId="2" borderId="43" xfId="1" applyNumberFormat="1" applyFont="1" applyFill="1" applyBorder="1" applyAlignment="1">
      <alignment horizontal="center"/>
    </xf>
    <xf numFmtId="2" fontId="16" fillId="2" borderId="41" xfId="1" applyNumberFormat="1" applyFont="1" applyFill="1" applyBorder="1" applyAlignment="1">
      <alignment horizontal="center"/>
    </xf>
    <xf numFmtId="2" fontId="16" fillId="2" borderId="42" xfId="1" applyNumberFormat="1" applyFont="1" applyFill="1" applyBorder="1" applyAlignment="1">
      <alignment horizontal="center"/>
    </xf>
    <xf numFmtId="2" fontId="16" fillId="2" borderId="43" xfId="1" applyNumberFormat="1" applyFont="1" applyFill="1" applyBorder="1" applyAlignment="1">
      <alignment horizontal="center"/>
    </xf>
    <xf numFmtId="0" fontId="46" fillId="2" borderId="26" xfId="1" applyFont="1" applyFill="1" applyBorder="1" applyAlignment="1">
      <alignment horizontal="center"/>
    </xf>
    <xf numFmtId="0" fontId="46" fillId="2" borderId="27" xfId="1" applyFont="1" applyFill="1" applyBorder="1" applyAlignment="1">
      <alignment horizontal="center"/>
    </xf>
    <xf numFmtId="0" fontId="46" fillId="2" borderId="23" xfId="1" applyFont="1" applyFill="1" applyBorder="1" applyAlignment="1">
      <alignment horizontal="center"/>
    </xf>
    <xf numFmtId="0" fontId="1" fillId="5" borderId="68" xfId="1" applyFill="1" applyBorder="1"/>
    <xf numFmtId="0" fontId="1" fillId="5" borderId="2" xfId="1" applyFill="1" applyBorder="1"/>
    <xf numFmtId="0" fontId="45" fillId="5" borderId="75" xfId="1" applyFont="1" applyFill="1" applyBorder="1" applyAlignment="1">
      <alignment horizontal="justify"/>
    </xf>
    <xf numFmtId="0" fontId="1" fillId="4" borderId="34" xfId="1" quotePrefix="1" applyFill="1" applyBorder="1" applyAlignment="1">
      <alignment horizontal="center" vertical="center" wrapText="1"/>
    </xf>
    <xf numFmtId="0" fontId="16" fillId="0" borderId="28" xfId="1" applyFont="1" applyBorder="1"/>
    <xf numFmtId="0" fontId="1" fillId="5" borderId="76" xfId="1" applyFill="1" applyBorder="1"/>
    <xf numFmtId="0" fontId="1" fillId="5" borderId="77" xfId="1" applyFill="1" applyBorder="1"/>
    <xf numFmtId="0" fontId="16" fillId="5" borderId="75" xfId="1" applyFont="1" applyFill="1" applyBorder="1"/>
    <xf numFmtId="0" fontId="1" fillId="5" borderId="78" xfId="1" applyFill="1" applyBorder="1"/>
    <xf numFmtId="0" fontId="1" fillId="5" borderId="79" xfId="1" applyFill="1" applyBorder="1"/>
    <xf numFmtId="0" fontId="1" fillId="5" borderId="80" xfId="1" applyFill="1" applyBorder="1"/>
    <xf numFmtId="0" fontId="1" fillId="5" borderId="7" xfId="1" applyFill="1" applyBorder="1" applyAlignment="1">
      <alignment horizontal="centerContinuous"/>
    </xf>
    <xf numFmtId="0" fontId="16" fillId="5" borderId="7" xfId="1" applyFont="1" applyFill="1" applyBorder="1" applyAlignment="1">
      <alignment horizontal="centerContinuous"/>
    </xf>
    <xf numFmtId="0" fontId="1" fillId="5" borderId="81" xfId="1" applyFill="1" applyBorder="1"/>
    <xf numFmtId="0" fontId="16" fillId="0" borderId="24" xfId="1" applyFont="1" applyBorder="1"/>
    <xf numFmtId="0" fontId="33" fillId="0" borderId="0" xfId="1" applyFont="1"/>
    <xf numFmtId="48" fontId="16" fillId="2" borderId="41" xfId="1" applyNumberFormat="1" applyFont="1" applyFill="1" applyBorder="1" applyAlignment="1">
      <alignment horizontal="center"/>
    </xf>
    <xf numFmtId="48" fontId="16" fillId="2" borderId="42" xfId="1" applyNumberFormat="1" applyFont="1" applyFill="1" applyBorder="1" applyAlignment="1">
      <alignment horizontal="center"/>
    </xf>
    <xf numFmtId="48" fontId="16" fillId="2" borderId="43" xfId="1" applyNumberFormat="1" applyFont="1" applyFill="1" applyBorder="1" applyAlignment="1">
      <alignment horizontal="center"/>
    </xf>
    <xf numFmtId="0" fontId="49" fillId="3" borderId="26" xfId="1" applyFont="1" applyFill="1" applyBorder="1"/>
    <xf numFmtId="0" fontId="1" fillId="0" borderId="27" xfId="1" applyBorder="1"/>
    <xf numFmtId="0" fontId="1" fillId="0" borderId="23" xfId="1" applyBorder="1"/>
    <xf numFmtId="167" fontId="14" fillId="2" borderId="41" xfId="1" applyNumberFormat="1" applyFont="1" applyFill="1" applyBorder="1" applyAlignment="1">
      <alignment horizontal="center"/>
    </xf>
    <xf numFmtId="167" fontId="14" fillId="2" borderId="42" xfId="1" applyNumberFormat="1" applyFont="1" applyFill="1" applyBorder="1" applyAlignment="1">
      <alignment horizontal="center"/>
    </xf>
    <xf numFmtId="167" fontId="14" fillId="2" borderId="43" xfId="1" applyNumberFormat="1" applyFont="1" applyFill="1" applyBorder="1" applyAlignment="1">
      <alignment horizontal="center"/>
    </xf>
    <xf numFmtId="0" fontId="32" fillId="3" borderId="26" xfId="1" applyFont="1" applyFill="1" applyBorder="1"/>
    <xf numFmtId="0" fontId="32" fillId="3" borderId="27" xfId="1" applyFont="1" applyFill="1" applyBorder="1"/>
    <xf numFmtId="0" fontId="1" fillId="0" borderId="22" xfId="1" quotePrefix="1" applyBorder="1"/>
    <xf numFmtId="167" fontId="13" fillId="2" borderId="41" xfId="1" applyNumberFormat="1" applyFont="1" applyFill="1" applyBorder="1" applyAlignment="1">
      <alignment horizontal="center"/>
    </xf>
    <xf numFmtId="167" fontId="13" fillId="2" borderId="42" xfId="1" applyNumberFormat="1" applyFont="1" applyFill="1" applyBorder="1" applyAlignment="1">
      <alignment horizontal="center"/>
    </xf>
    <xf numFmtId="167" fontId="13" fillId="2" borderId="43" xfId="1" applyNumberFormat="1" applyFont="1" applyFill="1" applyBorder="1" applyAlignment="1">
      <alignment horizontal="center"/>
    </xf>
    <xf numFmtId="0" fontId="16" fillId="3" borderId="1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 wrapText="1"/>
    </xf>
    <xf numFmtId="0" fontId="16" fillId="3" borderId="12" xfId="1" applyFont="1" applyFill="1" applyBorder="1" applyAlignment="1">
      <alignment horizontal="center" vertical="center" wrapText="1"/>
    </xf>
    <xf numFmtId="0" fontId="1" fillId="5" borderId="82" xfId="1" applyFill="1" applyBorder="1" applyAlignment="1">
      <alignment horizontal="centerContinuous"/>
    </xf>
    <xf numFmtId="0" fontId="16" fillId="5" borderId="82" xfId="1" applyFont="1" applyFill="1" applyBorder="1" applyAlignment="1">
      <alignment horizontal="centerContinuous"/>
    </xf>
    <xf numFmtId="0" fontId="1" fillId="5" borderId="13" xfId="1" applyFill="1" applyBorder="1"/>
    <xf numFmtId="0" fontId="16" fillId="3" borderId="6" xfId="1" applyFont="1" applyFill="1" applyBorder="1" applyAlignment="1">
      <alignment horizontal="center" vertical="center" wrapText="1"/>
    </xf>
    <xf numFmtId="0" fontId="16" fillId="3" borderId="7" xfId="1" applyFont="1" applyFill="1" applyBorder="1" applyAlignment="1">
      <alignment horizontal="center" vertical="center" wrapText="1"/>
    </xf>
    <xf numFmtId="0" fontId="16" fillId="3" borderId="33" xfId="1" applyFont="1" applyFill="1" applyBorder="1" applyAlignment="1">
      <alignment horizontal="center" vertical="center" wrapText="1"/>
    </xf>
    <xf numFmtId="0" fontId="1" fillId="5" borderId="66" xfId="1" applyFill="1" applyBorder="1"/>
    <xf numFmtId="0" fontId="1" fillId="5" borderId="34" xfId="1" applyFill="1" applyBorder="1" applyAlignment="1">
      <alignment horizontal="centerContinuous"/>
    </xf>
    <xf numFmtId="0" fontId="16" fillId="5" borderId="34" xfId="1" applyFont="1" applyFill="1" applyBorder="1" applyAlignment="1">
      <alignment horizontal="centerContinuous"/>
    </xf>
    <xf numFmtId="0" fontId="35" fillId="2" borderId="26" xfId="1" applyFont="1" applyFill="1" applyBorder="1" applyAlignment="1">
      <alignment horizontal="right"/>
    </xf>
    <xf numFmtId="0" fontId="35" fillId="2" borderId="27" xfId="1" applyFont="1" applyFill="1" applyBorder="1" applyAlignment="1">
      <alignment horizontal="right"/>
    </xf>
    <xf numFmtId="0" fontId="35" fillId="2" borderId="23" xfId="1" applyFont="1" applyFill="1" applyBorder="1" applyAlignment="1">
      <alignment horizontal="right"/>
    </xf>
    <xf numFmtId="0" fontId="1" fillId="0" borderId="83" xfId="1" applyBorder="1"/>
    <xf numFmtId="0" fontId="1" fillId="0" borderId="66" xfId="1" applyBorder="1"/>
    <xf numFmtId="0" fontId="1" fillId="0" borderId="67" xfId="1" applyBorder="1"/>
  </cellXfs>
  <cellStyles count="4">
    <cellStyle name="Normal" xfId="0" builtinId="0"/>
    <cellStyle name="Normal 2" xfId="2" xr:uid="{77088CC9-91F8-344A-8440-86D04EAAF06C}"/>
    <cellStyle name="Normal 2 2" xfId="1" xr:uid="{2019FF50-ADA3-BC4F-8A66-8300842F6E30}"/>
    <cellStyle name="Percent 2" xfId="3" xr:uid="{26739EFA-CDE6-5043-A8E4-A356B17F865D}"/>
  </cellStyles>
  <dxfs count="1">
    <dxf>
      <font>
        <condense val="0"/>
        <extend val="0"/>
        <color indexed="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118</xdr:row>
      <xdr:rowOff>0</xdr:rowOff>
    </xdr:from>
    <xdr:to>
      <xdr:col>31</xdr:col>
      <xdr:colOff>0</xdr:colOff>
      <xdr:row>118</xdr:row>
      <xdr:rowOff>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49CF4438-9836-B743-B710-7AACE667F3E3}"/>
            </a:ext>
          </a:extLst>
        </xdr:cNvPr>
        <xdr:cNvSpPr>
          <a:spLocks noChangeShapeType="1"/>
        </xdr:cNvSpPr>
      </xdr:nvSpPr>
      <xdr:spPr bwMode="auto">
        <a:xfrm>
          <a:off x="7886700" y="18884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63</xdr:row>
      <xdr:rowOff>104775</xdr:rowOff>
    </xdr:from>
    <xdr:to>
      <xdr:col>21</xdr:col>
      <xdr:colOff>152400</xdr:colOff>
      <xdr:row>64</xdr:row>
      <xdr:rowOff>85725</xdr:rowOff>
    </xdr:to>
    <xdr:sp macro="" textlink="">
      <xdr:nvSpPr>
        <xdr:cNvPr id="3" name="Oval 285">
          <a:extLst>
            <a:ext uri="{FF2B5EF4-FFF2-40B4-BE49-F238E27FC236}">
              <a16:creationId xmlns:a16="http://schemas.microsoft.com/office/drawing/2014/main" id="{33775692-D48B-1649-B35D-D1E5D6ABD47D}"/>
            </a:ext>
          </a:extLst>
        </xdr:cNvPr>
        <xdr:cNvSpPr>
          <a:spLocks noChangeArrowheads="1"/>
        </xdr:cNvSpPr>
      </xdr:nvSpPr>
      <xdr:spPr bwMode="auto">
        <a:xfrm>
          <a:off x="5499100" y="10594975"/>
          <a:ext cx="15240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63</xdr:row>
      <xdr:rowOff>104775</xdr:rowOff>
    </xdr:from>
    <xdr:to>
      <xdr:col>22</xdr:col>
      <xdr:colOff>123825</xdr:colOff>
      <xdr:row>64</xdr:row>
      <xdr:rowOff>85725</xdr:rowOff>
    </xdr:to>
    <xdr:sp macro="" textlink="">
      <xdr:nvSpPr>
        <xdr:cNvPr id="4" name="Oval 286">
          <a:extLst>
            <a:ext uri="{FF2B5EF4-FFF2-40B4-BE49-F238E27FC236}">
              <a16:creationId xmlns:a16="http://schemas.microsoft.com/office/drawing/2014/main" id="{8E0C2C0D-BB8F-CE4C-9D73-E9FC75E56B16}"/>
            </a:ext>
          </a:extLst>
        </xdr:cNvPr>
        <xdr:cNvSpPr>
          <a:spLocks noChangeArrowheads="1"/>
        </xdr:cNvSpPr>
      </xdr:nvSpPr>
      <xdr:spPr bwMode="auto">
        <a:xfrm>
          <a:off x="5641975" y="10594975"/>
          <a:ext cx="17145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63</xdr:row>
      <xdr:rowOff>104775</xdr:rowOff>
    </xdr:from>
    <xdr:to>
      <xdr:col>23</xdr:col>
      <xdr:colOff>123825</xdr:colOff>
      <xdr:row>64</xdr:row>
      <xdr:rowOff>85725</xdr:rowOff>
    </xdr:to>
    <xdr:sp macro="" textlink="">
      <xdr:nvSpPr>
        <xdr:cNvPr id="5" name="Oval 287">
          <a:extLst>
            <a:ext uri="{FF2B5EF4-FFF2-40B4-BE49-F238E27FC236}">
              <a16:creationId xmlns:a16="http://schemas.microsoft.com/office/drawing/2014/main" id="{61C26BB9-B524-DF4D-8D1D-5D79FD10F51B}"/>
            </a:ext>
          </a:extLst>
        </xdr:cNvPr>
        <xdr:cNvSpPr>
          <a:spLocks noChangeArrowheads="1"/>
        </xdr:cNvSpPr>
      </xdr:nvSpPr>
      <xdr:spPr bwMode="auto">
        <a:xfrm>
          <a:off x="5832475" y="10594975"/>
          <a:ext cx="17145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19050</xdr:colOff>
      <xdr:row>64</xdr:row>
      <xdr:rowOff>85725</xdr:rowOff>
    </xdr:from>
    <xdr:to>
      <xdr:col>24</xdr:col>
      <xdr:colOff>152400</xdr:colOff>
      <xdr:row>64</xdr:row>
      <xdr:rowOff>161925</xdr:rowOff>
    </xdr:to>
    <xdr:sp macro="" textlink="">
      <xdr:nvSpPr>
        <xdr:cNvPr id="6" name="Rectangle 300">
          <a:extLst>
            <a:ext uri="{FF2B5EF4-FFF2-40B4-BE49-F238E27FC236}">
              <a16:creationId xmlns:a16="http://schemas.microsoft.com/office/drawing/2014/main" id="{E8787422-37BD-A945-A194-732F54A7B8C8}"/>
            </a:ext>
          </a:extLst>
        </xdr:cNvPr>
        <xdr:cNvSpPr>
          <a:spLocks noChangeArrowheads="1"/>
        </xdr:cNvSpPr>
      </xdr:nvSpPr>
      <xdr:spPr bwMode="auto">
        <a:xfrm>
          <a:off x="5327650" y="10753725"/>
          <a:ext cx="895350" cy="762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19050</xdr:colOff>
      <xdr:row>62</xdr:row>
      <xdr:rowOff>85725</xdr:rowOff>
    </xdr:from>
    <xdr:to>
      <xdr:col>20</xdr:col>
      <xdr:colOff>95250</xdr:colOff>
      <xdr:row>64</xdr:row>
      <xdr:rowOff>85725</xdr:rowOff>
    </xdr:to>
    <xdr:sp macro="" textlink="">
      <xdr:nvSpPr>
        <xdr:cNvPr id="7" name="Rectangle 301">
          <a:extLst>
            <a:ext uri="{FF2B5EF4-FFF2-40B4-BE49-F238E27FC236}">
              <a16:creationId xmlns:a16="http://schemas.microsoft.com/office/drawing/2014/main" id="{8BEC8199-72C4-D149-A437-627F331051B2}"/>
            </a:ext>
          </a:extLst>
        </xdr:cNvPr>
        <xdr:cNvSpPr>
          <a:spLocks noChangeArrowheads="1"/>
        </xdr:cNvSpPr>
      </xdr:nvSpPr>
      <xdr:spPr bwMode="auto">
        <a:xfrm>
          <a:off x="5327650" y="10398125"/>
          <a:ext cx="76200" cy="3556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76200</xdr:colOff>
      <xdr:row>62</xdr:row>
      <xdr:rowOff>85725</xdr:rowOff>
    </xdr:from>
    <xdr:to>
      <xdr:col>24</xdr:col>
      <xdr:colOff>152400</xdr:colOff>
      <xdr:row>64</xdr:row>
      <xdr:rowOff>85725</xdr:rowOff>
    </xdr:to>
    <xdr:sp macro="" textlink="">
      <xdr:nvSpPr>
        <xdr:cNvPr id="8" name="Rectangle 302">
          <a:extLst>
            <a:ext uri="{FF2B5EF4-FFF2-40B4-BE49-F238E27FC236}">
              <a16:creationId xmlns:a16="http://schemas.microsoft.com/office/drawing/2014/main" id="{01568F0E-D3C4-3A4D-AD07-13F30900C03C}"/>
            </a:ext>
          </a:extLst>
        </xdr:cNvPr>
        <xdr:cNvSpPr>
          <a:spLocks noChangeArrowheads="1"/>
        </xdr:cNvSpPr>
      </xdr:nvSpPr>
      <xdr:spPr bwMode="auto">
        <a:xfrm>
          <a:off x="6146800" y="10398125"/>
          <a:ext cx="76200" cy="3556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28575</xdr:colOff>
      <xdr:row>63</xdr:row>
      <xdr:rowOff>104775</xdr:rowOff>
    </xdr:from>
    <xdr:to>
      <xdr:col>28</xdr:col>
      <xdr:colOff>9525</xdr:colOff>
      <xdr:row>64</xdr:row>
      <xdr:rowOff>85725</xdr:rowOff>
    </xdr:to>
    <xdr:sp macro="" textlink="">
      <xdr:nvSpPr>
        <xdr:cNvPr id="9" name="Oval 344">
          <a:extLst>
            <a:ext uri="{FF2B5EF4-FFF2-40B4-BE49-F238E27FC236}">
              <a16:creationId xmlns:a16="http://schemas.microsoft.com/office/drawing/2014/main" id="{843C68BB-A5F7-664C-A650-58323A80F6BF}"/>
            </a:ext>
          </a:extLst>
        </xdr:cNvPr>
        <xdr:cNvSpPr>
          <a:spLocks noChangeArrowheads="1"/>
        </xdr:cNvSpPr>
      </xdr:nvSpPr>
      <xdr:spPr bwMode="auto">
        <a:xfrm>
          <a:off x="6696075" y="10594975"/>
          <a:ext cx="17145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63</xdr:row>
      <xdr:rowOff>104775</xdr:rowOff>
    </xdr:from>
    <xdr:to>
      <xdr:col>28</xdr:col>
      <xdr:colOff>161925</xdr:colOff>
      <xdr:row>64</xdr:row>
      <xdr:rowOff>85725</xdr:rowOff>
    </xdr:to>
    <xdr:sp macro="" textlink="">
      <xdr:nvSpPr>
        <xdr:cNvPr id="10" name="Oval 345">
          <a:extLst>
            <a:ext uri="{FF2B5EF4-FFF2-40B4-BE49-F238E27FC236}">
              <a16:creationId xmlns:a16="http://schemas.microsoft.com/office/drawing/2014/main" id="{DE996F03-5AE9-F947-B298-CBDC7ED86076}"/>
            </a:ext>
          </a:extLst>
        </xdr:cNvPr>
        <xdr:cNvSpPr>
          <a:spLocks noChangeArrowheads="1"/>
        </xdr:cNvSpPr>
      </xdr:nvSpPr>
      <xdr:spPr bwMode="auto">
        <a:xfrm>
          <a:off x="6867525" y="10594975"/>
          <a:ext cx="15240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63</xdr:row>
      <xdr:rowOff>104775</xdr:rowOff>
    </xdr:from>
    <xdr:to>
      <xdr:col>29</xdr:col>
      <xdr:colOff>152400</xdr:colOff>
      <xdr:row>64</xdr:row>
      <xdr:rowOff>85725</xdr:rowOff>
    </xdr:to>
    <xdr:sp macro="" textlink="">
      <xdr:nvSpPr>
        <xdr:cNvPr id="11" name="Oval 346">
          <a:extLst>
            <a:ext uri="{FF2B5EF4-FFF2-40B4-BE49-F238E27FC236}">
              <a16:creationId xmlns:a16="http://schemas.microsoft.com/office/drawing/2014/main" id="{1A115040-0CCC-1845-AA4A-1182D64F8AA9}"/>
            </a:ext>
          </a:extLst>
        </xdr:cNvPr>
        <xdr:cNvSpPr>
          <a:spLocks noChangeArrowheads="1"/>
        </xdr:cNvSpPr>
      </xdr:nvSpPr>
      <xdr:spPr bwMode="auto">
        <a:xfrm>
          <a:off x="7505700" y="10594975"/>
          <a:ext cx="15240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95250</xdr:colOff>
      <xdr:row>62</xdr:row>
      <xdr:rowOff>133350</xdr:rowOff>
    </xdr:from>
    <xdr:to>
      <xdr:col>29</xdr:col>
      <xdr:colOff>76200</xdr:colOff>
      <xdr:row>63</xdr:row>
      <xdr:rowOff>114300</xdr:rowOff>
    </xdr:to>
    <xdr:sp macro="" textlink="">
      <xdr:nvSpPr>
        <xdr:cNvPr id="12" name="Oval 347">
          <a:extLst>
            <a:ext uri="{FF2B5EF4-FFF2-40B4-BE49-F238E27FC236}">
              <a16:creationId xmlns:a16="http://schemas.microsoft.com/office/drawing/2014/main" id="{53FB3EFD-2A4F-B147-BD92-70CB92AFA6C5}"/>
            </a:ext>
          </a:extLst>
        </xdr:cNvPr>
        <xdr:cNvSpPr>
          <a:spLocks noChangeArrowheads="1"/>
        </xdr:cNvSpPr>
      </xdr:nvSpPr>
      <xdr:spPr bwMode="auto">
        <a:xfrm>
          <a:off x="6953250" y="10445750"/>
          <a:ext cx="62865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104775</xdr:colOff>
      <xdr:row>62</xdr:row>
      <xdr:rowOff>133350</xdr:rowOff>
    </xdr:from>
    <xdr:to>
      <xdr:col>28</xdr:col>
      <xdr:colOff>85725</xdr:colOff>
      <xdr:row>63</xdr:row>
      <xdr:rowOff>114300</xdr:rowOff>
    </xdr:to>
    <xdr:sp macro="" textlink="">
      <xdr:nvSpPr>
        <xdr:cNvPr id="13" name="Oval 348">
          <a:extLst>
            <a:ext uri="{FF2B5EF4-FFF2-40B4-BE49-F238E27FC236}">
              <a16:creationId xmlns:a16="http://schemas.microsoft.com/office/drawing/2014/main" id="{4BAA88D7-6251-7A49-99B6-0ED912B93C50}"/>
            </a:ext>
          </a:extLst>
        </xdr:cNvPr>
        <xdr:cNvSpPr>
          <a:spLocks noChangeArrowheads="1"/>
        </xdr:cNvSpPr>
      </xdr:nvSpPr>
      <xdr:spPr bwMode="auto">
        <a:xfrm>
          <a:off x="6772275" y="10445750"/>
          <a:ext cx="17145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38100</xdr:colOff>
      <xdr:row>62</xdr:row>
      <xdr:rowOff>85725</xdr:rowOff>
    </xdr:from>
    <xdr:to>
      <xdr:col>26</xdr:col>
      <xdr:colOff>114300</xdr:colOff>
      <xdr:row>64</xdr:row>
      <xdr:rowOff>85725</xdr:rowOff>
    </xdr:to>
    <xdr:sp macro="" textlink="">
      <xdr:nvSpPr>
        <xdr:cNvPr id="14" name="Rectangle 349">
          <a:extLst>
            <a:ext uri="{FF2B5EF4-FFF2-40B4-BE49-F238E27FC236}">
              <a16:creationId xmlns:a16="http://schemas.microsoft.com/office/drawing/2014/main" id="{72F96558-AFF4-E04F-B7F9-33FE52CC4F8B}"/>
            </a:ext>
          </a:extLst>
        </xdr:cNvPr>
        <xdr:cNvSpPr>
          <a:spLocks noChangeArrowheads="1"/>
        </xdr:cNvSpPr>
      </xdr:nvSpPr>
      <xdr:spPr bwMode="auto">
        <a:xfrm>
          <a:off x="6515100" y="10398125"/>
          <a:ext cx="76200" cy="3556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85725</xdr:colOff>
      <xdr:row>62</xdr:row>
      <xdr:rowOff>85725</xdr:rowOff>
    </xdr:from>
    <xdr:to>
      <xdr:col>30</xdr:col>
      <xdr:colOff>152400</xdr:colOff>
      <xdr:row>64</xdr:row>
      <xdr:rowOff>85725</xdr:rowOff>
    </xdr:to>
    <xdr:sp macro="" textlink="">
      <xdr:nvSpPr>
        <xdr:cNvPr id="15" name="Rectangle 350">
          <a:extLst>
            <a:ext uri="{FF2B5EF4-FFF2-40B4-BE49-F238E27FC236}">
              <a16:creationId xmlns:a16="http://schemas.microsoft.com/office/drawing/2014/main" id="{D2980039-E123-8B42-A12E-3D5497DC0E40}"/>
            </a:ext>
          </a:extLst>
        </xdr:cNvPr>
        <xdr:cNvSpPr>
          <a:spLocks noChangeArrowheads="1"/>
        </xdr:cNvSpPr>
      </xdr:nvSpPr>
      <xdr:spPr bwMode="auto">
        <a:xfrm>
          <a:off x="7781925" y="10398125"/>
          <a:ext cx="66675" cy="3556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38100</xdr:colOff>
      <xdr:row>64</xdr:row>
      <xdr:rowOff>85725</xdr:rowOff>
    </xdr:from>
    <xdr:to>
      <xdr:col>30</xdr:col>
      <xdr:colOff>152400</xdr:colOff>
      <xdr:row>64</xdr:row>
      <xdr:rowOff>161925</xdr:rowOff>
    </xdr:to>
    <xdr:sp macro="" textlink="">
      <xdr:nvSpPr>
        <xdr:cNvPr id="16" name="Rectangle 351">
          <a:extLst>
            <a:ext uri="{FF2B5EF4-FFF2-40B4-BE49-F238E27FC236}">
              <a16:creationId xmlns:a16="http://schemas.microsoft.com/office/drawing/2014/main" id="{B18B7D2F-F59D-3D41-833B-E36F5FFC594C}"/>
            </a:ext>
          </a:extLst>
        </xdr:cNvPr>
        <xdr:cNvSpPr>
          <a:spLocks noChangeArrowheads="1"/>
        </xdr:cNvSpPr>
      </xdr:nvSpPr>
      <xdr:spPr bwMode="auto">
        <a:xfrm>
          <a:off x="6515100" y="10753725"/>
          <a:ext cx="1333500" cy="762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19050</xdr:colOff>
      <xdr:row>63</xdr:row>
      <xdr:rowOff>95250</xdr:rowOff>
    </xdr:from>
    <xdr:to>
      <xdr:col>33</xdr:col>
      <xdr:colOff>0</xdr:colOff>
      <xdr:row>64</xdr:row>
      <xdr:rowOff>76200</xdr:rowOff>
    </xdr:to>
    <xdr:sp macro="" textlink="">
      <xdr:nvSpPr>
        <xdr:cNvPr id="17" name="Oval 352">
          <a:extLst>
            <a:ext uri="{FF2B5EF4-FFF2-40B4-BE49-F238E27FC236}">
              <a16:creationId xmlns:a16="http://schemas.microsoft.com/office/drawing/2014/main" id="{CD24EE1C-8638-3544-97BE-FB1E889A9449}"/>
            </a:ext>
          </a:extLst>
        </xdr:cNvPr>
        <xdr:cNvSpPr>
          <a:spLocks noChangeArrowheads="1"/>
        </xdr:cNvSpPr>
      </xdr:nvSpPr>
      <xdr:spPr bwMode="auto">
        <a:xfrm>
          <a:off x="8096250" y="10585450"/>
          <a:ext cx="17145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28575</xdr:colOff>
      <xdr:row>62</xdr:row>
      <xdr:rowOff>85725</xdr:rowOff>
    </xdr:from>
    <xdr:to>
      <xdr:col>35</xdr:col>
      <xdr:colOff>9525</xdr:colOff>
      <xdr:row>63</xdr:row>
      <xdr:rowOff>66675</xdr:rowOff>
    </xdr:to>
    <xdr:sp macro="" textlink="">
      <xdr:nvSpPr>
        <xdr:cNvPr id="18" name="Oval 353">
          <a:extLst>
            <a:ext uri="{FF2B5EF4-FFF2-40B4-BE49-F238E27FC236}">
              <a16:creationId xmlns:a16="http://schemas.microsoft.com/office/drawing/2014/main" id="{D28322AA-0C22-E745-8EA9-D72653229178}"/>
            </a:ext>
          </a:extLst>
        </xdr:cNvPr>
        <xdr:cNvSpPr>
          <a:spLocks noChangeArrowheads="1"/>
        </xdr:cNvSpPr>
      </xdr:nvSpPr>
      <xdr:spPr bwMode="auto">
        <a:xfrm>
          <a:off x="8486775" y="10398125"/>
          <a:ext cx="17145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9525</xdr:colOff>
      <xdr:row>63</xdr:row>
      <xdr:rowOff>85725</xdr:rowOff>
    </xdr:from>
    <xdr:to>
      <xdr:col>34</xdr:col>
      <xdr:colOff>161925</xdr:colOff>
      <xdr:row>64</xdr:row>
      <xdr:rowOff>66675</xdr:rowOff>
    </xdr:to>
    <xdr:sp macro="" textlink="">
      <xdr:nvSpPr>
        <xdr:cNvPr id="19" name="Oval 354">
          <a:extLst>
            <a:ext uri="{FF2B5EF4-FFF2-40B4-BE49-F238E27FC236}">
              <a16:creationId xmlns:a16="http://schemas.microsoft.com/office/drawing/2014/main" id="{A518D7BF-EDFB-1C48-8A67-A10C89B6595B}"/>
            </a:ext>
          </a:extLst>
        </xdr:cNvPr>
        <xdr:cNvSpPr>
          <a:spLocks noChangeArrowheads="1"/>
        </xdr:cNvSpPr>
      </xdr:nvSpPr>
      <xdr:spPr bwMode="auto">
        <a:xfrm>
          <a:off x="8467725" y="10575925"/>
          <a:ext cx="15240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62</xdr:row>
      <xdr:rowOff>152400</xdr:rowOff>
    </xdr:from>
    <xdr:to>
      <xdr:col>33</xdr:col>
      <xdr:colOff>161925</xdr:colOff>
      <xdr:row>63</xdr:row>
      <xdr:rowOff>133350</xdr:rowOff>
    </xdr:to>
    <xdr:sp macro="" textlink="">
      <xdr:nvSpPr>
        <xdr:cNvPr id="20" name="Oval 355">
          <a:extLst>
            <a:ext uri="{FF2B5EF4-FFF2-40B4-BE49-F238E27FC236}">
              <a16:creationId xmlns:a16="http://schemas.microsoft.com/office/drawing/2014/main" id="{5B6EFDF6-4C1D-7F4B-AD36-FA9E5B60BA17}"/>
            </a:ext>
          </a:extLst>
        </xdr:cNvPr>
        <xdr:cNvSpPr>
          <a:spLocks noChangeArrowheads="1"/>
        </xdr:cNvSpPr>
      </xdr:nvSpPr>
      <xdr:spPr bwMode="auto">
        <a:xfrm>
          <a:off x="8277225" y="10464800"/>
          <a:ext cx="15240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152400</xdr:colOff>
      <xdr:row>62</xdr:row>
      <xdr:rowOff>95250</xdr:rowOff>
    </xdr:from>
    <xdr:to>
      <xdr:col>32</xdr:col>
      <xdr:colOff>133350</xdr:colOff>
      <xdr:row>63</xdr:row>
      <xdr:rowOff>76200</xdr:rowOff>
    </xdr:to>
    <xdr:sp macro="" textlink="">
      <xdr:nvSpPr>
        <xdr:cNvPr id="21" name="Oval 356">
          <a:extLst>
            <a:ext uri="{FF2B5EF4-FFF2-40B4-BE49-F238E27FC236}">
              <a16:creationId xmlns:a16="http://schemas.microsoft.com/office/drawing/2014/main" id="{37922977-7B78-7F4A-AFD4-3F7D980D9846}"/>
            </a:ext>
          </a:extLst>
        </xdr:cNvPr>
        <xdr:cNvSpPr>
          <a:spLocks noChangeArrowheads="1"/>
        </xdr:cNvSpPr>
      </xdr:nvSpPr>
      <xdr:spPr bwMode="auto">
        <a:xfrm>
          <a:off x="8039100" y="10407650"/>
          <a:ext cx="17145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63</xdr:row>
      <xdr:rowOff>161925</xdr:rowOff>
    </xdr:from>
    <xdr:to>
      <xdr:col>33</xdr:col>
      <xdr:colOff>161925</xdr:colOff>
      <xdr:row>64</xdr:row>
      <xdr:rowOff>142875</xdr:rowOff>
    </xdr:to>
    <xdr:sp macro="" textlink="">
      <xdr:nvSpPr>
        <xdr:cNvPr id="22" name="Oval 357">
          <a:extLst>
            <a:ext uri="{FF2B5EF4-FFF2-40B4-BE49-F238E27FC236}">
              <a16:creationId xmlns:a16="http://schemas.microsoft.com/office/drawing/2014/main" id="{EB416BFC-ECD7-544E-953C-2A85FC4924E7}"/>
            </a:ext>
          </a:extLst>
        </xdr:cNvPr>
        <xdr:cNvSpPr>
          <a:spLocks noChangeArrowheads="1"/>
        </xdr:cNvSpPr>
      </xdr:nvSpPr>
      <xdr:spPr bwMode="auto">
        <a:xfrm>
          <a:off x="8277225" y="10652125"/>
          <a:ext cx="152400" cy="158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133350</xdr:colOff>
      <xdr:row>62</xdr:row>
      <xdr:rowOff>0</xdr:rowOff>
    </xdr:from>
    <xdr:to>
      <xdr:col>35</xdr:col>
      <xdr:colOff>38100</xdr:colOff>
      <xdr:row>65</xdr:row>
      <xdr:rowOff>0</xdr:rowOff>
    </xdr:to>
    <xdr:sp macro="" textlink="">
      <xdr:nvSpPr>
        <xdr:cNvPr id="23" name="Oval 358">
          <a:extLst>
            <a:ext uri="{FF2B5EF4-FFF2-40B4-BE49-F238E27FC236}">
              <a16:creationId xmlns:a16="http://schemas.microsoft.com/office/drawing/2014/main" id="{46013FAE-90C0-BF44-AF05-E9A121E585BA}"/>
            </a:ext>
          </a:extLst>
        </xdr:cNvPr>
        <xdr:cNvSpPr>
          <a:spLocks noChangeArrowheads="1"/>
        </xdr:cNvSpPr>
      </xdr:nvSpPr>
      <xdr:spPr bwMode="auto">
        <a:xfrm>
          <a:off x="8020050" y="10312400"/>
          <a:ext cx="666750" cy="5334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57150</xdr:colOff>
      <xdr:row>21</xdr:row>
      <xdr:rowOff>95250</xdr:rowOff>
    </xdr:from>
    <xdr:to>
      <xdr:col>21</xdr:col>
      <xdr:colOff>9525</xdr:colOff>
      <xdr:row>21</xdr:row>
      <xdr:rowOff>95250</xdr:rowOff>
    </xdr:to>
    <xdr:sp macro="" textlink="">
      <xdr:nvSpPr>
        <xdr:cNvPr id="24" name="Line 378">
          <a:extLst>
            <a:ext uri="{FF2B5EF4-FFF2-40B4-BE49-F238E27FC236}">
              <a16:creationId xmlns:a16="http://schemas.microsoft.com/office/drawing/2014/main" id="{A9201ECE-0B5E-DD4C-86F9-687095300E24}"/>
            </a:ext>
          </a:extLst>
        </xdr:cNvPr>
        <xdr:cNvSpPr>
          <a:spLocks noChangeShapeType="1"/>
        </xdr:cNvSpPr>
      </xdr:nvSpPr>
      <xdr:spPr bwMode="auto">
        <a:xfrm>
          <a:off x="3854450" y="3486150"/>
          <a:ext cx="16541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31</xdr:col>
      <xdr:colOff>0</xdr:colOff>
      <xdr:row>225</xdr:row>
      <xdr:rowOff>0</xdr:rowOff>
    </xdr:from>
    <xdr:to>
      <xdr:col>31</xdr:col>
      <xdr:colOff>0</xdr:colOff>
      <xdr:row>225</xdr:row>
      <xdr:rowOff>0</xdr:rowOff>
    </xdr:to>
    <xdr:sp macro="" textlink="">
      <xdr:nvSpPr>
        <xdr:cNvPr id="25" name="Line 392">
          <a:extLst>
            <a:ext uri="{FF2B5EF4-FFF2-40B4-BE49-F238E27FC236}">
              <a16:creationId xmlns:a16="http://schemas.microsoft.com/office/drawing/2014/main" id="{E69E892B-144A-CC42-A1ED-010F05545C98}"/>
            </a:ext>
          </a:extLst>
        </xdr:cNvPr>
        <xdr:cNvSpPr>
          <a:spLocks noChangeShapeType="1"/>
        </xdr:cNvSpPr>
      </xdr:nvSpPr>
      <xdr:spPr bwMode="auto">
        <a:xfrm>
          <a:off x="7886700" y="38239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143</xdr:row>
      <xdr:rowOff>66675</xdr:rowOff>
    </xdr:from>
    <xdr:to>
      <xdr:col>9</xdr:col>
      <xdr:colOff>123825</xdr:colOff>
      <xdr:row>143</xdr:row>
      <xdr:rowOff>190500</xdr:rowOff>
    </xdr:to>
    <xdr:sp macro="" textlink="">
      <xdr:nvSpPr>
        <xdr:cNvPr id="26" name="Line 395">
          <a:extLst>
            <a:ext uri="{FF2B5EF4-FFF2-40B4-BE49-F238E27FC236}">
              <a16:creationId xmlns:a16="http://schemas.microsoft.com/office/drawing/2014/main" id="{9D92C7BD-E8E5-564D-B7DA-12DA02431877}"/>
            </a:ext>
          </a:extLst>
        </xdr:cNvPr>
        <xdr:cNvSpPr>
          <a:spLocks noChangeShapeType="1"/>
        </xdr:cNvSpPr>
      </xdr:nvSpPr>
      <xdr:spPr bwMode="auto">
        <a:xfrm>
          <a:off x="1771650" y="23333075"/>
          <a:ext cx="66675" cy="1238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123825</xdr:colOff>
      <xdr:row>142</xdr:row>
      <xdr:rowOff>28575</xdr:rowOff>
    </xdr:from>
    <xdr:to>
      <xdr:col>10</xdr:col>
      <xdr:colOff>104775</xdr:colOff>
      <xdr:row>144</xdr:row>
      <xdr:rowOff>0</xdr:rowOff>
    </xdr:to>
    <xdr:sp macro="" textlink="">
      <xdr:nvSpPr>
        <xdr:cNvPr id="27" name="Line 396">
          <a:extLst>
            <a:ext uri="{FF2B5EF4-FFF2-40B4-BE49-F238E27FC236}">
              <a16:creationId xmlns:a16="http://schemas.microsoft.com/office/drawing/2014/main" id="{355E9617-BC10-8A4C-A30F-09DDE308F2B0}"/>
            </a:ext>
          </a:extLst>
        </xdr:cNvPr>
        <xdr:cNvSpPr>
          <a:spLocks noChangeShapeType="1"/>
        </xdr:cNvSpPr>
      </xdr:nvSpPr>
      <xdr:spPr bwMode="auto">
        <a:xfrm flipV="1">
          <a:off x="1838325" y="23066375"/>
          <a:ext cx="920750" cy="390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95250</xdr:colOff>
      <xdr:row>142</xdr:row>
      <xdr:rowOff>28575</xdr:rowOff>
    </xdr:from>
    <xdr:to>
      <xdr:col>22</xdr:col>
      <xdr:colOff>152400</xdr:colOff>
      <xdr:row>142</xdr:row>
      <xdr:rowOff>28575</xdr:rowOff>
    </xdr:to>
    <xdr:sp macro="" textlink="">
      <xdr:nvSpPr>
        <xdr:cNvPr id="28" name="Line 397">
          <a:extLst>
            <a:ext uri="{FF2B5EF4-FFF2-40B4-BE49-F238E27FC236}">
              <a16:creationId xmlns:a16="http://schemas.microsoft.com/office/drawing/2014/main" id="{296BB190-385C-574D-8C59-EAE66A35DA7A}"/>
            </a:ext>
          </a:extLst>
        </xdr:cNvPr>
        <xdr:cNvSpPr>
          <a:spLocks noChangeShapeType="1"/>
        </xdr:cNvSpPr>
      </xdr:nvSpPr>
      <xdr:spPr bwMode="auto">
        <a:xfrm>
          <a:off x="2749550" y="23066375"/>
          <a:ext cx="30924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152400</xdr:colOff>
      <xdr:row>42</xdr:row>
      <xdr:rowOff>85725</xdr:rowOff>
    </xdr:from>
    <xdr:to>
      <xdr:col>16</xdr:col>
      <xdr:colOff>133350</xdr:colOff>
      <xdr:row>42</xdr:row>
      <xdr:rowOff>123825</xdr:rowOff>
    </xdr:to>
    <xdr:sp macro="" textlink="">
      <xdr:nvSpPr>
        <xdr:cNvPr id="29" name="Line 427">
          <a:extLst>
            <a:ext uri="{FF2B5EF4-FFF2-40B4-BE49-F238E27FC236}">
              <a16:creationId xmlns:a16="http://schemas.microsoft.com/office/drawing/2014/main" id="{7B6EBD98-F076-2C45-A939-30639A0A68C7}"/>
            </a:ext>
          </a:extLst>
        </xdr:cNvPr>
        <xdr:cNvSpPr>
          <a:spLocks noChangeShapeType="1"/>
        </xdr:cNvSpPr>
      </xdr:nvSpPr>
      <xdr:spPr bwMode="auto">
        <a:xfrm flipV="1">
          <a:off x="2997200" y="7108825"/>
          <a:ext cx="93345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57150</xdr:colOff>
      <xdr:row>193</xdr:row>
      <xdr:rowOff>66675</xdr:rowOff>
    </xdr:from>
    <xdr:to>
      <xdr:col>9</xdr:col>
      <xdr:colOff>139700</xdr:colOff>
      <xdr:row>193</xdr:row>
      <xdr:rowOff>190500</xdr:rowOff>
    </xdr:to>
    <xdr:sp macro="" textlink="">
      <xdr:nvSpPr>
        <xdr:cNvPr id="30" name="Line 480">
          <a:extLst>
            <a:ext uri="{FF2B5EF4-FFF2-40B4-BE49-F238E27FC236}">
              <a16:creationId xmlns:a16="http://schemas.microsoft.com/office/drawing/2014/main" id="{F7052E04-1425-614B-8526-FC5BEED47C57}"/>
            </a:ext>
          </a:extLst>
        </xdr:cNvPr>
        <xdr:cNvSpPr>
          <a:spLocks noChangeShapeType="1"/>
        </xdr:cNvSpPr>
      </xdr:nvSpPr>
      <xdr:spPr bwMode="auto">
        <a:xfrm>
          <a:off x="1771650" y="32311975"/>
          <a:ext cx="82550" cy="1238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139699</xdr:colOff>
      <xdr:row>192</xdr:row>
      <xdr:rowOff>28574</xdr:rowOff>
    </xdr:from>
    <xdr:to>
      <xdr:col>10</xdr:col>
      <xdr:colOff>104774</xdr:colOff>
      <xdr:row>193</xdr:row>
      <xdr:rowOff>196849</xdr:rowOff>
    </xdr:to>
    <xdr:sp macro="" textlink="">
      <xdr:nvSpPr>
        <xdr:cNvPr id="31" name="Line 481">
          <a:extLst>
            <a:ext uri="{FF2B5EF4-FFF2-40B4-BE49-F238E27FC236}">
              <a16:creationId xmlns:a16="http://schemas.microsoft.com/office/drawing/2014/main" id="{419F8FE6-3FAC-2940-91F3-B3AF59A3D114}"/>
            </a:ext>
          </a:extLst>
        </xdr:cNvPr>
        <xdr:cNvSpPr>
          <a:spLocks noChangeShapeType="1"/>
        </xdr:cNvSpPr>
      </xdr:nvSpPr>
      <xdr:spPr bwMode="auto">
        <a:xfrm flipV="1">
          <a:off x="1854199" y="32019874"/>
          <a:ext cx="904875" cy="422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95250</xdr:colOff>
      <xdr:row>192</xdr:row>
      <xdr:rowOff>28575</xdr:rowOff>
    </xdr:from>
    <xdr:to>
      <xdr:col>22</xdr:col>
      <xdr:colOff>152400</xdr:colOff>
      <xdr:row>192</xdr:row>
      <xdr:rowOff>28575</xdr:rowOff>
    </xdr:to>
    <xdr:sp macro="" textlink="">
      <xdr:nvSpPr>
        <xdr:cNvPr id="32" name="Line 482">
          <a:extLst>
            <a:ext uri="{FF2B5EF4-FFF2-40B4-BE49-F238E27FC236}">
              <a16:creationId xmlns:a16="http://schemas.microsoft.com/office/drawing/2014/main" id="{EB061B02-AFA8-BC4F-804E-65F05B84F4EB}"/>
            </a:ext>
          </a:extLst>
        </xdr:cNvPr>
        <xdr:cNvSpPr>
          <a:spLocks noChangeShapeType="1"/>
        </xdr:cNvSpPr>
      </xdr:nvSpPr>
      <xdr:spPr bwMode="auto">
        <a:xfrm>
          <a:off x="2749550" y="32019875"/>
          <a:ext cx="30924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9525</xdr:colOff>
      <xdr:row>212</xdr:row>
      <xdr:rowOff>104775</xdr:rowOff>
    </xdr:from>
    <xdr:to>
      <xdr:col>21</xdr:col>
      <xdr:colOff>142875</xdr:colOff>
      <xdr:row>212</xdr:row>
      <xdr:rowOff>104775</xdr:rowOff>
    </xdr:to>
    <xdr:sp macro="" textlink="">
      <xdr:nvSpPr>
        <xdr:cNvPr id="33" name="Line 495">
          <a:extLst>
            <a:ext uri="{FF2B5EF4-FFF2-40B4-BE49-F238E27FC236}">
              <a16:creationId xmlns:a16="http://schemas.microsoft.com/office/drawing/2014/main" id="{CA99461C-1419-B247-886E-FD2F3DD64ADF}"/>
            </a:ext>
          </a:extLst>
        </xdr:cNvPr>
        <xdr:cNvSpPr>
          <a:spLocks noChangeShapeType="1"/>
        </xdr:cNvSpPr>
      </xdr:nvSpPr>
      <xdr:spPr bwMode="auto">
        <a:xfrm>
          <a:off x="5127625" y="3588067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28</xdr:col>
      <xdr:colOff>9525</xdr:colOff>
      <xdr:row>164</xdr:row>
      <xdr:rowOff>104775</xdr:rowOff>
    </xdr:from>
    <xdr:to>
      <xdr:col>29</xdr:col>
      <xdr:colOff>142875</xdr:colOff>
      <xdr:row>165</xdr:row>
      <xdr:rowOff>95250</xdr:rowOff>
    </xdr:to>
    <xdr:sp macro="" textlink="">
      <xdr:nvSpPr>
        <xdr:cNvPr id="34" name="Line 496">
          <a:extLst>
            <a:ext uri="{FF2B5EF4-FFF2-40B4-BE49-F238E27FC236}">
              <a16:creationId xmlns:a16="http://schemas.microsoft.com/office/drawing/2014/main" id="{C4758320-D549-3540-9A3B-37DB71BF5353}"/>
            </a:ext>
          </a:extLst>
        </xdr:cNvPr>
        <xdr:cNvSpPr>
          <a:spLocks noChangeShapeType="1"/>
        </xdr:cNvSpPr>
      </xdr:nvSpPr>
      <xdr:spPr bwMode="auto">
        <a:xfrm flipH="1">
          <a:off x="6867525" y="27117675"/>
          <a:ext cx="781050" cy="168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Cable%20Calc/Cable%20Calculation%20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/Google%20Drive/Documents/Job/Technogen/OneDrive_1_18-09-2020/E-Load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 Calculator"/>
      <sheetName val="AS3008 Look_Up_Tables"/>
      <sheetName val="Motor Data"/>
    </sheetNames>
    <sheetDataSet>
      <sheetData sheetId="0"/>
      <sheetData sheetId="1">
        <row r="2">
          <cell r="F2" t="str">
            <v>Cable Size [mm2]</v>
          </cell>
          <cell r="G2" t="str">
            <v>Lookup Row Number</v>
          </cell>
          <cell r="H2" t="str">
            <v>Current - Air - 1c - XLPE - Std</v>
          </cell>
          <cell r="I2" t="str">
            <v>Current - Air - 1c - PVC-V90 - Std</v>
          </cell>
          <cell r="J2" t="str">
            <v>Current - Ground - 1c - XLPE - Std</v>
          </cell>
          <cell r="K2" t="str">
            <v>Current - Ground - 1c - PVC-V90 - Std</v>
          </cell>
          <cell r="L2" t="str">
            <v>Current - Enclosure - 1c - XLPE - Std</v>
          </cell>
          <cell r="M2" t="str">
            <v>Current - Enclosure - 1c - PVC-V90 - Std</v>
          </cell>
          <cell r="N2" t="str">
            <v>Current - Air - 3c - XLPE - Std</v>
          </cell>
          <cell r="O2" t="str">
            <v>Current - Air - 3c - PVC-V90 - Std</v>
          </cell>
          <cell r="P2" t="str">
            <v>Current - Ground - 3c - XLPE - Std</v>
          </cell>
          <cell r="Q2" t="str">
            <v>Current - Ground - 3c - PVC-V90 - Std</v>
          </cell>
          <cell r="R2" t="str">
            <v>Current - Enclosure - 3c - XLPE - Std</v>
          </cell>
          <cell r="S2" t="str">
            <v>Current - Enclosure - 3c - PVC-V90 - Std</v>
          </cell>
          <cell r="T2" t="str">
            <v>R - 1c - XLPE</v>
          </cell>
          <cell r="U2" t="str">
            <v>R - 1c - PVC-V90</v>
          </cell>
          <cell r="V2" t="str">
            <v>R - 3c - XLPE</v>
          </cell>
          <cell r="W2" t="str">
            <v>R - 3c - PVC-V90</v>
          </cell>
          <cell r="X2" t="str">
            <v>X - 1c - XLPE</v>
          </cell>
          <cell r="Y2" t="str">
            <v>X - 1c - PVC-V90</v>
          </cell>
          <cell r="Z2" t="str">
            <v>X - 3c - XLPE</v>
          </cell>
          <cell r="AA2" t="str">
            <v>X - 3c - PVC-V90</v>
          </cell>
          <cell r="AB2" t="str">
            <v>mV/Am - 1c - XLPE</v>
          </cell>
          <cell r="AC2" t="str">
            <v>mV/Am - 1c - PVC-V90</v>
          </cell>
          <cell r="AD2" t="str">
            <v>mV/Am - 3c - XLPE</v>
          </cell>
          <cell r="AE2" t="str">
            <v>mV/Am - 3c - PVC-V90</v>
          </cell>
        </row>
        <row r="3">
          <cell r="F3">
            <v>1</v>
          </cell>
          <cell r="G3">
            <v>2</v>
          </cell>
          <cell r="H3" t="e">
            <v>#VALUE!</v>
          </cell>
          <cell r="I3" t="e">
            <v>#VALUE!</v>
          </cell>
          <cell r="J3" t="e">
            <v>#VALUE!</v>
          </cell>
          <cell r="K3" t="e">
            <v>#VALUE!</v>
          </cell>
          <cell r="L3" t="e">
            <v>#VALUE!</v>
          </cell>
          <cell r="M3" t="e">
            <v>#VALUE!</v>
          </cell>
          <cell r="N3" t="e">
            <v>#VALUE!</v>
          </cell>
          <cell r="O3" t="e">
            <v>#VALUE!</v>
          </cell>
          <cell r="P3" t="e">
            <v>#VALUE!</v>
          </cell>
          <cell r="Q3" t="e">
            <v>#VALUE!</v>
          </cell>
          <cell r="R3" t="e">
            <v>#VALUE!</v>
          </cell>
          <cell r="S3" t="e">
            <v>#VALUE!</v>
          </cell>
          <cell r="T3" t="e">
            <v>#VALUE!</v>
          </cell>
          <cell r="U3" t="e">
            <v>#VALUE!</v>
          </cell>
          <cell r="V3" t="e">
            <v>#VALUE!</v>
          </cell>
          <cell r="W3" t="e">
            <v>#VALUE!</v>
          </cell>
          <cell r="X3">
            <v>0.18099999999999999</v>
          </cell>
          <cell r="Y3">
            <v>0.184</v>
          </cell>
          <cell r="Z3">
            <v>0.114</v>
          </cell>
          <cell r="AA3">
            <v>0.11899999999999999</v>
          </cell>
          <cell r="AB3" t="e">
            <v>#VALUE!</v>
          </cell>
          <cell r="AC3" t="e">
            <v>#VALUE!</v>
          </cell>
          <cell r="AD3" t="e">
            <v>#VALUE!</v>
          </cell>
          <cell r="AE3" t="e">
            <v>#VALUE!</v>
          </cell>
        </row>
        <row r="4">
          <cell r="A4">
            <v>0.18</v>
          </cell>
          <cell r="F4">
            <v>1.5</v>
          </cell>
          <cell r="G4">
            <v>3</v>
          </cell>
          <cell r="H4" t="e">
            <v>#VALUE!</v>
          </cell>
          <cell r="I4" t="e">
            <v>#VALUE!</v>
          </cell>
          <cell r="J4" t="e">
            <v>#VALUE!</v>
          </cell>
          <cell r="K4" t="e">
            <v>#VALUE!</v>
          </cell>
          <cell r="L4" t="e">
            <v>#VALUE!</v>
          </cell>
          <cell r="M4" t="e">
            <v>#VALUE!</v>
          </cell>
          <cell r="N4" t="e">
            <v>#VALUE!</v>
          </cell>
          <cell r="O4" t="e">
            <v>#VALUE!</v>
          </cell>
          <cell r="P4" t="e">
            <v>#VALUE!</v>
          </cell>
          <cell r="Q4" t="e">
            <v>#VALUE!</v>
          </cell>
          <cell r="R4" t="e">
            <v>#VALUE!</v>
          </cell>
          <cell r="S4" t="e">
            <v>#VALUE!</v>
          </cell>
          <cell r="T4" t="e">
            <v>#VALUE!</v>
          </cell>
          <cell r="U4" t="e">
            <v>#VALUE!</v>
          </cell>
          <cell r="V4" t="e">
            <v>#VALUE!</v>
          </cell>
          <cell r="W4" t="e">
            <v>#VALUE!</v>
          </cell>
          <cell r="X4">
            <v>0.17</v>
          </cell>
          <cell r="Y4">
            <v>0.17199999999999999</v>
          </cell>
          <cell r="Z4">
            <v>0.107</v>
          </cell>
          <cell r="AA4">
            <v>0.111</v>
          </cell>
          <cell r="AB4" t="e">
            <v>#VALUE!</v>
          </cell>
          <cell r="AC4" t="e">
            <v>#VALUE!</v>
          </cell>
          <cell r="AD4" t="e">
            <v>#VALUE!</v>
          </cell>
          <cell r="AE4" t="e">
            <v>#VALUE!</v>
          </cell>
        </row>
        <row r="5">
          <cell r="A5">
            <v>0.37</v>
          </cell>
          <cell r="F5">
            <v>2.5</v>
          </cell>
          <cell r="G5">
            <v>4</v>
          </cell>
          <cell r="H5" t="e">
            <v>#VALUE!</v>
          </cell>
          <cell r="I5" t="e">
            <v>#VALUE!</v>
          </cell>
          <cell r="J5" t="e">
            <v>#VALUE!</v>
          </cell>
          <cell r="K5" t="e">
            <v>#VALUE!</v>
          </cell>
          <cell r="L5" t="e">
            <v>#VALUE!</v>
          </cell>
          <cell r="M5" t="e">
            <v>#VALUE!</v>
          </cell>
          <cell r="N5" t="e">
            <v>#VALUE!</v>
          </cell>
          <cell r="O5" t="e">
            <v>#VALUE!</v>
          </cell>
          <cell r="P5" t="e">
            <v>#VALUE!</v>
          </cell>
          <cell r="Q5" t="e">
            <v>#VALUE!</v>
          </cell>
          <cell r="R5" t="e">
            <v>#VALUE!</v>
          </cell>
          <cell r="S5" t="e">
            <v>#VALUE!</v>
          </cell>
          <cell r="T5" t="e">
            <v>#VALUE!</v>
          </cell>
          <cell r="U5" t="e">
            <v>#VALUE!</v>
          </cell>
          <cell r="V5" t="e">
            <v>#VALUE!</v>
          </cell>
          <cell r="W5" t="e">
            <v>#VALUE!</v>
          </cell>
          <cell r="X5">
            <v>0.156</v>
          </cell>
          <cell r="Y5">
            <v>0.159</v>
          </cell>
          <cell r="Z5">
            <v>9.8799999999999999E-2</v>
          </cell>
          <cell r="AA5">
            <v>0.10199999999999999</v>
          </cell>
          <cell r="AB5" t="e">
            <v>#VALUE!</v>
          </cell>
          <cell r="AC5" t="e">
            <v>#VALUE!</v>
          </cell>
          <cell r="AD5" t="e">
            <v>#VALUE!</v>
          </cell>
          <cell r="AE5" t="e">
            <v>#VALUE!</v>
          </cell>
        </row>
        <row r="6">
          <cell r="A6">
            <v>0.55000000000000004</v>
          </cell>
          <cell r="F6">
            <v>4</v>
          </cell>
          <cell r="G6">
            <v>5</v>
          </cell>
          <cell r="H6" t="e">
            <v>#VALUE!</v>
          </cell>
          <cell r="I6" t="e">
            <v>#VALUE!</v>
          </cell>
          <cell r="J6" t="e">
            <v>#VALUE!</v>
          </cell>
          <cell r="K6" t="e">
            <v>#VALUE!</v>
          </cell>
          <cell r="L6" t="e">
            <v>#VALUE!</v>
          </cell>
          <cell r="M6" t="e">
            <v>#VALUE!</v>
          </cell>
          <cell r="N6" t="e">
            <v>#VALUE!</v>
          </cell>
          <cell r="O6" t="e">
            <v>#VALUE!</v>
          </cell>
          <cell r="P6" t="e">
            <v>#VALUE!</v>
          </cell>
          <cell r="Q6" t="e">
            <v>#VALUE!</v>
          </cell>
          <cell r="R6" t="e">
            <v>#VALUE!</v>
          </cell>
          <cell r="S6" t="e">
            <v>#VALUE!</v>
          </cell>
          <cell r="T6" t="e">
            <v>#VALUE!</v>
          </cell>
          <cell r="U6" t="e">
            <v>#VALUE!</v>
          </cell>
          <cell r="V6" t="e">
            <v>#VALUE!</v>
          </cell>
          <cell r="W6" t="e">
            <v>#VALUE!</v>
          </cell>
          <cell r="X6">
            <v>0.14599999999999999</v>
          </cell>
          <cell r="Y6">
            <v>0.152</v>
          </cell>
          <cell r="Z6">
            <v>9.2999999999999999E-2</v>
          </cell>
          <cell r="AA6">
            <v>0.10199999999999999</v>
          </cell>
          <cell r="AB6" t="e">
            <v>#VALUE!</v>
          </cell>
          <cell r="AC6" t="e">
            <v>#VALUE!</v>
          </cell>
          <cell r="AD6" t="e">
            <v>#VALUE!</v>
          </cell>
          <cell r="AE6" t="e">
            <v>#VALUE!</v>
          </cell>
        </row>
        <row r="7">
          <cell r="A7">
            <v>0.75</v>
          </cell>
          <cell r="F7">
            <v>6</v>
          </cell>
          <cell r="G7">
            <v>6</v>
          </cell>
          <cell r="H7" t="e">
            <v>#VALUE!</v>
          </cell>
          <cell r="I7" t="e">
            <v>#VALUE!</v>
          </cell>
          <cell r="J7" t="e">
            <v>#VALUE!</v>
          </cell>
          <cell r="K7" t="e">
            <v>#VALUE!</v>
          </cell>
          <cell r="L7" t="e">
            <v>#VALUE!</v>
          </cell>
          <cell r="M7" t="e">
            <v>#VALUE!</v>
          </cell>
          <cell r="N7" t="e">
            <v>#VALUE!</v>
          </cell>
          <cell r="O7" t="e">
            <v>#VALUE!</v>
          </cell>
          <cell r="P7" t="e">
            <v>#VALUE!</v>
          </cell>
          <cell r="Q7" t="e">
            <v>#VALUE!</v>
          </cell>
          <cell r="R7" t="e">
            <v>#VALUE!</v>
          </cell>
          <cell r="S7" t="e">
            <v>#VALUE!</v>
          </cell>
          <cell r="T7" t="e">
            <v>#VALUE!</v>
          </cell>
          <cell r="U7" t="e">
            <v>#VALUE!</v>
          </cell>
          <cell r="V7" t="e">
            <v>#VALUE!</v>
          </cell>
          <cell r="W7" t="e">
            <v>#VALUE!</v>
          </cell>
          <cell r="X7">
            <v>0.13800000000000001</v>
          </cell>
          <cell r="Y7">
            <v>0.14299999999999999</v>
          </cell>
          <cell r="Z7">
            <v>8.8700000000000001E-2</v>
          </cell>
          <cell r="AA7">
            <v>9.6699999999999994E-2</v>
          </cell>
          <cell r="AB7" t="e">
            <v>#VALUE!</v>
          </cell>
          <cell r="AC7" t="e">
            <v>#VALUE!</v>
          </cell>
          <cell r="AD7" t="e">
            <v>#VALUE!</v>
          </cell>
          <cell r="AE7" t="e">
            <v>#VALUE!</v>
          </cell>
        </row>
        <row r="8">
          <cell r="A8">
            <v>1.1000000000000001</v>
          </cell>
          <cell r="F8">
            <v>10</v>
          </cell>
          <cell r="G8">
            <v>7</v>
          </cell>
          <cell r="H8" t="e">
            <v>#VALUE!</v>
          </cell>
          <cell r="I8" t="e">
            <v>#VALUE!</v>
          </cell>
          <cell r="J8" t="e">
            <v>#VALUE!</v>
          </cell>
          <cell r="K8" t="e">
            <v>#VALUE!</v>
          </cell>
          <cell r="L8" t="e">
            <v>#VALUE!</v>
          </cell>
          <cell r="M8" t="e">
            <v>#VALUE!</v>
          </cell>
          <cell r="N8" t="e">
            <v>#VALUE!</v>
          </cell>
          <cell r="O8" t="e">
            <v>#VALUE!</v>
          </cell>
          <cell r="P8" t="e">
            <v>#VALUE!</v>
          </cell>
          <cell r="Q8" t="e">
            <v>#VALUE!</v>
          </cell>
          <cell r="R8" t="e">
            <v>#VALUE!</v>
          </cell>
          <cell r="S8" t="e">
            <v>#VALUE!</v>
          </cell>
          <cell r="T8" t="e">
            <v>#VALUE!</v>
          </cell>
          <cell r="U8" t="e">
            <v>#VALUE!</v>
          </cell>
          <cell r="V8" t="e">
            <v>#VALUE!</v>
          </cell>
          <cell r="W8" t="e">
            <v>#VALUE!</v>
          </cell>
          <cell r="X8">
            <v>0.129</v>
          </cell>
          <cell r="Y8">
            <v>0.13400000000000001</v>
          </cell>
          <cell r="Z8">
            <v>8.4000000000000005E-2</v>
          </cell>
          <cell r="AA8">
            <v>9.06E-2</v>
          </cell>
          <cell r="AB8" t="e">
            <v>#VALUE!</v>
          </cell>
          <cell r="AC8" t="e">
            <v>#VALUE!</v>
          </cell>
          <cell r="AD8" t="e">
            <v>#VALUE!</v>
          </cell>
          <cell r="AE8" t="e">
            <v>#VALUE!</v>
          </cell>
        </row>
        <row r="9">
          <cell r="A9">
            <v>1.5</v>
          </cell>
          <cell r="F9">
            <v>16</v>
          </cell>
          <cell r="G9">
            <v>8</v>
          </cell>
          <cell r="H9">
            <v>71</v>
          </cell>
          <cell r="I9">
            <v>59</v>
          </cell>
          <cell r="J9">
            <v>91</v>
          </cell>
          <cell r="K9">
            <v>81</v>
          </cell>
          <cell r="L9">
            <v>66</v>
          </cell>
          <cell r="M9">
            <v>60</v>
          </cell>
          <cell r="N9">
            <v>68</v>
          </cell>
          <cell r="O9">
            <v>56</v>
          </cell>
          <cell r="P9">
            <v>85</v>
          </cell>
          <cell r="Q9">
            <v>75</v>
          </cell>
          <cell r="R9">
            <v>63</v>
          </cell>
          <cell r="S9">
            <v>56</v>
          </cell>
          <cell r="T9">
            <v>2.4500000000000002</v>
          </cell>
          <cell r="U9">
            <v>2.4500000000000002</v>
          </cell>
          <cell r="V9">
            <v>2.4500000000000002</v>
          </cell>
          <cell r="W9">
            <v>2.4500000000000002</v>
          </cell>
          <cell r="X9">
            <v>0.122</v>
          </cell>
          <cell r="Y9">
            <v>0.126</v>
          </cell>
          <cell r="Z9">
            <v>8.0500000000000002E-2</v>
          </cell>
          <cell r="AA9">
            <v>8.6099999999999996E-2</v>
          </cell>
          <cell r="AB9">
            <v>4.25</v>
          </cell>
          <cell r="AC9">
            <v>4.25</v>
          </cell>
          <cell r="AD9">
            <v>4.24</v>
          </cell>
          <cell r="AE9">
            <v>4.24</v>
          </cell>
        </row>
        <row r="10">
          <cell r="A10">
            <v>2.2000000000000002</v>
          </cell>
          <cell r="F10">
            <v>25</v>
          </cell>
          <cell r="G10">
            <v>9</v>
          </cell>
          <cell r="H10">
            <v>97</v>
          </cell>
          <cell r="I10">
            <v>80</v>
          </cell>
          <cell r="J10">
            <v>117</v>
          </cell>
          <cell r="K10">
            <v>104</v>
          </cell>
          <cell r="L10">
            <v>87</v>
          </cell>
          <cell r="M10">
            <v>78</v>
          </cell>
          <cell r="N10">
            <v>93</v>
          </cell>
          <cell r="O10">
            <v>75</v>
          </cell>
          <cell r="P10">
            <v>111</v>
          </cell>
          <cell r="Q10">
            <v>97</v>
          </cell>
          <cell r="R10">
            <v>83</v>
          </cell>
          <cell r="S10">
            <v>73</v>
          </cell>
          <cell r="T10">
            <v>1.54</v>
          </cell>
          <cell r="U10">
            <v>1.54</v>
          </cell>
          <cell r="V10">
            <v>1.54</v>
          </cell>
          <cell r="W10">
            <v>1.54</v>
          </cell>
          <cell r="X10">
            <v>0.11799999999999999</v>
          </cell>
          <cell r="Y10">
            <v>0.121</v>
          </cell>
          <cell r="Z10">
            <v>8.0799999999999997E-2</v>
          </cell>
          <cell r="AA10">
            <v>8.5300000000000001E-2</v>
          </cell>
          <cell r="AB10">
            <v>2.67</v>
          </cell>
          <cell r="AC10">
            <v>2.67</v>
          </cell>
          <cell r="AD10">
            <v>2.67</v>
          </cell>
          <cell r="AE10">
            <v>2.67</v>
          </cell>
        </row>
        <row r="11">
          <cell r="A11">
            <v>3</v>
          </cell>
          <cell r="F11">
            <v>35</v>
          </cell>
          <cell r="G11">
            <v>10</v>
          </cell>
          <cell r="H11">
            <v>119</v>
          </cell>
          <cell r="I11">
            <v>98</v>
          </cell>
          <cell r="J11">
            <v>140</v>
          </cell>
          <cell r="K11">
            <v>124</v>
          </cell>
          <cell r="L11">
            <v>106</v>
          </cell>
          <cell r="M11">
            <v>94</v>
          </cell>
          <cell r="N11">
            <v>114</v>
          </cell>
          <cell r="O11">
            <v>93</v>
          </cell>
          <cell r="P11">
            <v>133</v>
          </cell>
          <cell r="Q11">
            <v>117</v>
          </cell>
          <cell r="R11">
            <v>101</v>
          </cell>
          <cell r="S11">
            <v>89</v>
          </cell>
          <cell r="T11">
            <v>1.1100000000000001</v>
          </cell>
          <cell r="U11">
            <v>1.1100000000000001</v>
          </cell>
          <cell r="V11">
            <v>1.1100000000000001</v>
          </cell>
          <cell r="W11">
            <v>1.1100000000000001</v>
          </cell>
          <cell r="X11">
            <v>0.113</v>
          </cell>
          <cell r="Y11">
            <v>0.11700000000000001</v>
          </cell>
          <cell r="Z11">
            <v>7.8600000000000003E-2</v>
          </cell>
          <cell r="AA11">
            <v>8.2600000000000007E-2</v>
          </cell>
          <cell r="AB11">
            <v>1.94</v>
          </cell>
          <cell r="AC11">
            <v>1.94</v>
          </cell>
          <cell r="AD11">
            <v>1.93</v>
          </cell>
          <cell r="AE11">
            <v>1.93</v>
          </cell>
        </row>
        <row r="12">
          <cell r="A12">
            <v>4</v>
          </cell>
          <cell r="F12">
            <v>50</v>
          </cell>
          <cell r="G12">
            <v>11</v>
          </cell>
          <cell r="H12">
            <v>146</v>
          </cell>
          <cell r="I12">
            <v>121</v>
          </cell>
          <cell r="J12">
            <v>166</v>
          </cell>
          <cell r="K12">
            <v>147</v>
          </cell>
          <cell r="L12">
            <v>126</v>
          </cell>
          <cell r="M12">
            <v>112</v>
          </cell>
          <cell r="N12">
            <v>140</v>
          </cell>
          <cell r="O12">
            <v>113</v>
          </cell>
          <cell r="P12">
            <v>159</v>
          </cell>
          <cell r="Q12">
            <v>138</v>
          </cell>
          <cell r="R12">
            <v>120</v>
          </cell>
          <cell r="S12">
            <v>105</v>
          </cell>
          <cell r="T12">
            <v>0.82199999999999995</v>
          </cell>
          <cell r="U12">
            <v>0.82199999999999995</v>
          </cell>
          <cell r="V12">
            <v>0.82199999999999995</v>
          </cell>
          <cell r="W12">
            <v>0.82199999999999995</v>
          </cell>
          <cell r="X12">
            <v>0.108</v>
          </cell>
          <cell r="Y12">
            <v>0.111</v>
          </cell>
          <cell r="Z12">
            <v>7.51E-2</v>
          </cell>
          <cell r="AA12">
            <v>7.9699999999999993E-2</v>
          </cell>
          <cell r="AB12">
            <v>1.44</v>
          </cell>
          <cell r="AC12">
            <v>1.44</v>
          </cell>
          <cell r="AD12">
            <v>1.43</v>
          </cell>
          <cell r="AE12">
            <v>1.43</v>
          </cell>
        </row>
        <row r="13">
          <cell r="A13">
            <v>5.5</v>
          </cell>
          <cell r="F13">
            <v>70</v>
          </cell>
          <cell r="G13">
            <v>12</v>
          </cell>
          <cell r="H13">
            <v>186</v>
          </cell>
          <cell r="I13">
            <v>153</v>
          </cell>
          <cell r="J13">
            <v>203</v>
          </cell>
          <cell r="K13">
            <v>181</v>
          </cell>
          <cell r="L13">
            <v>158</v>
          </cell>
          <cell r="M13">
            <v>140</v>
          </cell>
          <cell r="N13">
            <v>178</v>
          </cell>
          <cell r="O13">
            <v>143</v>
          </cell>
          <cell r="P13">
            <v>195</v>
          </cell>
          <cell r="Q13">
            <v>170</v>
          </cell>
          <cell r="R13">
            <v>150</v>
          </cell>
          <cell r="S13">
            <v>132</v>
          </cell>
          <cell r="T13">
            <v>0.56799999999999995</v>
          </cell>
          <cell r="U13">
            <v>0.56799999999999995</v>
          </cell>
          <cell r="V13">
            <v>0.56899999999999995</v>
          </cell>
          <cell r="W13">
            <v>0.56899999999999995</v>
          </cell>
          <cell r="X13">
            <v>0.104</v>
          </cell>
          <cell r="Y13">
            <v>0.107</v>
          </cell>
          <cell r="Z13">
            <v>7.4099999999999999E-2</v>
          </cell>
          <cell r="AA13">
            <v>7.6999999999999999E-2</v>
          </cell>
          <cell r="AB13">
            <v>1</v>
          </cell>
          <cell r="AC13">
            <v>1</v>
          </cell>
          <cell r="AD13">
            <v>0.99299999999999999</v>
          </cell>
          <cell r="AE13">
            <v>0.99299999999999999</v>
          </cell>
        </row>
        <row r="14">
          <cell r="A14">
            <v>7.5</v>
          </cell>
          <cell r="F14">
            <v>95</v>
          </cell>
          <cell r="G14">
            <v>13</v>
          </cell>
          <cell r="H14">
            <v>232</v>
          </cell>
          <cell r="I14">
            <v>191</v>
          </cell>
          <cell r="J14">
            <v>243</v>
          </cell>
          <cell r="K14">
            <v>216</v>
          </cell>
          <cell r="L14">
            <v>190</v>
          </cell>
          <cell r="M14">
            <v>168</v>
          </cell>
          <cell r="N14">
            <v>220</v>
          </cell>
          <cell r="O14">
            <v>177</v>
          </cell>
          <cell r="P14">
            <v>234</v>
          </cell>
          <cell r="Q14">
            <v>204</v>
          </cell>
          <cell r="R14">
            <v>181</v>
          </cell>
          <cell r="S14">
            <v>161</v>
          </cell>
          <cell r="T14">
            <v>0.41099999999999998</v>
          </cell>
          <cell r="U14">
            <v>0.41099999999999998</v>
          </cell>
          <cell r="V14">
            <v>0.41099999999999998</v>
          </cell>
          <cell r="W14">
            <v>0.41099999999999998</v>
          </cell>
          <cell r="X14">
            <v>0.10199999999999999</v>
          </cell>
          <cell r="Y14">
            <v>0.106</v>
          </cell>
          <cell r="Z14">
            <v>7.2499999999999995E-2</v>
          </cell>
          <cell r="AA14">
            <v>7.6600000000000001E-2</v>
          </cell>
          <cell r="AB14">
            <v>0.73299999999999998</v>
          </cell>
          <cell r="AC14">
            <v>0.73299999999999998</v>
          </cell>
          <cell r="AD14">
            <v>0.72299999999999998</v>
          </cell>
          <cell r="AE14">
            <v>0.72299999999999998</v>
          </cell>
        </row>
        <row r="15">
          <cell r="A15">
            <v>11</v>
          </cell>
          <cell r="F15">
            <v>120</v>
          </cell>
          <cell r="G15">
            <v>14</v>
          </cell>
          <cell r="H15">
            <v>271</v>
          </cell>
          <cell r="I15">
            <v>223</v>
          </cell>
          <cell r="J15">
            <v>277</v>
          </cell>
          <cell r="K15">
            <v>247</v>
          </cell>
          <cell r="L15">
            <v>221</v>
          </cell>
          <cell r="M15">
            <v>196</v>
          </cell>
          <cell r="N15">
            <v>256</v>
          </cell>
          <cell r="O15">
            <v>206</v>
          </cell>
          <cell r="P15">
            <v>267</v>
          </cell>
          <cell r="Q15">
            <v>233</v>
          </cell>
          <cell r="R15">
            <v>210</v>
          </cell>
          <cell r="S15">
            <v>184</v>
          </cell>
          <cell r="T15">
            <v>0.32500000000000001</v>
          </cell>
          <cell r="U15">
            <v>0.32500000000000001</v>
          </cell>
          <cell r="V15">
            <v>0.32500000000000001</v>
          </cell>
          <cell r="W15">
            <v>0.32500000000000001</v>
          </cell>
          <cell r="X15">
            <v>9.9599999999999994E-2</v>
          </cell>
          <cell r="Y15">
            <v>0.10199999999999999</v>
          </cell>
          <cell r="Z15">
            <v>7.1300000000000002E-2</v>
          </cell>
          <cell r="AA15">
            <v>7.4300000000000005E-2</v>
          </cell>
          <cell r="AB15">
            <v>0.58899999999999997</v>
          </cell>
          <cell r="AC15">
            <v>0.58899999999999997</v>
          </cell>
          <cell r="AD15">
            <v>0.57699999999999996</v>
          </cell>
          <cell r="AE15">
            <v>0.57699999999999996</v>
          </cell>
        </row>
        <row r="16">
          <cell r="A16">
            <v>15</v>
          </cell>
          <cell r="F16">
            <v>150</v>
          </cell>
          <cell r="G16">
            <v>15</v>
          </cell>
          <cell r="H16">
            <v>313</v>
          </cell>
          <cell r="I16">
            <v>256</v>
          </cell>
          <cell r="J16">
            <v>310</v>
          </cell>
          <cell r="K16">
            <v>276</v>
          </cell>
          <cell r="L16">
            <v>249</v>
          </cell>
          <cell r="M16">
            <v>220</v>
          </cell>
          <cell r="N16">
            <v>293</v>
          </cell>
          <cell r="O16">
            <v>235</v>
          </cell>
          <cell r="P16">
            <v>299</v>
          </cell>
          <cell r="Q16">
            <v>261</v>
          </cell>
          <cell r="R16">
            <v>236</v>
          </cell>
          <cell r="S16">
            <v>207</v>
          </cell>
          <cell r="T16">
            <v>0.26500000000000001</v>
          </cell>
          <cell r="U16">
            <v>0.26500000000000001</v>
          </cell>
          <cell r="V16">
            <v>0.26500000000000001</v>
          </cell>
          <cell r="W16">
            <v>0.26500000000000001</v>
          </cell>
          <cell r="X16">
            <v>9.9599999999999994E-2</v>
          </cell>
          <cell r="Y16">
            <v>0.10199999999999999</v>
          </cell>
          <cell r="Z16">
            <v>7.1800000000000003E-2</v>
          </cell>
          <cell r="AA16">
            <v>7.4499999999999997E-2</v>
          </cell>
          <cell r="AB16">
            <v>0.49099999999999999</v>
          </cell>
          <cell r="AC16">
            <v>0.49099999999999999</v>
          </cell>
          <cell r="AD16">
            <v>0.47599999999999998</v>
          </cell>
          <cell r="AE16">
            <v>0.47599999999999998</v>
          </cell>
        </row>
        <row r="17">
          <cell r="A17">
            <v>18.5</v>
          </cell>
          <cell r="F17">
            <v>185</v>
          </cell>
          <cell r="G17">
            <v>16</v>
          </cell>
          <cell r="H17">
            <v>365</v>
          </cell>
          <cell r="I17">
            <v>299</v>
          </cell>
          <cell r="J17">
            <v>352</v>
          </cell>
          <cell r="K17">
            <v>313</v>
          </cell>
          <cell r="L17">
            <v>283</v>
          </cell>
          <cell r="M17">
            <v>253</v>
          </cell>
          <cell r="N17">
            <v>340</v>
          </cell>
          <cell r="O17">
            <v>272</v>
          </cell>
          <cell r="P17">
            <v>340</v>
          </cell>
          <cell r="Q17">
            <v>296</v>
          </cell>
          <cell r="R17">
            <v>272</v>
          </cell>
          <cell r="S17">
            <v>237</v>
          </cell>
          <cell r="T17">
            <v>0.21199999999999999</v>
          </cell>
          <cell r="U17">
            <v>0.21199999999999999</v>
          </cell>
          <cell r="V17">
            <v>0.21199999999999999</v>
          </cell>
          <cell r="W17">
            <v>0.21199999999999999</v>
          </cell>
          <cell r="X17">
            <v>9.8799999999999999E-2</v>
          </cell>
          <cell r="Y17">
            <v>0.10100000000000001</v>
          </cell>
          <cell r="Z17">
            <v>7.1999999999999995E-2</v>
          </cell>
          <cell r="AA17">
            <v>7.4399999999999994E-2</v>
          </cell>
          <cell r="AB17">
            <v>0.40400000000000003</v>
          </cell>
          <cell r="AC17">
            <v>0.40400000000000003</v>
          </cell>
          <cell r="AD17">
            <v>0.38800000000000001</v>
          </cell>
          <cell r="AE17">
            <v>0.38800000000000001</v>
          </cell>
        </row>
        <row r="18">
          <cell r="A18">
            <v>22</v>
          </cell>
          <cell r="F18">
            <v>240</v>
          </cell>
          <cell r="G18">
            <v>17</v>
          </cell>
          <cell r="H18">
            <v>438</v>
          </cell>
          <cell r="I18">
            <v>358</v>
          </cell>
          <cell r="J18">
            <v>409</v>
          </cell>
          <cell r="K18">
            <v>364</v>
          </cell>
          <cell r="L18">
            <v>333</v>
          </cell>
          <cell r="M18">
            <v>295</v>
          </cell>
          <cell r="N18">
            <v>405</v>
          </cell>
          <cell r="O18">
            <v>323</v>
          </cell>
          <cell r="P18">
            <v>395</v>
          </cell>
          <cell r="Q18">
            <v>344</v>
          </cell>
          <cell r="R18">
            <v>322</v>
          </cell>
          <cell r="S18">
            <v>281</v>
          </cell>
          <cell r="T18">
            <v>0.16200000000000001</v>
          </cell>
          <cell r="U18">
            <v>0.16200000000000001</v>
          </cell>
          <cell r="V18">
            <v>0.16200000000000001</v>
          </cell>
          <cell r="W18">
            <v>0.16200000000000001</v>
          </cell>
          <cell r="X18">
            <v>9.7000000000000003E-2</v>
          </cell>
          <cell r="Y18">
            <v>9.9900000000000003E-2</v>
          </cell>
          <cell r="Z18">
            <v>7.0900000000000005E-2</v>
          </cell>
          <cell r="AA18">
            <v>7.3499999999999996E-2</v>
          </cell>
          <cell r="AB18">
            <v>0.32700000000000001</v>
          </cell>
          <cell r="AC18">
            <v>0.32700000000000001</v>
          </cell>
          <cell r="AD18">
            <v>0.307</v>
          </cell>
          <cell r="AE18">
            <v>0.307</v>
          </cell>
        </row>
        <row r="19">
          <cell r="A19">
            <v>30</v>
          </cell>
          <cell r="F19">
            <v>300</v>
          </cell>
          <cell r="G19">
            <v>18</v>
          </cell>
          <cell r="H19">
            <v>508</v>
          </cell>
          <cell r="I19">
            <v>415</v>
          </cell>
          <cell r="J19">
            <v>463</v>
          </cell>
          <cell r="K19">
            <v>412</v>
          </cell>
          <cell r="L19">
            <v>385</v>
          </cell>
          <cell r="M19">
            <v>341</v>
          </cell>
          <cell r="N19">
            <v>467</v>
          </cell>
          <cell r="O19">
            <v>372</v>
          </cell>
          <cell r="P19">
            <v>446</v>
          </cell>
          <cell r="Q19">
            <v>388</v>
          </cell>
          <cell r="R19">
            <v>365</v>
          </cell>
          <cell r="S19">
            <v>318</v>
          </cell>
          <cell r="T19">
            <v>0.13</v>
          </cell>
          <cell r="U19">
            <v>0.13</v>
          </cell>
          <cell r="V19">
            <v>0.13100000000000001</v>
          </cell>
          <cell r="W19">
            <v>0.13100000000000001</v>
          </cell>
          <cell r="X19">
            <v>9.6100000000000005E-2</v>
          </cell>
          <cell r="Y19">
            <v>9.9099999999999994E-2</v>
          </cell>
          <cell r="Z19">
            <v>7.0400000000000004E-2</v>
          </cell>
          <cell r="AA19">
            <v>7.3200000000000001E-2</v>
          </cell>
          <cell r="AB19">
            <v>0.28100000000000003</v>
          </cell>
          <cell r="AC19">
            <v>0.28100000000000003</v>
          </cell>
          <cell r="AD19">
            <v>0.25800000000000001</v>
          </cell>
          <cell r="AE19">
            <v>0.25800000000000001</v>
          </cell>
        </row>
        <row r="20">
          <cell r="A20">
            <v>37</v>
          </cell>
          <cell r="F20">
            <v>400</v>
          </cell>
          <cell r="G20">
            <v>19</v>
          </cell>
          <cell r="H20">
            <v>599</v>
          </cell>
          <cell r="I20">
            <v>488</v>
          </cell>
          <cell r="J20">
            <v>530</v>
          </cell>
          <cell r="K20">
            <v>471</v>
          </cell>
          <cell r="L20">
            <v>442</v>
          </cell>
          <cell r="M20">
            <v>391</v>
          </cell>
          <cell r="N20">
            <v>546</v>
          </cell>
          <cell r="O20">
            <v>434</v>
          </cell>
          <cell r="P20">
            <v>510</v>
          </cell>
          <cell r="Q20">
            <v>444</v>
          </cell>
          <cell r="R20">
            <v>417</v>
          </cell>
          <cell r="S20">
            <v>374</v>
          </cell>
          <cell r="T20">
            <v>0.10299999999999999</v>
          </cell>
          <cell r="U20">
            <v>0.10299999999999999</v>
          </cell>
          <cell r="V20">
            <v>0.10299999999999999</v>
          </cell>
          <cell r="W20">
            <v>0.10299999999999999</v>
          </cell>
          <cell r="X20">
            <v>9.5500000000000002E-2</v>
          </cell>
          <cell r="Y20">
            <v>9.8199999999999996E-2</v>
          </cell>
          <cell r="Z20">
            <v>7.0199999999999999E-2</v>
          </cell>
          <cell r="AA20">
            <v>7.2800000000000004E-2</v>
          </cell>
          <cell r="AB20">
            <v>0.24299999999999999</v>
          </cell>
          <cell r="AC20">
            <v>0.24299999999999999</v>
          </cell>
          <cell r="AD20">
            <v>0.216</v>
          </cell>
          <cell r="AE20">
            <v>0.216</v>
          </cell>
        </row>
        <row r="21">
          <cell r="A21">
            <v>45</v>
          </cell>
          <cell r="F21">
            <v>500</v>
          </cell>
          <cell r="G21">
            <v>20</v>
          </cell>
          <cell r="H21">
            <v>703</v>
          </cell>
          <cell r="I21">
            <v>571</v>
          </cell>
          <cell r="J21">
            <v>604</v>
          </cell>
          <cell r="K21">
            <v>537</v>
          </cell>
          <cell r="L21">
            <v>520</v>
          </cell>
          <cell r="M21">
            <v>459</v>
          </cell>
          <cell r="N21">
            <v>629</v>
          </cell>
          <cell r="O21">
            <v>498</v>
          </cell>
          <cell r="P21">
            <v>577</v>
          </cell>
          <cell r="Q21">
            <v>501</v>
          </cell>
          <cell r="R21">
            <v>485</v>
          </cell>
          <cell r="S21">
            <v>422</v>
          </cell>
          <cell r="T21">
            <v>8.1299999999999997E-2</v>
          </cell>
          <cell r="U21">
            <v>8.1299999999999997E-2</v>
          </cell>
          <cell r="V21">
            <v>8.3500000000000005E-2</v>
          </cell>
          <cell r="W21">
            <v>8.3500000000000005E-2</v>
          </cell>
          <cell r="X21">
            <v>9.4799999999999995E-2</v>
          </cell>
          <cell r="Y21">
            <v>9.7299999999999998E-2</v>
          </cell>
          <cell r="Z21">
            <v>7.0000000000000007E-2</v>
          </cell>
          <cell r="AA21">
            <v>7.2300000000000003E-2</v>
          </cell>
          <cell r="AB21">
            <v>0.216</v>
          </cell>
          <cell r="AC21">
            <v>0.216</v>
          </cell>
          <cell r="AD21">
            <v>0.189</v>
          </cell>
          <cell r="AE21">
            <v>0.189</v>
          </cell>
        </row>
        <row r="22">
          <cell r="A22">
            <v>55</v>
          </cell>
          <cell r="F22">
            <v>630</v>
          </cell>
          <cell r="G22">
            <v>21</v>
          </cell>
          <cell r="H22">
            <v>824</v>
          </cell>
          <cell r="I22">
            <v>668</v>
          </cell>
          <cell r="J22">
            <v>688</v>
          </cell>
          <cell r="K22">
            <v>612</v>
          </cell>
          <cell r="L22">
            <v>593</v>
          </cell>
          <cell r="M22">
            <v>523</v>
          </cell>
          <cell r="N22" t="e">
            <v>#VALUE!</v>
          </cell>
          <cell r="O22" t="e">
            <v>#VALUE!</v>
          </cell>
          <cell r="P22" t="e">
            <v>#VALUE!</v>
          </cell>
          <cell r="Q22" t="e">
            <v>#VALUE!</v>
          </cell>
          <cell r="R22" t="e">
            <v>#VALUE!</v>
          </cell>
          <cell r="S22" t="e">
            <v>#VALUE!</v>
          </cell>
          <cell r="T22">
            <v>6.4899999999999999E-2</v>
          </cell>
          <cell r="U22">
            <v>6.4899999999999999E-2</v>
          </cell>
          <cell r="V22" t="e">
            <v>#VALUE!</v>
          </cell>
          <cell r="W22" t="e">
            <v>#VALUE!</v>
          </cell>
          <cell r="X22">
            <v>9.4E-2</v>
          </cell>
          <cell r="Y22">
            <v>9.5200000000000007E-2</v>
          </cell>
          <cell r="Z22" t="e">
            <v>#VALUE!</v>
          </cell>
          <cell r="AA22" t="e">
            <v>#VALUE!</v>
          </cell>
          <cell r="AB22">
            <v>0.19800000000000001</v>
          </cell>
          <cell r="AC22">
            <v>0.19800000000000001</v>
          </cell>
          <cell r="AD22" t="e">
            <v>#VALUE!</v>
          </cell>
          <cell r="AE22" t="e">
            <v>#VALUE!</v>
          </cell>
        </row>
        <row r="23">
          <cell r="A23">
            <v>75</v>
          </cell>
          <cell r="F23" t="str">
            <v>AS3008</v>
          </cell>
          <cell r="H23" t="str">
            <v>Table 8, Column 7</v>
          </cell>
          <cell r="I23" t="str">
            <v>Table 7, Column 7</v>
          </cell>
          <cell r="J23" t="str">
            <v>Table 8, Column 23</v>
          </cell>
          <cell r="K23" t="str">
            <v>Table 7, Column 23</v>
          </cell>
          <cell r="L23" t="str">
            <v>Table 8, Column 26</v>
          </cell>
          <cell r="M23" t="str">
            <v>Table 7, Column 26</v>
          </cell>
          <cell r="N23" t="str">
            <v>Table 14, Column 4</v>
          </cell>
          <cell r="O23" t="str">
            <v>Table 13, Column 4</v>
          </cell>
          <cell r="P23" t="str">
            <v>Table 14, Column 24</v>
          </cell>
          <cell r="Q23" t="str">
            <v>Table 13, Column 24</v>
          </cell>
          <cell r="R23" t="str">
            <v>Table 14, Column 27</v>
          </cell>
          <cell r="S23" t="str">
            <v>Table 13, Column 27</v>
          </cell>
          <cell r="T23" t="str">
            <v>Table 34</v>
          </cell>
          <cell r="U23" t="str">
            <v>Table 34</v>
          </cell>
          <cell r="V23" t="str">
            <v>Table 35</v>
          </cell>
          <cell r="W23" t="str">
            <v>Table 35</v>
          </cell>
          <cell r="X23" t="str">
            <v>Table 30 &amp; cores flat</v>
          </cell>
          <cell r="Y23" t="str">
            <v>Table 30 &amp; cores flat</v>
          </cell>
          <cell r="Z23" t="str">
            <v>Table 30</v>
          </cell>
          <cell r="AA23" t="str">
            <v>Table 30</v>
          </cell>
          <cell r="AB23" t="str">
            <v>Table 44 &amp; 90°C</v>
          </cell>
          <cell r="AC23" t="str">
            <v>Table 44 &amp; 90°C</v>
          </cell>
          <cell r="AD23" t="str">
            <v>Table 45 &amp; 90°C</v>
          </cell>
          <cell r="AE23" t="str">
            <v>Table 45 &amp; 90°C</v>
          </cell>
        </row>
        <row r="24">
          <cell r="A24">
            <v>90</v>
          </cell>
        </row>
        <row r="25">
          <cell r="A25">
            <v>110</v>
          </cell>
        </row>
        <row r="26">
          <cell r="A26">
            <v>132</v>
          </cell>
          <cell r="F26" t="str">
            <v>Cable Size [mm2]</v>
          </cell>
          <cell r="G26" t="str">
            <v>Lookup Row Number</v>
          </cell>
          <cell r="H26" t="str">
            <v>Current - Air - 1c - XLPE - Std</v>
          </cell>
          <cell r="I26" t="str">
            <v>Current - Air - 1c - XLPE - Flex</v>
          </cell>
          <cell r="J26" t="str">
            <v>Current - Air - 1c - PVC-V90 - Std</v>
          </cell>
          <cell r="K26" t="str">
            <v>Current - Air - 1c - PVC-V90 - Flex</v>
          </cell>
          <cell r="L26" t="str">
            <v>Current - Ground - 1c - XLPE - Std</v>
          </cell>
          <cell r="M26" t="str">
            <v>Current - Ground - 1c - PVC-V90 `</v>
          </cell>
          <cell r="N26" t="str">
            <v>Current - Enclosure - 1c - XLPE - Std</v>
          </cell>
          <cell r="O26" t="str">
            <v>Current - Enclosure - 1c - XLPE - Flex</v>
          </cell>
          <cell r="P26" t="str">
            <v>Current - Enclosure - 1c - PVC-V90 - Std</v>
          </cell>
          <cell r="Q26" t="str">
            <v>Current - Enclosure - 1c - PVC-V90 - Flex</v>
          </cell>
          <cell r="R26" t="str">
            <v>Current - Air - 3c - XLPE - Std</v>
          </cell>
          <cell r="S26" t="str">
            <v>Current - Air - 3c - XLPE - Flex</v>
          </cell>
          <cell r="T26" t="str">
            <v>Current - Air - 3c - PVC-V90 - Std</v>
          </cell>
          <cell r="U26" t="str">
            <v>Current - Air - 3c - PVC-V90 - Flex</v>
          </cell>
          <cell r="V26" t="str">
            <v>Current - Ground - 3c - XLPE - Std</v>
          </cell>
          <cell r="W26" t="str">
            <v>Current - Ground - 3c - PVC-V90 - Std</v>
          </cell>
          <cell r="X26" t="str">
            <v>Current - Enclosure - 3c - XLPE - Std</v>
          </cell>
          <cell r="Y26" t="str">
            <v>Current - Enclosure - 3c - XLPE - Flex</v>
          </cell>
          <cell r="Z26" t="str">
            <v>Current - Enclosure - 3c - PVC-V90 - Std</v>
          </cell>
          <cell r="AA26" t="str">
            <v>Current - Enclosure - 3c - PVC-V90 - Flex</v>
          </cell>
          <cell r="AB26" t="str">
            <v>R - 1c - XLPE</v>
          </cell>
          <cell r="AC26" t="str">
            <v>R - 1c - PVC-V90</v>
          </cell>
          <cell r="AD26" t="str">
            <v>R - 3c - XLPE</v>
          </cell>
          <cell r="AE26" t="str">
            <v>R - 3c - PVC-V90</v>
          </cell>
          <cell r="AF26" t="str">
            <v>X - 1c - XLPE</v>
          </cell>
          <cell r="AG26" t="str">
            <v>X - 1c - PVC-V90</v>
          </cell>
          <cell r="AH26" t="str">
            <v>X - 3c - XLPE</v>
          </cell>
          <cell r="AI26" t="str">
            <v>X - 3c - PVC-V90</v>
          </cell>
          <cell r="AJ26" t="str">
            <v>mV/Am - 1c - XLPE</v>
          </cell>
          <cell r="AK26" t="str">
            <v>mV/Am - 1c - PVC-V90</v>
          </cell>
          <cell r="AL26" t="str">
            <v>mV/Am - 3c - XLPE</v>
          </cell>
          <cell r="AM26" t="str">
            <v>mV/Am - 3c - PVC-V90</v>
          </cell>
        </row>
        <row r="27">
          <cell r="A27">
            <v>150</v>
          </cell>
          <cell r="F27">
            <v>1</v>
          </cell>
          <cell r="G27">
            <v>2</v>
          </cell>
          <cell r="H27">
            <v>16</v>
          </cell>
          <cell r="I27">
            <v>17</v>
          </cell>
          <cell r="J27">
            <v>14</v>
          </cell>
          <cell r="K27">
            <v>14</v>
          </cell>
          <cell r="L27">
            <v>18</v>
          </cell>
          <cell r="M27">
            <v>16</v>
          </cell>
          <cell r="N27">
            <v>18</v>
          </cell>
          <cell r="O27">
            <v>19</v>
          </cell>
          <cell r="P27">
            <v>16</v>
          </cell>
          <cell r="Q27">
            <v>16</v>
          </cell>
          <cell r="R27">
            <v>16</v>
          </cell>
          <cell r="S27">
            <v>16</v>
          </cell>
          <cell r="T27">
            <v>13</v>
          </cell>
          <cell r="U27">
            <v>13</v>
          </cell>
          <cell r="V27">
            <v>16</v>
          </cell>
          <cell r="W27">
            <v>14</v>
          </cell>
          <cell r="X27">
            <v>16</v>
          </cell>
          <cell r="Y27">
            <v>17</v>
          </cell>
          <cell r="Z27">
            <v>14</v>
          </cell>
          <cell r="AA27">
            <v>15</v>
          </cell>
          <cell r="AB27">
            <v>27</v>
          </cell>
          <cell r="AC27">
            <v>27</v>
          </cell>
          <cell r="AD27">
            <v>27</v>
          </cell>
          <cell r="AE27">
            <v>27</v>
          </cell>
          <cell r="AF27">
            <v>0.18099999999999999</v>
          </cell>
          <cell r="AG27">
            <v>0.184</v>
          </cell>
          <cell r="AH27">
            <v>0.114</v>
          </cell>
          <cell r="AI27">
            <v>0.11899999999999999</v>
          </cell>
          <cell r="AJ27">
            <v>46.8</v>
          </cell>
          <cell r="AK27">
            <v>46.8</v>
          </cell>
          <cell r="AL27">
            <v>46.8</v>
          </cell>
          <cell r="AM27">
            <v>46.8</v>
          </cell>
        </row>
        <row r="28">
          <cell r="A28">
            <v>185</v>
          </cell>
          <cell r="F28">
            <v>1.5</v>
          </cell>
          <cell r="G28">
            <v>3</v>
          </cell>
          <cell r="H28">
            <v>21</v>
          </cell>
          <cell r="I28">
            <v>22</v>
          </cell>
          <cell r="J28">
            <v>17</v>
          </cell>
          <cell r="K28">
            <v>18</v>
          </cell>
          <cell r="L28">
            <v>22</v>
          </cell>
          <cell r="M28">
            <v>20</v>
          </cell>
          <cell r="N28">
            <v>22</v>
          </cell>
          <cell r="O28">
            <v>23</v>
          </cell>
          <cell r="P28">
            <v>20</v>
          </cell>
          <cell r="Q28">
            <v>20</v>
          </cell>
          <cell r="R28">
            <v>20</v>
          </cell>
          <cell r="S28">
            <v>20</v>
          </cell>
          <cell r="T28">
            <v>16</v>
          </cell>
          <cell r="U28">
            <v>17</v>
          </cell>
          <cell r="V28">
            <v>20</v>
          </cell>
          <cell r="W28">
            <v>18</v>
          </cell>
          <cell r="X28">
            <v>20</v>
          </cell>
          <cell r="Y28">
            <v>21</v>
          </cell>
          <cell r="Z28">
            <v>18</v>
          </cell>
          <cell r="AA28">
            <v>18</v>
          </cell>
          <cell r="AB28">
            <v>17.3</v>
          </cell>
          <cell r="AC28">
            <v>17.3</v>
          </cell>
          <cell r="AD28">
            <v>17.3</v>
          </cell>
          <cell r="AE28">
            <v>17.3</v>
          </cell>
          <cell r="AF28">
            <v>0.17</v>
          </cell>
          <cell r="AG28">
            <v>0.17199999999999999</v>
          </cell>
          <cell r="AH28">
            <v>0.107</v>
          </cell>
          <cell r="AI28">
            <v>0.111</v>
          </cell>
          <cell r="AJ28">
            <v>30</v>
          </cell>
          <cell r="AK28">
            <v>30</v>
          </cell>
          <cell r="AL28">
            <v>30</v>
          </cell>
          <cell r="AM28">
            <v>30</v>
          </cell>
        </row>
        <row r="29">
          <cell r="A29">
            <v>220</v>
          </cell>
          <cell r="F29">
            <v>2.5</v>
          </cell>
          <cell r="G29">
            <v>4</v>
          </cell>
          <cell r="H29">
            <v>30</v>
          </cell>
          <cell r="I29">
            <v>29</v>
          </cell>
          <cell r="J29">
            <v>25</v>
          </cell>
          <cell r="K29">
            <v>24</v>
          </cell>
          <cell r="L29">
            <v>31</v>
          </cell>
          <cell r="M29">
            <v>27</v>
          </cell>
          <cell r="N29">
            <v>31</v>
          </cell>
          <cell r="O29">
            <v>30</v>
          </cell>
          <cell r="P29">
            <v>27</v>
          </cell>
          <cell r="Q29">
            <v>26</v>
          </cell>
          <cell r="R29">
            <v>28</v>
          </cell>
          <cell r="S29">
            <v>27</v>
          </cell>
          <cell r="T29">
            <v>23</v>
          </cell>
          <cell r="U29">
            <v>22</v>
          </cell>
          <cell r="V29">
            <v>29</v>
          </cell>
          <cell r="W29">
            <v>25</v>
          </cell>
          <cell r="X29">
            <v>29</v>
          </cell>
          <cell r="Y29">
            <v>28</v>
          </cell>
          <cell r="Z29">
            <v>25</v>
          </cell>
          <cell r="AA29">
            <v>24</v>
          </cell>
          <cell r="AB29">
            <v>9.4499999999999993</v>
          </cell>
          <cell r="AC29">
            <v>9.4499999999999993</v>
          </cell>
          <cell r="AD29">
            <v>9.4499999999999993</v>
          </cell>
          <cell r="AE29">
            <v>9.4499999999999993</v>
          </cell>
          <cell r="AF29">
            <v>0.156</v>
          </cell>
          <cell r="AG29">
            <v>0.159</v>
          </cell>
          <cell r="AH29">
            <v>9.8799999999999999E-2</v>
          </cell>
          <cell r="AI29">
            <v>0.10199999999999999</v>
          </cell>
          <cell r="AJ29">
            <v>16.399999999999999</v>
          </cell>
          <cell r="AK29">
            <v>16.399999999999999</v>
          </cell>
          <cell r="AL29">
            <v>16.399999999999999</v>
          </cell>
          <cell r="AM29">
            <v>16.399999999999999</v>
          </cell>
        </row>
        <row r="30">
          <cell r="A30">
            <v>250</v>
          </cell>
          <cell r="F30">
            <v>4</v>
          </cell>
          <cell r="G30">
            <v>5</v>
          </cell>
          <cell r="H30">
            <v>40</v>
          </cell>
          <cell r="I30">
            <v>38</v>
          </cell>
          <cell r="J30">
            <v>33</v>
          </cell>
          <cell r="K30">
            <v>32</v>
          </cell>
          <cell r="L30">
            <v>40</v>
          </cell>
          <cell r="M30">
            <v>36</v>
          </cell>
          <cell r="N30">
            <v>40</v>
          </cell>
          <cell r="O30">
            <v>38</v>
          </cell>
          <cell r="P30">
            <v>36</v>
          </cell>
          <cell r="Q30">
            <v>35</v>
          </cell>
          <cell r="R30">
            <v>38</v>
          </cell>
          <cell r="S30">
            <v>36</v>
          </cell>
          <cell r="T30">
            <v>31</v>
          </cell>
          <cell r="U30">
            <v>30</v>
          </cell>
          <cell r="V30">
            <v>37</v>
          </cell>
          <cell r="W30">
            <v>33</v>
          </cell>
          <cell r="X30">
            <v>37</v>
          </cell>
          <cell r="Y30">
            <v>36</v>
          </cell>
          <cell r="Z30">
            <v>33</v>
          </cell>
          <cell r="AA30">
            <v>32</v>
          </cell>
          <cell r="AB30">
            <v>5.88</v>
          </cell>
          <cell r="AC30">
            <v>5.88</v>
          </cell>
          <cell r="AD30">
            <v>5.88</v>
          </cell>
          <cell r="AE30">
            <v>5.88</v>
          </cell>
          <cell r="AF30">
            <v>0.14599999999999999</v>
          </cell>
          <cell r="AG30">
            <v>0.152</v>
          </cell>
          <cell r="AH30">
            <v>9.2999999999999999E-2</v>
          </cell>
          <cell r="AI30">
            <v>0.10199999999999999</v>
          </cell>
          <cell r="AJ30">
            <v>10.199999999999999</v>
          </cell>
          <cell r="AK30">
            <v>10.199999999999999</v>
          </cell>
          <cell r="AL30">
            <v>10.199999999999999</v>
          </cell>
          <cell r="AM30">
            <v>10.199999999999999</v>
          </cell>
        </row>
        <row r="31">
          <cell r="A31">
            <v>280</v>
          </cell>
          <cell r="F31">
            <v>6</v>
          </cell>
          <cell r="G31">
            <v>6</v>
          </cell>
          <cell r="H31">
            <v>50</v>
          </cell>
          <cell r="I31">
            <v>49</v>
          </cell>
          <cell r="J31">
            <v>42</v>
          </cell>
          <cell r="K31">
            <v>41</v>
          </cell>
          <cell r="L31">
            <v>50</v>
          </cell>
          <cell r="M31">
            <v>45</v>
          </cell>
          <cell r="N31">
            <v>50</v>
          </cell>
          <cell r="O31">
            <v>49</v>
          </cell>
          <cell r="P31">
            <v>45</v>
          </cell>
          <cell r="Q31">
            <v>43</v>
          </cell>
          <cell r="R31">
            <v>48</v>
          </cell>
          <cell r="S31">
            <v>46</v>
          </cell>
          <cell r="T31">
            <v>40</v>
          </cell>
          <cell r="U31">
            <v>38</v>
          </cell>
          <cell r="V31">
            <v>46</v>
          </cell>
          <cell r="W31">
            <v>42</v>
          </cell>
          <cell r="X31">
            <v>46</v>
          </cell>
          <cell r="Y31">
            <v>45</v>
          </cell>
          <cell r="Z31">
            <v>42</v>
          </cell>
          <cell r="AA31">
            <v>40</v>
          </cell>
          <cell r="AB31">
            <v>3.93</v>
          </cell>
          <cell r="AC31">
            <v>3.93</v>
          </cell>
          <cell r="AD31">
            <v>3.93</v>
          </cell>
          <cell r="AE31">
            <v>3.93</v>
          </cell>
          <cell r="AF31">
            <v>0.13800000000000001</v>
          </cell>
          <cell r="AG31">
            <v>0.14299999999999999</v>
          </cell>
          <cell r="AH31">
            <v>8.8700000000000001E-2</v>
          </cell>
          <cell r="AI31">
            <v>9.6699999999999994E-2</v>
          </cell>
          <cell r="AJ31">
            <v>6.81</v>
          </cell>
          <cell r="AK31">
            <v>6.81</v>
          </cell>
          <cell r="AL31">
            <v>6.81</v>
          </cell>
          <cell r="AM31">
            <v>6.81</v>
          </cell>
        </row>
        <row r="32">
          <cell r="A32">
            <v>315</v>
          </cell>
          <cell r="F32">
            <v>10</v>
          </cell>
          <cell r="G32">
            <v>7</v>
          </cell>
          <cell r="H32">
            <v>69</v>
          </cell>
          <cell r="I32">
            <v>69</v>
          </cell>
          <cell r="J32">
            <v>58</v>
          </cell>
          <cell r="K32">
            <v>57</v>
          </cell>
          <cell r="L32">
            <v>67</v>
          </cell>
          <cell r="M32">
            <v>59</v>
          </cell>
          <cell r="N32">
            <v>67</v>
          </cell>
          <cell r="O32">
            <v>66</v>
          </cell>
          <cell r="P32">
            <v>59</v>
          </cell>
          <cell r="Q32">
            <v>58</v>
          </cell>
          <cell r="R32">
            <v>66</v>
          </cell>
          <cell r="S32">
            <v>66</v>
          </cell>
          <cell r="T32">
            <v>54</v>
          </cell>
          <cell r="U32">
            <v>54</v>
          </cell>
          <cell r="V32">
            <v>63</v>
          </cell>
          <cell r="W32">
            <v>55</v>
          </cell>
          <cell r="X32">
            <v>63</v>
          </cell>
          <cell r="Y32">
            <v>62</v>
          </cell>
          <cell r="Z32">
            <v>55</v>
          </cell>
          <cell r="AA32">
            <v>54</v>
          </cell>
          <cell r="AB32">
            <v>2.33</v>
          </cell>
          <cell r="AC32">
            <v>2.33</v>
          </cell>
          <cell r="AD32">
            <v>2.33</v>
          </cell>
          <cell r="AE32">
            <v>2.33</v>
          </cell>
          <cell r="AF32">
            <v>0.129</v>
          </cell>
          <cell r="AG32">
            <v>0.13400000000000001</v>
          </cell>
          <cell r="AH32">
            <v>8.4000000000000005E-2</v>
          </cell>
          <cell r="AI32">
            <v>9.06E-2</v>
          </cell>
          <cell r="AJ32">
            <v>4.05</v>
          </cell>
          <cell r="AK32">
            <v>4.05</v>
          </cell>
          <cell r="AL32">
            <v>4.05</v>
          </cell>
          <cell r="AM32">
            <v>4.05</v>
          </cell>
        </row>
        <row r="33">
          <cell r="A33">
            <v>355</v>
          </cell>
          <cell r="F33">
            <v>16</v>
          </cell>
          <cell r="G33">
            <v>8</v>
          </cell>
          <cell r="H33">
            <v>92</v>
          </cell>
          <cell r="I33">
            <v>91</v>
          </cell>
          <cell r="J33">
            <v>77</v>
          </cell>
          <cell r="K33">
            <v>75</v>
          </cell>
          <cell r="L33">
            <v>117</v>
          </cell>
          <cell r="M33">
            <v>104</v>
          </cell>
          <cell r="N33">
            <v>86</v>
          </cell>
          <cell r="O33">
            <v>85</v>
          </cell>
          <cell r="P33">
            <v>78</v>
          </cell>
          <cell r="Q33">
            <v>76</v>
          </cell>
          <cell r="R33">
            <v>88</v>
          </cell>
          <cell r="S33">
            <v>87</v>
          </cell>
          <cell r="T33">
            <v>72</v>
          </cell>
          <cell r="U33">
            <v>71</v>
          </cell>
          <cell r="V33">
            <v>110</v>
          </cell>
          <cell r="W33">
            <v>96</v>
          </cell>
          <cell r="X33">
            <v>81</v>
          </cell>
          <cell r="Y33">
            <v>79</v>
          </cell>
          <cell r="Z33">
            <v>73</v>
          </cell>
          <cell r="AA33">
            <v>71</v>
          </cell>
          <cell r="AB33">
            <v>1.47</v>
          </cell>
          <cell r="AC33">
            <v>1.47</v>
          </cell>
          <cell r="AD33">
            <v>1.47</v>
          </cell>
          <cell r="AE33">
            <v>1.47</v>
          </cell>
          <cell r="AF33">
            <v>0.122</v>
          </cell>
          <cell r="AG33">
            <v>0.126</v>
          </cell>
          <cell r="AH33">
            <v>8.0500000000000002E-2</v>
          </cell>
          <cell r="AI33">
            <v>8.6099999999999996E-2</v>
          </cell>
          <cell r="AJ33">
            <v>2.5499999999999998</v>
          </cell>
          <cell r="AK33">
            <v>2.5499999999999998</v>
          </cell>
          <cell r="AL33">
            <v>2.5499999999999998</v>
          </cell>
          <cell r="AM33">
            <v>2.5499999999999998</v>
          </cell>
        </row>
        <row r="34">
          <cell r="A34">
            <v>400</v>
          </cell>
          <cell r="F34">
            <v>25</v>
          </cell>
          <cell r="G34">
            <v>9</v>
          </cell>
          <cell r="H34">
            <v>125</v>
          </cell>
          <cell r="I34">
            <v>121</v>
          </cell>
          <cell r="J34">
            <v>103</v>
          </cell>
          <cell r="K34">
            <v>100</v>
          </cell>
          <cell r="L34">
            <v>151</v>
          </cell>
          <cell r="M34">
            <v>134</v>
          </cell>
          <cell r="N34">
            <v>113</v>
          </cell>
          <cell r="O34">
            <v>109</v>
          </cell>
          <cell r="P34">
            <v>100</v>
          </cell>
          <cell r="Q34">
            <v>97</v>
          </cell>
          <cell r="R34">
            <v>119</v>
          </cell>
          <cell r="S34">
            <v>116</v>
          </cell>
          <cell r="T34">
            <v>97</v>
          </cell>
          <cell r="U34">
            <v>94</v>
          </cell>
          <cell r="V34">
            <v>143</v>
          </cell>
          <cell r="W34">
            <v>125</v>
          </cell>
          <cell r="X34">
            <v>107</v>
          </cell>
          <cell r="Y34">
            <v>103</v>
          </cell>
          <cell r="Z34">
            <v>94</v>
          </cell>
          <cell r="AA34">
            <v>91</v>
          </cell>
          <cell r="AB34">
            <v>0.92700000000000005</v>
          </cell>
          <cell r="AC34">
            <v>0.92700000000000005</v>
          </cell>
          <cell r="AD34">
            <v>0.92700000000000005</v>
          </cell>
          <cell r="AE34">
            <v>0.92700000000000005</v>
          </cell>
          <cell r="AF34">
            <v>0.11799999999999999</v>
          </cell>
          <cell r="AG34">
            <v>0.121</v>
          </cell>
          <cell r="AH34">
            <v>8.0799999999999997E-2</v>
          </cell>
          <cell r="AI34">
            <v>8.5300000000000001E-2</v>
          </cell>
          <cell r="AJ34">
            <v>1.62</v>
          </cell>
          <cell r="AK34">
            <v>1.62</v>
          </cell>
          <cell r="AL34">
            <v>1.61</v>
          </cell>
          <cell r="AM34">
            <v>1.61</v>
          </cell>
        </row>
        <row r="35">
          <cell r="A35">
            <v>450</v>
          </cell>
          <cell r="F35">
            <v>35</v>
          </cell>
          <cell r="G35">
            <v>10</v>
          </cell>
          <cell r="H35">
            <v>154</v>
          </cell>
          <cell r="I35">
            <v>151</v>
          </cell>
          <cell r="J35">
            <v>127</v>
          </cell>
          <cell r="K35">
            <v>125</v>
          </cell>
          <cell r="L35">
            <v>180</v>
          </cell>
          <cell r="M35">
            <v>160</v>
          </cell>
          <cell r="N35">
            <v>137</v>
          </cell>
          <cell r="O35">
            <v>134</v>
          </cell>
          <cell r="P35">
            <v>122</v>
          </cell>
          <cell r="Q35">
            <v>119</v>
          </cell>
          <cell r="R35">
            <v>147</v>
          </cell>
          <cell r="S35">
            <v>144</v>
          </cell>
          <cell r="T35">
            <v>120</v>
          </cell>
          <cell r="U35">
            <v>117</v>
          </cell>
          <cell r="V35">
            <v>172</v>
          </cell>
          <cell r="W35">
            <v>150</v>
          </cell>
          <cell r="X35">
            <v>130</v>
          </cell>
          <cell r="Y35">
            <v>127</v>
          </cell>
          <cell r="Z35">
            <v>114</v>
          </cell>
          <cell r="AA35">
            <v>112</v>
          </cell>
          <cell r="AB35">
            <v>0.66800000000000004</v>
          </cell>
          <cell r="AC35">
            <v>0.66800000000000004</v>
          </cell>
          <cell r="AD35">
            <v>0.66900000000000004</v>
          </cell>
          <cell r="AE35">
            <v>0.66900000000000004</v>
          </cell>
          <cell r="AF35">
            <v>0.113</v>
          </cell>
          <cell r="AG35">
            <v>0.11700000000000001</v>
          </cell>
          <cell r="AH35">
            <v>7.8600000000000003E-2</v>
          </cell>
          <cell r="AI35">
            <v>8.2600000000000007E-2</v>
          </cell>
          <cell r="AJ35">
            <v>1.18</v>
          </cell>
          <cell r="AK35">
            <v>1.18</v>
          </cell>
          <cell r="AL35">
            <v>1.17</v>
          </cell>
          <cell r="AM35">
            <v>1.17</v>
          </cell>
        </row>
        <row r="36">
          <cell r="A36">
            <v>500</v>
          </cell>
          <cell r="F36">
            <v>50</v>
          </cell>
          <cell r="G36">
            <v>11</v>
          </cell>
          <cell r="H36">
            <v>188</v>
          </cell>
          <cell r="I36">
            <v>191</v>
          </cell>
          <cell r="J36">
            <v>156</v>
          </cell>
          <cell r="K36">
            <v>157</v>
          </cell>
          <cell r="L36">
            <v>214</v>
          </cell>
          <cell r="M36">
            <v>190</v>
          </cell>
          <cell r="N36">
            <v>163</v>
          </cell>
          <cell r="O36">
            <v>163</v>
          </cell>
          <cell r="P36">
            <v>144</v>
          </cell>
          <cell r="Q36">
            <v>145</v>
          </cell>
          <cell r="R36">
            <v>180</v>
          </cell>
          <cell r="S36">
            <v>182</v>
          </cell>
          <cell r="T36">
            <v>146</v>
          </cell>
          <cell r="U36">
            <v>148</v>
          </cell>
          <cell r="V36">
            <v>204</v>
          </cell>
          <cell r="W36">
            <v>179</v>
          </cell>
          <cell r="X36">
            <v>155</v>
          </cell>
          <cell r="Y36">
            <v>155</v>
          </cell>
          <cell r="Z36">
            <v>136</v>
          </cell>
          <cell r="AA36">
            <v>137</v>
          </cell>
          <cell r="AB36">
            <v>0.49399999999999999</v>
          </cell>
          <cell r="AC36">
            <v>0.49399999999999999</v>
          </cell>
          <cell r="AD36">
            <v>0.49399999999999999</v>
          </cell>
          <cell r="AE36">
            <v>0.49399999999999999</v>
          </cell>
          <cell r="AF36">
            <v>0.108</v>
          </cell>
          <cell r="AG36">
            <v>0.111</v>
          </cell>
          <cell r="AH36">
            <v>7.51E-2</v>
          </cell>
          <cell r="AI36">
            <v>7.9699999999999993E-2</v>
          </cell>
          <cell r="AJ36">
            <v>8.7800000000000003E-2</v>
          </cell>
          <cell r="AK36">
            <v>8.7800000000000003E-2</v>
          </cell>
          <cell r="AL36">
            <v>0.86799999999999999</v>
          </cell>
          <cell r="AM36">
            <v>0.86799999999999999</v>
          </cell>
        </row>
        <row r="37">
          <cell r="A37">
            <v>600</v>
          </cell>
          <cell r="F37">
            <v>70</v>
          </cell>
          <cell r="G37">
            <v>12</v>
          </cell>
          <cell r="H37">
            <v>240</v>
          </cell>
          <cell r="I37">
            <v>241</v>
          </cell>
          <cell r="J37">
            <v>197</v>
          </cell>
          <cell r="K37">
            <v>198</v>
          </cell>
          <cell r="L37">
            <v>262</v>
          </cell>
          <cell r="M37">
            <v>233</v>
          </cell>
          <cell r="N37">
            <v>203</v>
          </cell>
          <cell r="O37">
            <v>203</v>
          </cell>
          <cell r="P37">
            <v>180</v>
          </cell>
          <cell r="Q37">
            <v>180</v>
          </cell>
          <cell r="R37">
            <v>229</v>
          </cell>
          <cell r="S37">
            <v>230</v>
          </cell>
          <cell r="T37">
            <v>185</v>
          </cell>
          <cell r="U37">
            <v>185</v>
          </cell>
          <cell r="V37">
            <v>251</v>
          </cell>
          <cell r="W37">
            <v>219</v>
          </cell>
          <cell r="X37">
            <v>193</v>
          </cell>
          <cell r="Y37">
            <v>193</v>
          </cell>
          <cell r="Z37">
            <v>170</v>
          </cell>
          <cell r="AA37">
            <v>169</v>
          </cell>
          <cell r="AB37">
            <v>0.34200000000000003</v>
          </cell>
          <cell r="AC37">
            <v>0.34200000000000003</v>
          </cell>
          <cell r="AD37">
            <v>0.34300000000000003</v>
          </cell>
          <cell r="AE37">
            <v>0.34300000000000003</v>
          </cell>
          <cell r="AF37">
            <v>0.104</v>
          </cell>
          <cell r="AG37">
            <v>0.107</v>
          </cell>
          <cell r="AH37">
            <v>7.4099999999999999E-2</v>
          </cell>
          <cell r="AI37">
            <v>7.6999999999999999E-2</v>
          </cell>
          <cell r="AJ37">
            <v>6.2300000000000001E-2</v>
          </cell>
          <cell r="AK37">
            <v>6.2300000000000001E-2</v>
          </cell>
          <cell r="AL37">
            <v>0.60899999999999999</v>
          </cell>
          <cell r="AM37">
            <v>0.60899999999999999</v>
          </cell>
        </row>
        <row r="38">
          <cell r="A38">
            <v>710</v>
          </cell>
          <cell r="F38">
            <v>95</v>
          </cell>
          <cell r="G38">
            <v>13</v>
          </cell>
          <cell r="H38">
            <v>298</v>
          </cell>
          <cell r="I38">
            <v>290</v>
          </cell>
          <cell r="J38">
            <v>246</v>
          </cell>
          <cell r="K38">
            <v>239</v>
          </cell>
          <cell r="L38">
            <v>313</v>
          </cell>
          <cell r="M38">
            <v>279</v>
          </cell>
          <cell r="N38">
            <v>244</v>
          </cell>
          <cell r="O38">
            <v>237</v>
          </cell>
          <cell r="P38">
            <v>217</v>
          </cell>
          <cell r="Q38">
            <v>210</v>
          </cell>
          <cell r="R38">
            <v>283</v>
          </cell>
          <cell r="S38">
            <v>275</v>
          </cell>
          <cell r="T38">
            <v>228</v>
          </cell>
          <cell r="U38">
            <v>222</v>
          </cell>
          <cell r="V38">
            <v>302</v>
          </cell>
          <cell r="W38">
            <v>263</v>
          </cell>
          <cell r="X38">
            <v>233</v>
          </cell>
          <cell r="Y38">
            <v>226</v>
          </cell>
          <cell r="Z38">
            <v>208</v>
          </cell>
          <cell r="AA38">
            <v>201</v>
          </cell>
          <cell r="AB38">
            <v>0.247</v>
          </cell>
          <cell r="AC38">
            <v>0.247</v>
          </cell>
          <cell r="AD38">
            <v>0.248</v>
          </cell>
          <cell r="AE38">
            <v>0.248</v>
          </cell>
          <cell r="AF38">
            <v>0.10199999999999999</v>
          </cell>
          <cell r="AG38">
            <v>0.106</v>
          </cell>
          <cell r="AH38">
            <v>7.2499999999999995E-2</v>
          </cell>
          <cell r="AI38">
            <v>7.6600000000000001E-2</v>
          </cell>
          <cell r="AJ38">
            <v>0.46700000000000003</v>
          </cell>
          <cell r="AK38">
            <v>0.46700000000000003</v>
          </cell>
          <cell r="AL38">
            <v>0.45</v>
          </cell>
          <cell r="AM38">
            <v>0.45</v>
          </cell>
        </row>
        <row r="39">
          <cell r="A39">
            <v>850</v>
          </cell>
          <cell r="F39">
            <v>120</v>
          </cell>
          <cell r="G39">
            <v>14</v>
          </cell>
          <cell r="H39">
            <v>349</v>
          </cell>
          <cell r="I39">
            <v>346</v>
          </cell>
          <cell r="J39">
            <v>287</v>
          </cell>
          <cell r="K39">
            <v>284</v>
          </cell>
          <cell r="L39">
            <v>356</v>
          </cell>
          <cell r="M39">
            <v>317</v>
          </cell>
          <cell r="N39">
            <v>284</v>
          </cell>
          <cell r="O39">
            <v>279</v>
          </cell>
          <cell r="P39">
            <v>252</v>
          </cell>
          <cell r="Q39">
            <v>247</v>
          </cell>
          <cell r="R39">
            <v>330</v>
          </cell>
          <cell r="S39">
            <v>327</v>
          </cell>
          <cell r="T39">
            <v>265</v>
          </cell>
          <cell r="U39">
            <v>262</v>
          </cell>
          <cell r="V39">
            <v>344</v>
          </cell>
          <cell r="W39">
            <v>300</v>
          </cell>
          <cell r="X39">
            <v>270</v>
          </cell>
          <cell r="Y39">
            <v>266</v>
          </cell>
          <cell r="Z39">
            <v>237</v>
          </cell>
          <cell r="AA39">
            <v>232</v>
          </cell>
          <cell r="AB39">
            <v>0.19700000000000001</v>
          </cell>
          <cell r="AC39">
            <v>0.19700000000000001</v>
          </cell>
          <cell r="AD39">
            <v>0.19700000000000001</v>
          </cell>
          <cell r="AE39">
            <v>0.19700000000000001</v>
          </cell>
          <cell r="AF39">
            <v>9.9599999999999994E-2</v>
          </cell>
          <cell r="AG39">
            <v>0.10199999999999999</v>
          </cell>
          <cell r="AH39">
            <v>7.1300000000000002E-2</v>
          </cell>
          <cell r="AI39">
            <v>7.4300000000000005E-2</v>
          </cell>
          <cell r="AJ39">
            <v>0.38500000000000001</v>
          </cell>
          <cell r="AK39">
            <v>0.38500000000000001</v>
          </cell>
          <cell r="AL39">
            <v>0.36599999999999999</v>
          </cell>
          <cell r="AM39">
            <v>0.36599999999999999</v>
          </cell>
        </row>
        <row r="40">
          <cell r="A40">
            <v>1000</v>
          </cell>
          <cell r="F40">
            <v>150</v>
          </cell>
          <cell r="G40">
            <v>15</v>
          </cell>
          <cell r="H40">
            <v>403</v>
          </cell>
          <cell r="I40">
            <v>400</v>
          </cell>
          <cell r="J40">
            <v>330</v>
          </cell>
          <cell r="K40">
            <v>328</v>
          </cell>
          <cell r="L40">
            <v>400</v>
          </cell>
          <cell r="M40">
            <v>356</v>
          </cell>
          <cell r="N40">
            <v>320</v>
          </cell>
          <cell r="O40">
            <v>316</v>
          </cell>
          <cell r="P40">
            <v>283</v>
          </cell>
          <cell r="Q40">
            <v>279</v>
          </cell>
          <cell r="R40">
            <v>377</v>
          </cell>
          <cell r="S40">
            <v>375</v>
          </cell>
          <cell r="T40">
            <v>303</v>
          </cell>
          <cell r="U40">
            <v>301</v>
          </cell>
          <cell r="V40">
            <v>385</v>
          </cell>
          <cell r="W40">
            <v>336</v>
          </cell>
          <cell r="X40">
            <v>304</v>
          </cell>
          <cell r="Y40">
            <v>300</v>
          </cell>
          <cell r="Z40">
            <v>266</v>
          </cell>
          <cell r="AA40">
            <v>265</v>
          </cell>
          <cell r="AB40">
            <v>0.16</v>
          </cell>
          <cell r="AC40">
            <v>0.16</v>
          </cell>
          <cell r="AD40">
            <v>0.16</v>
          </cell>
          <cell r="AE40">
            <v>0.16</v>
          </cell>
          <cell r="AF40">
            <v>9.9599999999999994E-2</v>
          </cell>
          <cell r="AG40">
            <v>0.10199999999999999</v>
          </cell>
          <cell r="AH40">
            <v>7.1800000000000003E-2</v>
          </cell>
          <cell r="AI40">
            <v>7.4499999999999997E-2</v>
          </cell>
          <cell r="AJ40">
            <v>0.33</v>
          </cell>
          <cell r="AK40">
            <v>0.33</v>
          </cell>
          <cell r="AL40">
            <v>0.307</v>
          </cell>
          <cell r="AM40">
            <v>0.307</v>
          </cell>
        </row>
        <row r="41">
          <cell r="A41">
            <v>1120</v>
          </cell>
          <cell r="F41">
            <v>185</v>
          </cell>
          <cell r="G41">
            <v>16</v>
          </cell>
          <cell r="H41">
            <v>468</v>
          </cell>
          <cell r="I41">
            <v>459</v>
          </cell>
          <cell r="J41">
            <v>383</v>
          </cell>
          <cell r="K41">
            <v>376</v>
          </cell>
          <cell r="L41">
            <v>452</v>
          </cell>
          <cell r="M41">
            <v>402</v>
          </cell>
          <cell r="N41">
            <v>363</v>
          </cell>
          <cell r="O41">
            <v>357</v>
          </cell>
          <cell r="P41">
            <v>325</v>
          </cell>
          <cell r="Q41">
            <v>316</v>
          </cell>
          <cell r="R41">
            <v>436</v>
          </cell>
          <cell r="S41">
            <v>428</v>
          </cell>
          <cell r="T41">
            <v>348</v>
          </cell>
          <cell r="U41">
            <v>342</v>
          </cell>
          <cell r="V41">
            <v>435</v>
          </cell>
          <cell r="W41">
            <v>379</v>
          </cell>
          <cell r="X41">
            <v>348</v>
          </cell>
          <cell r="Y41">
            <v>339</v>
          </cell>
          <cell r="Z41">
            <v>304</v>
          </cell>
          <cell r="AA41">
            <v>296</v>
          </cell>
          <cell r="AB41">
            <v>0.129</v>
          </cell>
          <cell r="AC41">
            <v>0.129</v>
          </cell>
          <cell r="AD41">
            <v>0.129</v>
          </cell>
          <cell r="AE41">
            <v>0.129</v>
          </cell>
          <cell r="AF41">
            <v>9.8799999999999999E-2</v>
          </cell>
          <cell r="AG41">
            <v>0.10100000000000001</v>
          </cell>
          <cell r="AH41">
            <v>7.1999999999999995E-2</v>
          </cell>
          <cell r="AI41">
            <v>7.4399999999999994E-2</v>
          </cell>
          <cell r="AJ41">
            <v>0.28499999999999998</v>
          </cell>
          <cell r="AK41">
            <v>0.28499999999999998</v>
          </cell>
          <cell r="AL41">
            <v>0.25900000000000001</v>
          </cell>
          <cell r="AM41">
            <v>0.25900000000000001</v>
          </cell>
        </row>
        <row r="42">
          <cell r="A42">
            <v>1250</v>
          </cell>
          <cell r="F42">
            <v>240</v>
          </cell>
          <cell r="G42">
            <v>17</v>
          </cell>
          <cell r="H42">
            <v>560</v>
          </cell>
          <cell r="I42">
            <v>553</v>
          </cell>
          <cell r="J42">
            <v>457</v>
          </cell>
          <cell r="K42">
            <v>451</v>
          </cell>
          <cell r="L42">
            <v>523</v>
          </cell>
          <cell r="M42">
            <v>465</v>
          </cell>
          <cell r="N42">
            <v>426</v>
          </cell>
          <cell r="O42">
            <v>416</v>
          </cell>
          <cell r="P42">
            <v>377</v>
          </cell>
          <cell r="Q42">
            <v>376</v>
          </cell>
          <cell r="R42">
            <v>517</v>
          </cell>
          <cell r="S42">
            <v>511</v>
          </cell>
          <cell r="T42">
            <v>412</v>
          </cell>
          <cell r="U42">
            <v>407</v>
          </cell>
          <cell r="V42">
            <v>504</v>
          </cell>
          <cell r="W42">
            <v>438</v>
          </cell>
          <cell r="X42">
            <v>411</v>
          </cell>
          <cell r="Y42">
            <v>402</v>
          </cell>
          <cell r="Z42">
            <v>359</v>
          </cell>
          <cell r="AA42">
            <v>351</v>
          </cell>
          <cell r="AB42">
            <v>9.9099999999999994E-2</v>
          </cell>
          <cell r="AC42">
            <v>9.9099999999999994E-2</v>
          </cell>
          <cell r="AD42">
            <v>9.98E-2</v>
          </cell>
          <cell r="AE42">
            <v>9.98E-2</v>
          </cell>
          <cell r="AF42">
            <v>9.7000000000000003E-2</v>
          </cell>
          <cell r="AG42">
            <v>9.9900000000000003E-2</v>
          </cell>
          <cell r="AH42">
            <v>7.0900000000000005E-2</v>
          </cell>
          <cell r="AI42">
            <v>7.3499999999999996E-2</v>
          </cell>
          <cell r="AJ42">
            <v>0.245</v>
          </cell>
          <cell r="AK42">
            <v>0.245</v>
          </cell>
          <cell r="AL42">
            <v>0.216</v>
          </cell>
          <cell r="AM42">
            <v>0.216</v>
          </cell>
        </row>
        <row r="43">
          <cell r="A43">
            <v>1400</v>
          </cell>
          <cell r="F43">
            <v>300</v>
          </cell>
          <cell r="G43">
            <v>18</v>
          </cell>
          <cell r="H43">
            <v>648</v>
          </cell>
          <cell r="I43">
            <v>637</v>
          </cell>
          <cell r="J43">
            <v>529</v>
          </cell>
          <cell r="K43">
            <v>519</v>
          </cell>
          <cell r="L43">
            <v>589</v>
          </cell>
          <cell r="M43">
            <v>524</v>
          </cell>
          <cell r="N43">
            <v>491</v>
          </cell>
          <cell r="O43">
            <v>479</v>
          </cell>
          <cell r="P43">
            <v>434</v>
          </cell>
          <cell r="Q43">
            <v>423</v>
          </cell>
          <cell r="R43">
            <v>594</v>
          </cell>
          <cell r="S43">
            <v>584</v>
          </cell>
          <cell r="T43">
            <v>472</v>
          </cell>
          <cell r="U43">
            <v>464</v>
          </cell>
          <cell r="V43">
            <v>567</v>
          </cell>
          <cell r="W43">
            <v>493</v>
          </cell>
          <cell r="X43">
            <v>463</v>
          </cell>
          <cell r="Y43">
            <v>452</v>
          </cell>
          <cell r="Z43">
            <v>404</v>
          </cell>
          <cell r="AA43">
            <v>394</v>
          </cell>
          <cell r="AB43">
            <v>8.0299999999999996E-2</v>
          </cell>
          <cell r="AC43">
            <v>8.0299999999999996E-2</v>
          </cell>
          <cell r="AD43">
            <v>8.1199999999999994E-2</v>
          </cell>
          <cell r="AE43">
            <v>8.1199999999999994E-2</v>
          </cell>
          <cell r="AF43">
            <v>9.6100000000000005E-2</v>
          </cell>
          <cell r="AG43">
            <v>9.9099999999999994E-2</v>
          </cell>
          <cell r="AH43">
            <v>7.0400000000000004E-2</v>
          </cell>
          <cell r="AI43">
            <v>7.3200000000000001E-2</v>
          </cell>
          <cell r="AJ43">
            <v>0.222</v>
          </cell>
          <cell r="AK43">
            <v>0.222</v>
          </cell>
          <cell r="AL43">
            <v>0.19</v>
          </cell>
          <cell r="AM43">
            <v>0.19</v>
          </cell>
        </row>
        <row r="44">
          <cell r="A44">
            <v>1600</v>
          </cell>
          <cell r="F44">
            <v>400</v>
          </cell>
          <cell r="G44">
            <v>19</v>
          </cell>
          <cell r="H44">
            <v>756</v>
          </cell>
          <cell r="I44">
            <v>764</v>
          </cell>
          <cell r="J44">
            <v>615</v>
          </cell>
          <cell r="K44">
            <v>621</v>
          </cell>
          <cell r="L44">
            <v>668</v>
          </cell>
          <cell r="M44">
            <v>593</v>
          </cell>
          <cell r="N44">
            <v>557</v>
          </cell>
          <cell r="O44">
            <v>554</v>
          </cell>
          <cell r="P44">
            <v>492</v>
          </cell>
          <cell r="Q44">
            <v>504</v>
          </cell>
          <cell r="R44">
            <v>685</v>
          </cell>
          <cell r="S44">
            <v>692</v>
          </cell>
          <cell r="T44">
            <v>544</v>
          </cell>
          <cell r="U44">
            <v>549</v>
          </cell>
          <cell r="V44">
            <v>640</v>
          </cell>
          <cell r="W44">
            <v>557</v>
          </cell>
          <cell r="X44">
            <v>524</v>
          </cell>
          <cell r="Y44">
            <v>537</v>
          </cell>
          <cell r="Z44">
            <v>468</v>
          </cell>
          <cell r="AA44">
            <v>467</v>
          </cell>
          <cell r="AB44">
            <v>6.4600000000000005E-2</v>
          </cell>
          <cell r="AC44">
            <v>6.4600000000000005E-2</v>
          </cell>
          <cell r="AD44">
            <v>6.5600000000000006E-2</v>
          </cell>
          <cell r="AE44">
            <v>6.5600000000000006E-2</v>
          </cell>
          <cell r="AF44">
            <v>9.5500000000000002E-2</v>
          </cell>
          <cell r="AG44">
            <v>9.8199999999999996E-2</v>
          </cell>
          <cell r="AH44">
            <v>7.0199999999999999E-2</v>
          </cell>
          <cell r="AI44">
            <v>7.2800000000000004E-2</v>
          </cell>
          <cell r="AJ44">
            <v>0.20499999999999999</v>
          </cell>
          <cell r="AK44">
            <v>0.20499999999999999</v>
          </cell>
          <cell r="AL44">
            <v>0.17100000000000001</v>
          </cell>
          <cell r="AM44">
            <v>0.17100000000000001</v>
          </cell>
        </row>
        <row r="45">
          <cell r="A45">
            <v>1800</v>
          </cell>
          <cell r="F45">
            <v>500</v>
          </cell>
          <cell r="G45">
            <v>20</v>
          </cell>
          <cell r="H45">
            <v>874</v>
          </cell>
          <cell r="I45">
            <v>884</v>
          </cell>
          <cell r="J45">
            <v>710</v>
          </cell>
          <cell r="K45">
            <v>717</v>
          </cell>
          <cell r="L45">
            <v>752</v>
          </cell>
          <cell r="M45">
            <v>668</v>
          </cell>
          <cell r="N45">
            <v>648</v>
          </cell>
          <cell r="O45">
            <v>642</v>
          </cell>
          <cell r="P45">
            <v>571</v>
          </cell>
          <cell r="Q45">
            <v>566</v>
          </cell>
          <cell r="R45">
            <v>779</v>
          </cell>
          <cell r="S45">
            <v>794</v>
          </cell>
          <cell r="T45">
            <v>616</v>
          </cell>
          <cell r="U45">
            <v>627</v>
          </cell>
          <cell r="V45">
            <v>714</v>
          </cell>
          <cell r="W45">
            <v>620</v>
          </cell>
          <cell r="X45">
            <v>601</v>
          </cell>
          <cell r="Y45">
            <v>602</v>
          </cell>
          <cell r="Z45">
            <v>522</v>
          </cell>
          <cell r="AA45">
            <v>523</v>
          </cell>
          <cell r="AB45">
            <v>5.2499999999999998E-2</v>
          </cell>
          <cell r="AC45">
            <v>5.2499999999999998E-2</v>
          </cell>
          <cell r="AD45">
            <v>5.4399999999999997E-2</v>
          </cell>
          <cell r="AE45">
            <v>5.4399999999999997E-2</v>
          </cell>
          <cell r="AF45">
            <v>9.4799999999999995E-2</v>
          </cell>
          <cell r="AG45">
            <v>9.7299999999999998E-2</v>
          </cell>
          <cell r="AH45">
            <v>7.0000000000000007E-2</v>
          </cell>
          <cell r="AI45">
            <v>7.2300000000000003E-2</v>
          </cell>
          <cell r="AJ45">
            <v>0.193</v>
          </cell>
          <cell r="AK45">
            <v>0.193</v>
          </cell>
          <cell r="AL45">
            <v>0.158</v>
          </cell>
          <cell r="AM45">
            <v>0.158</v>
          </cell>
        </row>
        <row r="46">
          <cell r="A46">
            <v>2000</v>
          </cell>
          <cell r="F46">
            <v>630</v>
          </cell>
          <cell r="G46">
            <v>21</v>
          </cell>
          <cell r="H46">
            <v>1010</v>
          </cell>
          <cell r="I46">
            <v>1030</v>
          </cell>
          <cell r="J46">
            <v>817</v>
          </cell>
          <cell r="K46">
            <v>833</v>
          </cell>
          <cell r="L46">
            <v>843</v>
          </cell>
          <cell r="M46">
            <v>748</v>
          </cell>
          <cell r="N46">
            <v>727</v>
          </cell>
          <cell r="O46">
            <v>729</v>
          </cell>
          <cell r="P46">
            <v>639</v>
          </cell>
          <cell r="Q46">
            <v>641</v>
          </cell>
          <cell r="R46" t="e">
            <v>#VALUE!</v>
          </cell>
          <cell r="S46" t="e">
            <v>#VALUE!</v>
          </cell>
          <cell r="T46" t="e">
            <v>#VALUE!</v>
          </cell>
          <cell r="U46" t="e">
            <v>#VALUE!</v>
          </cell>
          <cell r="V46" t="e">
            <v>#VALUE!</v>
          </cell>
          <cell r="W46" t="e">
            <v>#VALUE!</v>
          </cell>
          <cell r="X46" t="e">
            <v>#VALUE!</v>
          </cell>
          <cell r="Y46" t="e">
            <v>#VALUE!</v>
          </cell>
          <cell r="Z46" t="e">
            <v>#VALUE!</v>
          </cell>
          <cell r="AA46" t="e">
            <v>#VALUE!</v>
          </cell>
          <cell r="AB46">
            <v>4.3200000000000002E-2</v>
          </cell>
          <cell r="AC46">
            <v>4.3200000000000002E-2</v>
          </cell>
          <cell r="AD46" t="e">
            <v>#VALUE!</v>
          </cell>
          <cell r="AE46" t="e">
            <v>#VALUE!</v>
          </cell>
          <cell r="AF46">
            <v>9.4E-2</v>
          </cell>
          <cell r="AG46">
            <v>9.5200000000000007E-2</v>
          </cell>
          <cell r="AH46" t="e">
            <v>#VALUE!</v>
          </cell>
          <cell r="AI46" t="e">
            <v>#VALUE!</v>
          </cell>
          <cell r="AJ46">
            <v>0.182</v>
          </cell>
          <cell r="AK46">
            <v>0.182</v>
          </cell>
          <cell r="AL46" t="e">
            <v>#VALUE!</v>
          </cell>
          <cell r="AM46" t="e">
            <v>#VALUE!</v>
          </cell>
        </row>
        <row r="47">
          <cell r="A47">
            <v>2240</v>
          </cell>
          <cell r="F47" t="str">
            <v>AS3008</v>
          </cell>
          <cell r="H47" t="str">
            <v>Table 8, Column 5</v>
          </cell>
          <cell r="I47" t="str">
            <v>Table 8, Column 6</v>
          </cell>
          <cell r="J47" t="str">
            <v>Table 7, Column 5</v>
          </cell>
          <cell r="K47" t="str">
            <v>Table 7, Column 6</v>
          </cell>
          <cell r="L47" t="str">
            <v>Table 8, Column 22</v>
          </cell>
          <cell r="M47" t="str">
            <v>Table 7, Column 22</v>
          </cell>
          <cell r="N47" t="str">
            <v>Table 8, Column 24</v>
          </cell>
          <cell r="O47" t="str">
            <v>Table 8, Column 25</v>
          </cell>
          <cell r="P47" t="str">
            <v>Table 7, Column 24</v>
          </cell>
          <cell r="Q47" t="str">
            <v>Table 7, Column 25</v>
          </cell>
          <cell r="R47" t="str">
            <v>Table 14, Column 2</v>
          </cell>
          <cell r="S47" t="str">
            <v>Table 14, Column 3</v>
          </cell>
          <cell r="T47" t="str">
            <v>Table 13, Column 2</v>
          </cell>
          <cell r="U47" t="str">
            <v>Table 13, Column 3</v>
          </cell>
          <cell r="V47" t="str">
            <v>Table 14, Column 23</v>
          </cell>
          <cell r="W47" t="str">
            <v>Table 13, Column 23</v>
          </cell>
          <cell r="X47" t="str">
            <v>Table 14, Column 25</v>
          </cell>
          <cell r="Y47" t="str">
            <v>Table 14, Column 26</v>
          </cell>
          <cell r="Z47" t="str">
            <v>Table 13, Column 25</v>
          </cell>
          <cell r="AA47" t="str">
            <v>Table 13, Column 26</v>
          </cell>
          <cell r="AB47" t="str">
            <v>Table 34</v>
          </cell>
          <cell r="AC47" t="str">
            <v>Table 34</v>
          </cell>
          <cell r="AD47" t="str">
            <v>Table 35</v>
          </cell>
          <cell r="AE47" t="str">
            <v>Table 35</v>
          </cell>
          <cell r="AF47" t="str">
            <v>Table 30 &amp; cores flat</v>
          </cell>
          <cell r="AG47" t="str">
            <v>Table 30 &amp; cores flat</v>
          </cell>
          <cell r="AH47" t="str">
            <v>Table 30</v>
          </cell>
          <cell r="AI47" t="str">
            <v>Table 30</v>
          </cell>
          <cell r="AJ47" t="str">
            <v>Table 41 &amp; 90°C</v>
          </cell>
          <cell r="AK47" t="str">
            <v>Table 41 &amp; 90°C</v>
          </cell>
          <cell r="AL47" t="str">
            <v>Table 42 &amp; 90°C</v>
          </cell>
          <cell r="AM47" t="str">
            <v>Table 42 &amp; 90°C</v>
          </cell>
        </row>
        <row r="48">
          <cell r="A48">
            <v>2600</v>
          </cell>
        </row>
        <row r="49">
          <cell r="A49">
            <v>3100</v>
          </cell>
        </row>
        <row r="50">
          <cell r="A50">
            <v>4500</v>
          </cell>
        </row>
        <row r="53">
          <cell r="A53">
            <v>400</v>
          </cell>
          <cell r="B53" t="str">
            <v>0.6/1.0</v>
          </cell>
          <cell r="D53" t="str">
            <v>Circuits</v>
          </cell>
          <cell r="E53" t="str">
            <v>Direct Buried - Touching - 1c</v>
          </cell>
          <cell r="F53" t="str">
            <v>Direct Buried - 0.15 - 1c</v>
          </cell>
          <cell r="G53" t="str">
            <v>Direct Buried - 0.3 - 1c</v>
          </cell>
          <cell r="H53" t="str">
            <v>Direct Buried - 0.45 - 1c</v>
          </cell>
          <cell r="I53" t="str">
            <v>Direct Buried - 0.6 - 1c</v>
          </cell>
          <cell r="J53" t="str">
            <v>Direct Buried - Touching - 3c</v>
          </cell>
          <cell r="K53" t="str">
            <v>Direct Buried - 0.15 - 3c</v>
          </cell>
          <cell r="L53" t="str">
            <v>Direct Buried - 0.3 - 3c</v>
          </cell>
          <cell r="M53" t="str">
            <v>Direct Buried - 0.45 - 3c</v>
          </cell>
          <cell r="N53" t="str">
            <v>Direct Buried - 0.6 - 3c</v>
          </cell>
          <cell r="O53" t="str">
            <v>Cable Ladder - 1 Tier - Touching - 1c</v>
          </cell>
          <cell r="P53" t="str">
            <v>Cable Ladder - 2 Tier - Touching - 1c</v>
          </cell>
          <cell r="Q53" t="str">
            <v>Cable Ladder - 3 Tier - Touching - 1c</v>
          </cell>
          <cell r="R53" t="str">
            <v>Cable Ladder - 1 Tier - Spaced - 1c</v>
          </cell>
          <cell r="S53" t="str">
            <v>Cable Ladder - 2 Tier - Spaced - 1c</v>
          </cell>
          <cell r="T53" t="str">
            <v>Cable Ladder - 3 Tier - Spaced - 1c</v>
          </cell>
          <cell r="U53" t="str">
            <v>Cable Ladder - 1 Tier - Touching - 3c</v>
          </cell>
          <cell r="V53" t="str">
            <v>Cable Ladder - 2 Tier - Touching - 3c</v>
          </cell>
          <cell r="W53" t="str">
            <v>Cable Ladder - 3 Tier - Touching - 3c</v>
          </cell>
          <cell r="X53" t="str">
            <v>Cable Ladder - 1 Tier - Spaced - 3c</v>
          </cell>
          <cell r="Y53" t="str">
            <v>Cable Ladder - 2 Tier - Spaced - 3c</v>
          </cell>
          <cell r="Z53" t="str">
            <v>Cable Ladder - 3 Tier - Spaced - 3c</v>
          </cell>
          <cell r="AA53" t="str">
            <v>Conduit - In Ground - Touching - 1c</v>
          </cell>
          <cell r="AB53" t="str">
            <v>Conduit - In Ground - 0.3 - 1c</v>
          </cell>
          <cell r="AC53" t="str">
            <v>Conduit - In Ground - 0.45 - 1c</v>
          </cell>
          <cell r="AD53" t="str">
            <v>Conduit - In Ground - 0.6 - 1c</v>
          </cell>
          <cell r="AE53" t="str">
            <v>Conduit - In Ground - Touching - 3c</v>
          </cell>
          <cell r="AF53" t="str">
            <v>Conduit - In Ground - 0.3 - 3c</v>
          </cell>
          <cell r="AG53" t="str">
            <v>Conduit - In Ground - 0.45 - 3c</v>
          </cell>
          <cell r="AH53" t="str">
            <v>Conduit - In Ground - 0.6 - 3c</v>
          </cell>
        </row>
        <row r="54">
          <cell r="A54">
            <v>415</v>
          </cell>
          <cell r="B54" t="str">
            <v>0.6/1.0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0.95</v>
          </cell>
          <cell r="Q54">
            <v>0.95</v>
          </cell>
          <cell r="R54">
            <v>1</v>
          </cell>
          <cell r="S54">
            <v>0.97</v>
          </cell>
          <cell r="T54">
            <v>0.97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>
            <v>1</v>
          </cell>
          <cell r="AK54" t="str">
            <v>DOL</v>
          </cell>
          <cell r="AL54">
            <v>7</v>
          </cell>
          <cell r="AP54" t="str">
            <v>ABL</v>
          </cell>
        </row>
        <row r="55">
          <cell r="A55">
            <v>690</v>
          </cell>
          <cell r="B55" t="str">
            <v>0.6/1.0</v>
          </cell>
          <cell r="D55">
            <v>2</v>
          </cell>
          <cell r="E55">
            <v>0.78</v>
          </cell>
          <cell r="F55">
            <v>0.83</v>
          </cell>
          <cell r="G55">
            <v>0.88</v>
          </cell>
          <cell r="H55">
            <v>0.91</v>
          </cell>
          <cell r="I55">
            <v>0.93</v>
          </cell>
          <cell r="J55">
            <v>0.81</v>
          </cell>
          <cell r="K55">
            <v>0.87</v>
          </cell>
          <cell r="L55">
            <v>0.91</v>
          </cell>
          <cell r="M55">
            <v>0.93</v>
          </cell>
          <cell r="N55">
            <v>0.95</v>
          </cell>
          <cell r="O55">
            <v>0.95</v>
          </cell>
          <cell r="P55">
            <v>0.9</v>
          </cell>
          <cell r="Q55">
            <v>0.89</v>
          </cell>
          <cell r="R55">
            <v>1</v>
          </cell>
          <cell r="S55">
            <v>0.95</v>
          </cell>
          <cell r="T55">
            <v>0.94</v>
          </cell>
          <cell r="U55">
            <v>0.87</v>
          </cell>
          <cell r="V55">
            <v>0.86</v>
          </cell>
          <cell r="W55">
            <v>0.85</v>
          </cell>
          <cell r="X55">
            <v>1</v>
          </cell>
          <cell r="Y55">
            <v>0.99</v>
          </cell>
          <cell r="Z55">
            <v>0.98</v>
          </cell>
          <cell r="AA55">
            <v>0.9</v>
          </cell>
          <cell r="AB55">
            <v>0.93</v>
          </cell>
          <cell r="AC55">
            <v>0.95</v>
          </cell>
          <cell r="AD55">
            <v>0.96</v>
          </cell>
          <cell r="AE55">
            <v>0.9</v>
          </cell>
          <cell r="AF55">
            <v>0.93</v>
          </cell>
          <cell r="AG55">
            <v>0.95</v>
          </cell>
          <cell r="AH55">
            <v>0.96</v>
          </cell>
          <cell r="AK55" t="str">
            <v>LRS</v>
          </cell>
          <cell r="AL55">
            <v>2</v>
          </cell>
          <cell r="AP55" t="str">
            <v>ACN</v>
          </cell>
        </row>
        <row r="56">
          <cell r="A56">
            <v>3300</v>
          </cell>
          <cell r="B56" t="str">
            <v>1.9/3.3</v>
          </cell>
          <cell r="D56">
            <v>3</v>
          </cell>
          <cell r="E56">
            <v>0.66</v>
          </cell>
          <cell r="F56">
            <v>0.73</v>
          </cell>
          <cell r="G56">
            <v>0.79</v>
          </cell>
          <cell r="H56">
            <v>0.84</v>
          </cell>
          <cell r="I56">
            <v>0.87</v>
          </cell>
          <cell r="J56">
            <v>0.7</v>
          </cell>
          <cell r="K56">
            <v>0.78</v>
          </cell>
          <cell r="L56">
            <v>0.84</v>
          </cell>
          <cell r="M56">
            <v>0.88</v>
          </cell>
          <cell r="N56">
            <v>0.9</v>
          </cell>
          <cell r="O56">
            <v>0.94</v>
          </cell>
          <cell r="P56">
            <v>0.88</v>
          </cell>
          <cell r="Q56">
            <v>0.85</v>
          </cell>
          <cell r="R56">
            <v>1</v>
          </cell>
          <cell r="S56">
            <v>0.93</v>
          </cell>
          <cell r="T56">
            <v>0.9</v>
          </cell>
          <cell r="U56">
            <v>0.82</v>
          </cell>
          <cell r="V56">
            <v>0.8</v>
          </cell>
          <cell r="W56">
            <v>0.79</v>
          </cell>
          <cell r="X56">
            <v>1</v>
          </cell>
          <cell r="Y56">
            <v>0.98</v>
          </cell>
          <cell r="Z56">
            <v>0.97</v>
          </cell>
          <cell r="AA56">
            <v>0.83</v>
          </cell>
          <cell r="AB56">
            <v>0.88</v>
          </cell>
          <cell r="AC56">
            <v>0.91</v>
          </cell>
          <cell r="AD56">
            <v>0.93</v>
          </cell>
          <cell r="AE56">
            <v>0.83</v>
          </cell>
          <cell r="AF56">
            <v>0.88</v>
          </cell>
          <cell r="AG56">
            <v>0.91</v>
          </cell>
          <cell r="AH56">
            <v>0.93</v>
          </cell>
          <cell r="AK56" t="str">
            <v>SST</v>
          </cell>
          <cell r="AL56">
            <v>2.5</v>
          </cell>
          <cell r="AP56" t="str">
            <v>AGT</v>
          </cell>
        </row>
        <row r="57">
          <cell r="A57">
            <v>6600</v>
          </cell>
          <cell r="B57" t="str">
            <v>3.8/6.6</v>
          </cell>
          <cell r="D57">
            <v>4</v>
          </cell>
          <cell r="E57">
            <v>0.61</v>
          </cell>
          <cell r="F57">
            <v>0.68</v>
          </cell>
          <cell r="G57">
            <v>0.74</v>
          </cell>
          <cell r="H57">
            <v>0.81</v>
          </cell>
          <cell r="I57">
            <v>0.85</v>
          </cell>
          <cell r="J57">
            <v>0.63</v>
          </cell>
          <cell r="K57">
            <v>0.74</v>
          </cell>
          <cell r="L57">
            <v>0.81</v>
          </cell>
          <cell r="M57">
            <v>0.86</v>
          </cell>
          <cell r="N57">
            <v>0.89</v>
          </cell>
          <cell r="O57" t="e">
            <v>#VALUE!</v>
          </cell>
          <cell r="P57" t="e">
            <v>#VALUE!</v>
          </cell>
          <cell r="Q57" t="e">
            <v>#VALUE!</v>
          </cell>
          <cell r="R57" t="e">
            <v>#VALUE!</v>
          </cell>
          <cell r="S57" t="e">
            <v>#VALUE!</v>
          </cell>
          <cell r="T57" t="e">
            <v>#VALUE!</v>
          </cell>
          <cell r="U57">
            <v>0.8</v>
          </cell>
          <cell r="V57">
            <v>0.78</v>
          </cell>
          <cell r="W57">
            <v>0.76</v>
          </cell>
          <cell r="X57">
            <v>1</v>
          </cell>
          <cell r="Y57">
            <v>0.97</v>
          </cell>
          <cell r="Z57">
            <v>0.96</v>
          </cell>
          <cell r="AA57">
            <v>0.79</v>
          </cell>
          <cell r="AB57">
            <v>0.85</v>
          </cell>
          <cell r="AC57">
            <v>0.89</v>
          </cell>
          <cell r="AD57">
            <v>0.92</v>
          </cell>
          <cell r="AE57">
            <v>0.79</v>
          </cell>
          <cell r="AF57">
            <v>0.85</v>
          </cell>
          <cell r="AG57">
            <v>0.89</v>
          </cell>
          <cell r="AH57">
            <v>0.92</v>
          </cell>
          <cell r="AK57" t="str">
            <v>VSD</v>
          </cell>
          <cell r="AL57">
            <v>2</v>
          </cell>
          <cell r="AP57" t="str">
            <v>CMP</v>
          </cell>
        </row>
        <row r="58">
          <cell r="A58">
            <v>11000</v>
          </cell>
          <cell r="B58" t="str">
            <v>6.35/11</v>
          </cell>
          <cell r="D58">
            <v>5</v>
          </cell>
          <cell r="E58">
            <v>0.56000000000000005</v>
          </cell>
          <cell r="F58">
            <v>0.64</v>
          </cell>
          <cell r="G58">
            <v>0.73</v>
          </cell>
          <cell r="H58">
            <v>0.79</v>
          </cell>
          <cell r="I58">
            <v>0.83</v>
          </cell>
          <cell r="J58">
            <v>0.59</v>
          </cell>
          <cell r="K58">
            <v>0.7</v>
          </cell>
          <cell r="L58">
            <v>0.78</v>
          </cell>
          <cell r="M58">
            <v>0.84</v>
          </cell>
          <cell r="N58">
            <v>0.87</v>
          </cell>
          <cell r="O58" t="e">
            <v>#VALUE!</v>
          </cell>
          <cell r="P58" t="e">
            <v>#VALUE!</v>
          </cell>
          <cell r="Q58" t="e">
            <v>#VALUE!</v>
          </cell>
          <cell r="R58" t="e">
            <v>#VALUE!</v>
          </cell>
          <cell r="S58" t="e">
            <v>#VALUE!</v>
          </cell>
          <cell r="T58" t="e">
            <v>#VALUE!</v>
          </cell>
          <cell r="U58">
            <v>0.79</v>
          </cell>
          <cell r="V58">
            <v>0.76</v>
          </cell>
          <cell r="W58">
            <v>0.76</v>
          </cell>
          <cell r="X58">
            <v>1</v>
          </cell>
          <cell r="Y58">
            <v>0.96</v>
          </cell>
          <cell r="Z58">
            <v>0.93</v>
          </cell>
          <cell r="AA58">
            <v>0.75</v>
          </cell>
          <cell r="AB58">
            <v>0.83</v>
          </cell>
          <cell r="AC58">
            <v>0.88</v>
          </cell>
          <cell r="AD58">
            <v>0.91</v>
          </cell>
          <cell r="AE58">
            <v>0.75</v>
          </cell>
          <cell r="AF58">
            <v>0.83</v>
          </cell>
          <cell r="AG58">
            <v>0.88</v>
          </cell>
          <cell r="AH58">
            <v>0.91</v>
          </cell>
          <cell r="AP58" t="str">
            <v>CRN</v>
          </cell>
        </row>
        <row r="59">
          <cell r="A59">
            <v>11500</v>
          </cell>
          <cell r="B59" t="str">
            <v>12.7/22</v>
          </cell>
          <cell r="D59">
            <v>6</v>
          </cell>
          <cell r="E59">
            <v>0.53</v>
          </cell>
          <cell r="F59">
            <v>0.61</v>
          </cell>
          <cell r="G59">
            <v>0.71</v>
          </cell>
          <cell r="H59">
            <v>0.78</v>
          </cell>
          <cell r="I59">
            <v>0.82</v>
          </cell>
          <cell r="J59">
            <v>0.55000000000000004</v>
          </cell>
          <cell r="K59">
            <v>0.68</v>
          </cell>
          <cell r="L59">
            <v>0.77</v>
          </cell>
          <cell r="M59">
            <v>0.83</v>
          </cell>
          <cell r="N59">
            <v>0.87</v>
          </cell>
          <cell r="O59" t="e">
            <v>#VALUE!</v>
          </cell>
          <cell r="P59" t="e">
            <v>#VALUE!</v>
          </cell>
          <cell r="Q59" t="e">
            <v>#VALUE!</v>
          </cell>
          <cell r="R59" t="e">
            <v>#VALUE!</v>
          </cell>
          <cell r="S59" t="e">
            <v>#VALUE!</v>
          </cell>
          <cell r="T59" t="e">
            <v>#VALUE!</v>
          </cell>
          <cell r="U59">
            <v>0.79</v>
          </cell>
          <cell r="V59">
            <v>0.76</v>
          </cell>
          <cell r="W59">
            <v>0.73</v>
          </cell>
          <cell r="X59">
            <v>1</v>
          </cell>
          <cell r="Y59">
            <v>0.96</v>
          </cell>
          <cell r="Z59">
            <v>0.93</v>
          </cell>
          <cell r="AA59">
            <v>0.73</v>
          </cell>
          <cell r="AB59">
            <v>0.82</v>
          </cell>
          <cell r="AC59">
            <v>0.87</v>
          </cell>
          <cell r="AD59">
            <v>0.9</v>
          </cell>
          <cell r="AE59">
            <v>0.73</v>
          </cell>
          <cell r="AF59">
            <v>0.82</v>
          </cell>
          <cell r="AG59">
            <v>0.87</v>
          </cell>
          <cell r="AH59">
            <v>0.9</v>
          </cell>
          <cell r="AP59" t="str">
            <v>CRU</v>
          </cell>
        </row>
        <row r="60">
          <cell r="A60">
            <v>22000</v>
          </cell>
          <cell r="B60" t="str">
            <v>12.7/22</v>
          </cell>
          <cell r="D60">
            <v>7</v>
          </cell>
          <cell r="E60">
            <v>0.5</v>
          </cell>
          <cell r="F60">
            <v>0.59</v>
          </cell>
          <cell r="G60">
            <v>0.69</v>
          </cell>
          <cell r="H60">
            <v>0.76</v>
          </cell>
          <cell r="I60">
            <v>0.82</v>
          </cell>
          <cell r="J60">
            <v>0.52</v>
          </cell>
          <cell r="K60">
            <v>0.66</v>
          </cell>
          <cell r="L60">
            <v>0.75</v>
          </cell>
          <cell r="M60">
            <v>0.82</v>
          </cell>
          <cell r="N60">
            <v>0.86</v>
          </cell>
          <cell r="O60" t="e">
            <v>#VALUE!</v>
          </cell>
          <cell r="P60" t="e">
            <v>#VALUE!</v>
          </cell>
          <cell r="Q60" t="e">
            <v>#VALUE!</v>
          </cell>
          <cell r="R60" t="e">
            <v>#VALUE!</v>
          </cell>
          <cell r="S60" t="e">
            <v>#VALUE!</v>
          </cell>
          <cell r="T60" t="e">
            <v>#VALUE!</v>
          </cell>
          <cell r="U60">
            <v>0.78</v>
          </cell>
          <cell r="V60">
            <v>0.73</v>
          </cell>
          <cell r="W60">
            <v>0.73</v>
          </cell>
          <cell r="X60">
            <v>1</v>
          </cell>
          <cell r="Y60">
            <v>0.94</v>
          </cell>
          <cell r="Z60">
            <v>0.91</v>
          </cell>
          <cell r="AA60">
            <v>0.71</v>
          </cell>
          <cell r="AB60">
            <v>0.81</v>
          </cell>
          <cell r="AC60">
            <v>0.86</v>
          </cell>
          <cell r="AD60">
            <v>0.89</v>
          </cell>
          <cell r="AE60">
            <v>0.71</v>
          </cell>
          <cell r="AF60">
            <v>0.81</v>
          </cell>
          <cell r="AG60">
            <v>0.86</v>
          </cell>
          <cell r="AH60">
            <v>0.89</v>
          </cell>
          <cell r="AP60" t="str">
            <v>CVY</v>
          </cell>
        </row>
        <row r="61">
          <cell r="A61">
            <v>33000</v>
          </cell>
          <cell r="B61" t="str">
            <v>19/33</v>
          </cell>
          <cell r="D61">
            <v>8</v>
          </cell>
          <cell r="E61">
            <v>0.49</v>
          </cell>
          <cell r="F61">
            <v>0.56999999999999995</v>
          </cell>
          <cell r="G61">
            <v>0.68</v>
          </cell>
          <cell r="H61">
            <v>0.76</v>
          </cell>
          <cell r="I61">
            <v>0.81</v>
          </cell>
          <cell r="J61">
            <v>0.5</v>
          </cell>
          <cell r="K61">
            <v>0.64</v>
          </cell>
          <cell r="L61">
            <v>0.75</v>
          </cell>
          <cell r="M61">
            <v>0.81</v>
          </cell>
          <cell r="N61">
            <v>0.86</v>
          </cell>
          <cell r="O61" t="e">
            <v>#VALUE!</v>
          </cell>
          <cell r="P61" t="e">
            <v>#VALUE!</v>
          </cell>
          <cell r="Q61" t="e">
            <v>#VALUE!</v>
          </cell>
          <cell r="R61" t="e">
            <v>#VALUE!</v>
          </cell>
          <cell r="S61" t="e">
            <v>#VALUE!</v>
          </cell>
          <cell r="T61" t="e">
            <v>#VALUE!</v>
          </cell>
          <cell r="U61">
            <v>0.78</v>
          </cell>
          <cell r="V61">
            <v>0.73</v>
          </cell>
          <cell r="W61">
            <v>0.73</v>
          </cell>
          <cell r="X61">
            <v>1</v>
          </cell>
          <cell r="Y61">
            <v>0.94</v>
          </cell>
          <cell r="Z61">
            <v>0.91</v>
          </cell>
          <cell r="AA61">
            <v>0.7</v>
          </cell>
          <cell r="AB61">
            <v>0.8</v>
          </cell>
          <cell r="AC61">
            <v>0.85</v>
          </cell>
          <cell r="AD61">
            <v>0.89</v>
          </cell>
          <cell r="AE61">
            <v>0.7</v>
          </cell>
          <cell r="AF61">
            <v>0.8</v>
          </cell>
          <cell r="AG61">
            <v>0.85</v>
          </cell>
          <cell r="AH61">
            <v>0.89</v>
          </cell>
          <cell r="AP61" t="str">
            <v>DRY</v>
          </cell>
        </row>
        <row r="62">
          <cell r="A62">
            <v>66000</v>
          </cell>
          <cell r="B62">
            <v>66</v>
          </cell>
          <cell r="D62">
            <v>9</v>
          </cell>
          <cell r="E62">
            <v>0.47</v>
          </cell>
          <cell r="F62">
            <v>0.56000000000000005</v>
          </cell>
          <cell r="G62">
            <v>0.67</v>
          </cell>
          <cell r="H62">
            <v>0.75</v>
          </cell>
          <cell r="I62">
            <v>0.81</v>
          </cell>
          <cell r="J62">
            <v>0.48</v>
          </cell>
          <cell r="K62">
            <v>0.63</v>
          </cell>
          <cell r="L62">
            <v>0.74</v>
          </cell>
          <cell r="M62">
            <v>0.81</v>
          </cell>
          <cell r="N62">
            <v>0.85</v>
          </cell>
          <cell r="O62" t="e">
            <v>#VALUE!</v>
          </cell>
          <cell r="P62" t="e">
            <v>#VALUE!</v>
          </cell>
          <cell r="Q62" t="e">
            <v>#VALUE!</v>
          </cell>
          <cell r="R62" t="e">
            <v>#VALUE!</v>
          </cell>
          <cell r="S62" t="e">
            <v>#VALUE!</v>
          </cell>
          <cell r="T62" t="e">
            <v>#VALUE!</v>
          </cell>
          <cell r="U62">
            <v>0.78</v>
          </cell>
          <cell r="V62">
            <v>0.73</v>
          </cell>
          <cell r="W62">
            <v>0.7</v>
          </cell>
          <cell r="X62">
            <v>1</v>
          </cell>
          <cell r="Y62">
            <v>0.94</v>
          </cell>
          <cell r="Z62">
            <v>0.91</v>
          </cell>
          <cell r="AA62">
            <v>0.68</v>
          </cell>
          <cell r="AB62">
            <v>0.79</v>
          </cell>
          <cell r="AC62">
            <v>0.85</v>
          </cell>
          <cell r="AD62">
            <v>0.89</v>
          </cell>
          <cell r="AE62">
            <v>0.68</v>
          </cell>
          <cell r="AF62">
            <v>0.79</v>
          </cell>
          <cell r="AG62">
            <v>0.85</v>
          </cell>
          <cell r="AH62">
            <v>0.89</v>
          </cell>
          <cell r="AP62" t="str">
            <v>DST</v>
          </cell>
        </row>
        <row r="63">
          <cell r="D63">
            <v>10</v>
          </cell>
          <cell r="E63">
            <v>0.46</v>
          </cell>
          <cell r="F63">
            <v>0.55000000000000004</v>
          </cell>
          <cell r="G63">
            <v>0.67</v>
          </cell>
          <cell r="H63">
            <v>0.75</v>
          </cell>
          <cell r="I63">
            <v>0.8</v>
          </cell>
          <cell r="J63">
            <v>0.47</v>
          </cell>
          <cell r="K63">
            <v>0.62</v>
          </cell>
          <cell r="L63">
            <v>0.73</v>
          </cell>
          <cell r="M63">
            <v>0.8</v>
          </cell>
          <cell r="N63">
            <v>0.85</v>
          </cell>
          <cell r="O63" t="e">
            <v>#VALUE!</v>
          </cell>
          <cell r="P63" t="e">
            <v>#VALUE!</v>
          </cell>
          <cell r="Q63" t="e">
            <v>#VALUE!</v>
          </cell>
          <cell r="R63" t="e">
            <v>#VALUE!</v>
          </cell>
          <cell r="S63" t="e">
            <v>#VALUE!</v>
          </cell>
          <cell r="T63" t="e">
            <v>#VALUE!</v>
          </cell>
          <cell r="U63" t="e">
            <v>#VALUE!</v>
          </cell>
          <cell r="V63" t="e">
            <v>#VALUE!</v>
          </cell>
          <cell r="W63" t="e">
            <v>#VALUE!</v>
          </cell>
          <cell r="X63" t="e">
            <v>#VALUE!</v>
          </cell>
          <cell r="Y63" t="e">
            <v>#VALUE!</v>
          </cell>
          <cell r="Z63" t="e">
            <v>#VALUE!</v>
          </cell>
          <cell r="AA63">
            <v>0.67</v>
          </cell>
          <cell r="AB63">
            <v>0.79</v>
          </cell>
          <cell r="AC63">
            <v>0.85</v>
          </cell>
          <cell r="AD63">
            <v>0.89</v>
          </cell>
          <cell r="AE63">
            <v>0.67</v>
          </cell>
          <cell r="AF63">
            <v>0.79</v>
          </cell>
          <cell r="AG63">
            <v>0.85</v>
          </cell>
          <cell r="AH63">
            <v>0.89</v>
          </cell>
          <cell r="AP63" t="str">
            <v>EDB</v>
          </cell>
        </row>
        <row r="64">
          <cell r="D64">
            <v>11</v>
          </cell>
          <cell r="E64">
            <v>0.44</v>
          </cell>
          <cell r="F64">
            <v>0.54</v>
          </cell>
          <cell r="G64">
            <v>0.66</v>
          </cell>
          <cell r="H64">
            <v>0.74</v>
          </cell>
          <cell r="I64">
            <v>0.8</v>
          </cell>
          <cell r="J64">
            <v>0.45</v>
          </cell>
          <cell r="K64">
            <v>0.61</v>
          </cell>
          <cell r="L64">
            <v>0.73</v>
          </cell>
          <cell r="M64">
            <v>0.8</v>
          </cell>
          <cell r="N64">
            <v>0.85</v>
          </cell>
          <cell r="O64" t="e">
            <v>#VALUE!</v>
          </cell>
          <cell r="P64" t="e">
            <v>#VALUE!</v>
          </cell>
          <cell r="Q64" t="e">
            <v>#VALUE!</v>
          </cell>
          <cell r="R64" t="e">
            <v>#VALUE!</v>
          </cell>
          <cell r="S64" t="e">
            <v>#VALUE!</v>
          </cell>
          <cell r="T64" t="e">
            <v>#VALUE!</v>
          </cell>
          <cell r="U64" t="e">
            <v>#VALUE!</v>
          </cell>
          <cell r="V64" t="e">
            <v>#VALUE!</v>
          </cell>
          <cell r="W64" t="e">
            <v>#VALUE!</v>
          </cell>
          <cell r="X64" t="e">
            <v>#VALUE!</v>
          </cell>
          <cell r="Y64" t="e">
            <v>#VALUE!</v>
          </cell>
          <cell r="Z64" t="e">
            <v>#VALUE!</v>
          </cell>
          <cell r="AA64">
            <v>0.66</v>
          </cell>
          <cell r="AB64">
            <v>0.78</v>
          </cell>
          <cell r="AC64">
            <v>0.84</v>
          </cell>
          <cell r="AD64">
            <v>0.88</v>
          </cell>
          <cell r="AE64">
            <v>0.66</v>
          </cell>
          <cell r="AF64">
            <v>0.78</v>
          </cell>
          <cell r="AG64">
            <v>0.84</v>
          </cell>
          <cell r="AH64">
            <v>0.88</v>
          </cell>
          <cell r="AP64" t="str">
            <v>FAN</v>
          </cell>
        </row>
        <row r="65">
          <cell r="D65">
            <v>12</v>
          </cell>
          <cell r="E65">
            <v>0.43</v>
          </cell>
          <cell r="F65">
            <v>0.53</v>
          </cell>
          <cell r="G65">
            <v>0.66</v>
          </cell>
          <cell r="H65">
            <v>0.74</v>
          </cell>
          <cell r="I65">
            <v>0.8</v>
          </cell>
          <cell r="J65">
            <v>0.44</v>
          </cell>
          <cell r="K65">
            <v>0.6</v>
          </cell>
          <cell r="L65">
            <v>0.72</v>
          </cell>
          <cell r="M65">
            <v>0.8</v>
          </cell>
          <cell r="N65">
            <v>0.84</v>
          </cell>
          <cell r="O65" t="e">
            <v>#VALUE!</v>
          </cell>
          <cell r="P65" t="e">
            <v>#VALUE!</v>
          </cell>
          <cell r="Q65" t="e">
            <v>#VALUE!</v>
          </cell>
          <cell r="R65" t="e">
            <v>#VALUE!</v>
          </cell>
          <cell r="S65" t="e">
            <v>#VALUE!</v>
          </cell>
          <cell r="T65" t="e">
            <v>#VALUE!</v>
          </cell>
          <cell r="U65" t="e">
            <v>#VALUE!</v>
          </cell>
          <cell r="V65" t="e">
            <v>#VALUE!</v>
          </cell>
          <cell r="W65" t="e">
            <v>#VALUE!</v>
          </cell>
          <cell r="X65" t="e">
            <v>#VALUE!</v>
          </cell>
          <cell r="Y65" t="e">
            <v>#VALUE!</v>
          </cell>
          <cell r="Z65" t="e">
            <v>#VALUE!</v>
          </cell>
          <cell r="AA65">
            <v>0.66</v>
          </cell>
          <cell r="AB65">
            <v>0.78</v>
          </cell>
          <cell r="AC65">
            <v>0.84</v>
          </cell>
          <cell r="AD65">
            <v>0.88</v>
          </cell>
          <cell r="AE65">
            <v>0.66</v>
          </cell>
          <cell r="AF65">
            <v>0.78</v>
          </cell>
          <cell r="AG65">
            <v>0.84</v>
          </cell>
          <cell r="AH65">
            <v>0.88</v>
          </cell>
          <cell r="AP65" t="str">
            <v>FDR</v>
          </cell>
        </row>
        <row r="66">
          <cell r="A66" t="str">
            <v>1c</v>
          </cell>
          <cell r="D66" t="str">
            <v>AS3008</v>
          </cell>
          <cell r="E66" t="str">
            <v>Table 25(1) Col 2</v>
          </cell>
          <cell r="F66" t="str">
            <v>Table 25(1) Col 4</v>
          </cell>
          <cell r="G66" t="str">
            <v>Table 25(1) Col 5</v>
          </cell>
          <cell r="H66" t="str">
            <v>Table 25(1) Col 6</v>
          </cell>
          <cell r="I66" t="str">
            <v>Table 25(1) Col 7</v>
          </cell>
          <cell r="J66" t="str">
            <v>Table 25(2) Col 2</v>
          </cell>
          <cell r="K66" t="str">
            <v>Table 25(2) Col 3</v>
          </cell>
          <cell r="L66" t="str">
            <v>Table 25(2) Col 4</v>
          </cell>
          <cell r="M66" t="str">
            <v>Table 25(2) Col 5</v>
          </cell>
          <cell r="N66" t="str">
            <v>Table 25(2) Col 6</v>
          </cell>
          <cell r="O66" t="str">
            <v>Table 23, Item 7</v>
          </cell>
          <cell r="P66" t="str">
            <v>Table 23, Item 8</v>
          </cell>
          <cell r="Q66" t="str">
            <v>Table 23, Item 9</v>
          </cell>
          <cell r="R66" t="str">
            <v>Table 23, Item 18</v>
          </cell>
          <cell r="S66" t="str">
            <v>Table 23, Item 19</v>
          </cell>
          <cell r="T66" t="str">
            <v>Table 23, Item 20</v>
          </cell>
          <cell r="U66" t="str">
            <v>Table 24, Item 13</v>
          </cell>
          <cell r="V66" t="str">
            <v>Table 24, Item 14</v>
          </cell>
          <cell r="W66" t="str">
            <v>Table 24, Item 15</v>
          </cell>
          <cell r="X66" t="str">
            <v>Table 24, Item 16</v>
          </cell>
          <cell r="Y66" t="str">
            <v>Table 24, Item 17</v>
          </cell>
          <cell r="Z66" t="str">
            <v>Table 24, Item 18</v>
          </cell>
          <cell r="AA66" t="str">
            <v>Table 26(2)</v>
          </cell>
          <cell r="AB66" t="str">
            <v>Table 26(2)</v>
          </cell>
          <cell r="AC66" t="str">
            <v>Table 26(2)</v>
          </cell>
          <cell r="AD66" t="str">
            <v>Table 26(2)</v>
          </cell>
          <cell r="AE66" t="str">
            <v>Table 26(2)</v>
          </cell>
          <cell r="AF66" t="str">
            <v>Table 26(2)</v>
          </cell>
          <cell r="AG66" t="str">
            <v>Table 26(2)</v>
          </cell>
          <cell r="AH66" t="str">
            <v>Table 26(2)</v>
          </cell>
          <cell r="AP66" t="str">
            <v>GSR</v>
          </cell>
        </row>
        <row r="67">
          <cell r="A67" t="str">
            <v>3c</v>
          </cell>
          <cell r="AP67" t="str">
            <v>HST</v>
          </cell>
        </row>
        <row r="68">
          <cell r="A68" t="str">
            <v>4c</v>
          </cell>
          <cell r="AP68" t="str">
            <v>HTR</v>
          </cell>
        </row>
        <row r="69">
          <cell r="AP69" t="str">
            <v>LUB</v>
          </cell>
        </row>
        <row r="70">
          <cell r="M70" t="str">
            <v>Air Temp Range °C</v>
          </cell>
          <cell r="N70" t="str">
            <v>Lookup Row Number</v>
          </cell>
          <cell r="O70" t="str">
            <v>Cable Ladder - 1 Tier - XLPE</v>
          </cell>
          <cell r="P70" t="str">
            <v>Cable Ladder - 1 Tier - PVC-V90</v>
          </cell>
          <cell r="Q70" t="str">
            <v>Cable Ladder - 2 Tier - XLPE</v>
          </cell>
          <cell r="R70" t="str">
            <v>Cable Ladder - 2 Tier - PVC-V90</v>
          </cell>
          <cell r="S70" t="str">
            <v>Cable Ladder - 3 Tier - XLPE</v>
          </cell>
          <cell r="T70" t="str">
            <v>Cable Ladder - 3 Tier - PVC-V90</v>
          </cell>
          <cell r="U70" t="str">
            <v>Conduit - In Ground - XLPE</v>
          </cell>
          <cell r="V70" t="str">
            <v>Conduit - In Ground - PVC-V90</v>
          </cell>
          <cell r="W70" t="str">
            <v>Direct Buried - XLPE</v>
          </cell>
          <cell r="X70" t="str">
            <v>Direct Buried - PVC-V90</v>
          </cell>
          <cell r="AP70" t="str">
            <v>MAG</v>
          </cell>
        </row>
        <row r="71">
          <cell r="J71">
            <v>32</v>
          </cell>
          <cell r="L71">
            <v>10</v>
          </cell>
          <cell r="M71" t="e">
            <v>#VALUE!</v>
          </cell>
          <cell r="N71">
            <v>2</v>
          </cell>
          <cell r="O71" t="e">
            <v>#VALUE!</v>
          </cell>
          <cell r="P71" t="e">
            <v>#VALUE!</v>
          </cell>
          <cell r="Q71" t="e">
            <v>#VALUE!</v>
          </cell>
          <cell r="R71" t="e">
            <v>#VALUE!</v>
          </cell>
          <cell r="S71" t="e">
            <v>#VALUE!</v>
          </cell>
          <cell r="T71" t="e">
            <v>#VALUE!</v>
          </cell>
          <cell r="U71">
            <v>1.1100000000000001</v>
          </cell>
          <cell r="V71">
            <v>1.1100000000000001</v>
          </cell>
          <cell r="W71">
            <v>1.1100000000000001</v>
          </cell>
          <cell r="X71">
            <v>1.1100000000000001</v>
          </cell>
          <cell r="AD71" t="str">
            <v>Conduit - In Ground</v>
          </cell>
          <cell r="AE71" t="str">
            <v>Enclosure</v>
          </cell>
          <cell r="AP71" t="str">
            <v>MCC</v>
          </cell>
        </row>
        <row r="72">
          <cell r="A72">
            <v>400</v>
          </cell>
          <cell r="J72">
            <v>63</v>
          </cell>
          <cell r="L72">
            <v>15</v>
          </cell>
          <cell r="M72">
            <v>15</v>
          </cell>
          <cell r="N72">
            <v>3</v>
          </cell>
          <cell r="O72">
            <v>1.26</v>
          </cell>
          <cell r="P72">
            <v>1.26</v>
          </cell>
          <cell r="Q72">
            <v>1.26</v>
          </cell>
          <cell r="R72">
            <v>1.26</v>
          </cell>
          <cell r="S72">
            <v>1.26</v>
          </cell>
          <cell r="T72">
            <v>1.26</v>
          </cell>
          <cell r="U72">
            <v>1.07</v>
          </cell>
          <cell r="V72">
            <v>1.07</v>
          </cell>
          <cell r="W72">
            <v>1.07</v>
          </cell>
          <cell r="X72">
            <v>1.07</v>
          </cell>
          <cell r="Z72" t="str">
            <v>Touching</v>
          </cell>
          <cell r="AA72" t="str">
            <v>Touching</v>
          </cell>
          <cell r="AB72" t="str">
            <v>Touching</v>
          </cell>
          <cell r="AD72" t="str">
            <v>Direct Buried</v>
          </cell>
          <cell r="AE72" t="str">
            <v>Ground</v>
          </cell>
          <cell r="AP72" t="str">
            <v>MIL</v>
          </cell>
        </row>
        <row r="73">
          <cell r="A73">
            <v>500</v>
          </cell>
          <cell r="G73" t="str">
            <v>Cu</v>
          </cell>
          <cell r="J73">
            <v>80</v>
          </cell>
          <cell r="L73">
            <v>20</v>
          </cell>
          <cell r="M73">
            <v>20</v>
          </cell>
          <cell r="N73">
            <v>4</v>
          </cell>
          <cell r="O73">
            <v>1.2</v>
          </cell>
          <cell r="P73">
            <v>1.2</v>
          </cell>
          <cell r="Q73">
            <v>1.2</v>
          </cell>
          <cell r="R73">
            <v>1.2</v>
          </cell>
          <cell r="S73">
            <v>1.2</v>
          </cell>
          <cell r="T73">
            <v>1.2</v>
          </cell>
          <cell r="U73">
            <v>1.03</v>
          </cell>
          <cell r="V73">
            <v>1.03</v>
          </cell>
          <cell r="W73">
            <v>1.03</v>
          </cell>
          <cell r="X73">
            <v>1.03</v>
          </cell>
          <cell r="Z73">
            <v>0.15</v>
          </cell>
          <cell r="AA73" t="str">
            <v>Spaced</v>
          </cell>
          <cell r="AB73">
            <v>0.3</v>
          </cell>
          <cell r="AD73" t="str">
            <v>Cable Ladder - 1 Tier</v>
          </cell>
          <cell r="AE73" t="str">
            <v>Air</v>
          </cell>
          <cell r="AP73" t="str">
            <v>PMP</v>
          </cell>
        </row>
        <row r="74">
          <cell r="A74">
            <v>750</v>
          </cell>
          <cell r="G74" t="str">
            <v>Al</v>
          </cell>
          <cell r="J74">
            <v>100</v>
          </cell>
          <cell r="L74">
            <v>25</v>
          </cell>
          <cell r="M74">
            <v>25</v>
          </cell>
          <cell r="N74">
            <v>5</v>
          </cell>
          <cell r="O74">
            <v>1.1499999999999999</v>
          </cell>
          <cell r="P74">
            <v>1.1499999999999999</v>
          </cell>
          <cell r="Q74">
            <v>1.1499999999999999</v>
          </cell>
          <cell r="R74">
            <v>1.1499999999999999</v>
          </cell>
          <cell r="S74">
            <v>1.1499999999999999</v>
          </cell>
          <cell r="T74">
            <v>1.1499999999999999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Z74">
            <v>0.3</v>
          </cell>
          <cell r="AB74">
            <v>0.45</v>
          </cell>
          <cell r="AD74" t="str">
            <v>Cable Ladder - 2 Tier</v>
          </cell>
          <cell r="AE74" t="str">
            <v>Air</v>
          </cell>
          <cell r="AP74" t="str">
            <v>SCN</v>
          </cell>
        </row>
        <row r="75">
          <cell r="A75">
            <v>1000</v>
          </cell>
          <cell r="J75">
            <v>150</v>
          </cell>
          <cell r="L75">
            <v>30</v>
          </cell>
          <cell r="M75">
            <v>30</v>
          </cell>
          <cell r="N75">
            <v>6</v>
          </cell>
          <cell r="O75">
            <v>1.1000000000000001</v>
          </cell>
          <cell r="P75">
            <v>1.1000000000000001</v>
          </cell>
          <cell r="Q75">
            <v>1.1000000000000001</v>
          </cell>
          <cell r="R75">
            <v>1.1000000000000001</v>
          </cell>
          <cell r="S75">
            <v>1.1000000000000001</v>
          </cell>
          <cell r="T75">
            <v>1.1000000000000001</v>
          </cell>
          <cell r="U75">
            <v>0.97</v>
          </cell>
          <cell r="V75">
            <v>0.97</v>
          </cell>
          <cell r="W75">
            <v>0.97</v>
          </cell>
          <cell r="X75">
            <v>0.97</v>
          </cell>
          <cell r="Z75">
            <v>0.45</v>
          </cell>
          <cell r="AB75">
            <v>0.6</v>
          </cell>
          <cell r="AD75" t="str">
            <v>Cable Ladder - 3 Tier</v>
          </cell>
          <cell r="AE75" t="str">
            <v>Air</v>
          </cell>
          <cell r="AP75" t="str">
            <v>SMP</v>
          </cell>
        </row>
        <row r="76">
          <cell r="A76">
            <v>1500</v>
          </cell>
          <cell r="J76">
            <v>200</v>
          </cell>
          <cell r="L76">
            <v>35</v>
          </cell>
          <cell r="M76">
            <v>35</v>
          </cell>
          <cell r="N76">
            <v>7</v>
          </cell>
          <cell r="O76">
            <v>1.05</v>
          </cell>
          <cell r="P76">
            <v>1.05</v>
          </cell>
          <cell r="Q76">
            <v>1.05</v>
          </cell>
          <cell r="R76">
            <v>1.05</v>
          </cell>
          <cell r="S76">
            <v>1.05</v>
          </cell>
          <cell r="T76">
            <v>1.05</v>
          </cell>
          <cell r="U76">
            <v>0.93</v>
          </cell>
          <cell r="V76">
            <v>0.93</v>
          </cell>
          <cell r="W76">
            <v>0.93</v>
          </cell>
          <cell r="X76">
            <v>0.93</v>
          </cell>
          <cell r="Z76">
            <v>0.6</v>
          </cell>
          <cell r="AP76" t="str">
            <v>SPR</v>
          </cell>
        </row>
        <row r="77">
          <cell r="A77">
            <v>2000</v>
          </cell>
          <cell r="G77" t="str">
            <v>PVC-V90</v>
          </cell>
          <cell r="J77">
            <v>250</v>
          </cell>
          <cell r="L77">
            <v>40</v>
          </cell>
          <cell r="M77">
            <v>40</v>
          </cell>
          <cell r="N77">
            <v>8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0.89</v>
          </cell>
          <cell r="V77">
            <v>0.89</v>
          </cell>
          <cell r="W77">
            <v>0.89</v>
          </cell>
          <cell r="X77">
            <v>0.89</v>
          </cell>
          <cell r="AP77" t="str">
            <v>THN</v>
          </cell>
        </row>
        <row r="78">
          <cell r="A78">
            <v>2500</v>
          </cell>
          <cell r="G78" t="str">
            <v>XLPE</v>
          </cell>
          <cell r="J78">
            <v>300</v>
          </cell>
          <cell r="M78">
            <v>45</v>
          </cell>
          <cell r="N78">
            <v>9</v>
          </cell>
          <cell r="O78">
            <v>0.94</v>
          </cell>
          <cell r="P78">
            <v>0.94</v>
          </cell>
          <cell r="Q78">
            <v>0.94</v>
          </cell>
          <cell r="R78">
            <v>0.94</v>
          </cell>
          <cell r="S78">
            <v>0.94</v>
          </cell>
          <cell r="T78">
            <v>0.94</v>
          </cell>
          <cell r="U78" t="e">
            <v>#VALUE!</v>
          </cell>
          <cell r="V78" t="e">
            <v>#VALUE!</v>
          </cell>
          <cell r="W78" t="e">
            <v>#VALUE!</v>
          </cell>
          <cell r="X78" t="e">
            <v>#VALUE!</v>
          </cell>
          <cell r="AP78" t="str">
            <v>TNF</v>
          </cell>
        </row>
        <row r="79">
          <cell r="A79">
            <v>3000</v>
          </cell>
          <cell r="J79">
            <v>400</v>
          </cell>
          <cell r="M79">
            <v>50</v>
          </cell>
          <cell r="N79">
            <v>10</v>
          </cell>
          <cell r="O79">
            <v>0.88</v>
          </cell>
          <cell r="P79">
            <v>0.88</v>
          </cell>
          <cell r="Q79">
            <v>0.88</v>
          </cell>
          <cell r="R79">
            <v>0.88</v>
          </cell>
          <cell r="S79">
            <v>0.88</v>
          </cell>
          <cell r="T79">
            <v>0.88</v>
          </cell>
          <cell r="U79" t="e">
            <v>#VALUE!</v>
          </cell>
          <cell r="V79" t="e">
            <v>#VALUE!</v>
          </cell>
          <cell r="W79" t="e">
            <v>#VALUE!</v>
          </cell>
          <cell r="X79" t="e">
            <v>#VALUE!</v>
          </cell>
          <cell r="AP79" t="str">
            <v>TRP</v>
          </cell>
        </row>
        <row r="80">
          <cell r="A80">
            <v>4000</v>
          </cell>
          <cell r="D80" t="str">
            <v>Yes</v>
          </cell>
          <cell r="E80" t="str">
            <v>Standard</v>
          </cell>
          <cell r="F80" t="str">
            <v>Std</v>
          </cell>
          <cell r="J80">
            <v>500</v>
          </cell>
          <cell r="M80">
            <v>55</v>
          </cell>
          <cell r="N80">
            <v>11</v>
          </cell>
          <cell r="O80">
            <v>0.81</v>
          </cell>
          <cell r="P80">
            <v>0.81</v>
          </cell>
          <cell r="Q80">
            <v>0.81</v>
          </cell>
          <cell r="R80">
            <v>0.81</v>
          </cell>
          <cell r="S80">
            <v>0.81</v>
          </cell>
          <cell r="T80">
            <v>0.81</v>
          </cell>
          <cell r="U80" t="e">
            <v>#VALUE!</v>
          </cell>
          <cell r="V80" t="e">
            <v>#VALUE!</v>
          </cell>
          <cell r="W80" t="e">
            <v>#VALUE!</v>
          </cell>
          <cell r="X80" t="e">
            <v>#VALUE!</v>
          </cell>
          <cell r="Z80">
            <v>0.5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  <cell r="AP80" t="str">
            <v>VLV</v>
          </cell>
        </row>
        <row r="81">
          <cell r="A81">
            <v>5000</v>
          </cell>
          <cell r="D81" t="str">
            <v>No</v>
          </cell>
          <cell r="E81" t="str">
            <v>Flexible</v>
          </cell>
          <cell r="F81" t="str">
            <v>Flex</v>
          </cell>
          <cell r="J81">
            <v>630</v>
          </cell>
          <cell r="M81">
            <v>60</v>
          </cell>
          <cell r="N81">
            <v>12</v>
          </cell>
          <cell r="O81">
            <v>0.73</v>
          </cell>
          <cell r="P81">
            <v>0.73</v>
          </cell>
          <cell r="Q81">
            <v>0.73</v>
          </cell>
          <cell r="R81">
            <v>0.73</v>
          </cell>
          <cell r="S81">
            <v>0.73</v>
          </cell>
          <cell r="T81">
            <v>0.73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Z81">
            <v>0.6</v>
          </cell>
          <cell r="AA81">
            <v>0.99</v>
          </cell>
          <cell r="AB81">
            <v>0.98</v>
          </cell>
          <cell r="AC81">
            <v>0.97</v>
          </cell>
          <cell r="AD81">
            <v>0.98</v>
          </cell>
          <cell r="AE81">
            <v>0.99</v>
          </cell>
          <cell r="AP81" t="str">
            <v>WCH</v>
          </cell>
        </row>
        <row r="82">
          <cell r="A82">
            <v>6300</v>
          </cell>
          <cell r="J82">
            <v>800</v>
          </cell>
          <cell r="M82">
            <v>65</v>
          </cell>
          <cell r="N82">
            <v>13</v>
          </cell>
          <cell r="O82">
            <v>0.65</v>
          </cell>
          <cell r="P82">
            <v>0.65</v>
          </cell>
          <cell r="Q82">
            <v>0.65</v>
          </cell>
          <cell r="R82">
            <v>0.65</v>
          </cell>
          <cell r="S82">
            <v>0.65</v>
          </cell>
          <cell r="T82">
            <v>0.65</v>
          </cell>
          <cell r="U82" t="e">
            <v>#VALUE!</v>
          </cell>
          <cell r="V82" t="e">
            <v>#VALUE!</v>
          </cell>
          <cell r="W82" t="e">
            <v>#VALUE!</v>
          </cell>
          <cell r="X82" t="e">
            <v>#VALUE!</v>
          </cell>
          <cell r="Z82">
            <v>0.8</v>
          </cell>
          <cell r="AA82">
            <v>0.97</v>
          </cell>
          <cell r="AB82">
            <v>0.96</v>
          </cell>
          <cell r="AC82">
            <v>0.94</v>
          </cell>
          <cell r="AD82">
            <v>0.95</v>
          </cell>
          <cell r="AE82">
            <v>0.95</v>
          </cell>
          <cell r="AP82" t="str">
            <v>Spare 1</v>
          </cell>
        </row>
        <row r="83">
          <cell r="A83">
            <v>7000</v>
          </cell>
          <cell r="J83">
            <v>1000</v>
          </cell>
          <cell r="M83">
            <v>70</v>
          </cell>
          <cell r="N83">
            <v>14</v>
          </cell>
          <cell r="O83">
            <v>0.56999999999999995</v>
          </cell>
          <cell r="P83">
            <v>0.56999999999999995</v>
          </cell>
          <cell r="Q83">
            <v>0.56999999999999995</v>
          </cell>
          <cell r="R83">
            <v>0.56999999999999995</v>
          </cell>
          <cell r="S83">
            <v>0.56999999999999995</v>
          </cell>
          <cell r="T83">
            <v>0.56999999999999995</v>
          </cell>
          <cell r="U83" t="e">
            <v>#VALUE!</v>
          </cell>
          <cell r="V83" t="e">
            <v>#VALUE!</v>
          </cell>
          <cell r="W83" t="e">
            <v>#VALUE!</v>
          </cell>
          <cell r="X83" t="e">
            <v>#VALUE!</v>
          </cell>
          <cell r="Z83">
            <v>1</v>
          </cell>
          <cell r="AA83">
            <v>0.95</v>
          </cell>
          <cell r="AB83">
            <v>0.94</v>
          </cell>
          <cell r="AC83">
            <v>0.92</v>
          </cell>
          <cell r="AD83">
            <v>0.93</v>
          </cell>
          <cell r="AE83">
            <v>0.96</v>
          </cell>
          <cell r="AP83" t="str">
            <v>Spare 2</v>
          </cell>
        </row>
        <row r="84">
          <cell r="A84">
            <v>8000</v>
          </cell>
          <cell r="J84">
            <v>1250</v>
          </cell>
          <cell r="M84">
            <v>75</v>
          </cell>
          <cell r="N84">
            <v>15</v>
          </cell>
          <cell r="O84">
            <v>0.47</v>
          </cell>
          <cell r="P84">
            <v>0.47</v>
          </cell>
          <cell r="Q84">
            <v>0.47</v>
          </cell>
          <cell r="R84">
            <v>0.47</v>
          </cell>
          <cell r="S84">
            <v>0.47</v>
          </cell>
          <cell r="T84">
            <v>0.47</v>
          </cell>
          <cell r="U84" t="e">
            <v>#VALUE!</v>
          </cell>
          <cell r="V84" t="e">
            <v>#VALUE!</v>
          </cell>
          <cell r="W84" t="e">
            <v>#VALUE!</v>
          </cell>
          <cell r="X84" t="e">
            <v>#VALUE!</v>
          </cell>
          <cell r="Z84">
            <v>1.25</v>
          </cell>
          <cell r="AA84">
            <v>0.94</v>
          </cell>
          <cell r="AB84">
            <v>0.92</v>
          </cell>
          <cell r="AC84">
            <v>0.9</v>
          </cell>
          <cell r="AD84">
            <v>0.9</v>
          </cell>
          <cell r="AE84">
            <v>0.95</v>
          </cell>
        </row>
        <row r="85">
          <cell r="A85">
            <v>10000</v>
          </cell>
          <cell r="J85">
            <v>1600</v>
          </cell>
          <cell r="M85">
            <v>80</v>
          </cell>
          <cell r="N85">
            <v>16</v>
          </cell>
          <cell r="O85">
            <v>0.34</v>
          </cell>
          <cell r="P85">
            <v>0.34</v>
          </cell>
          <cell r="Q85">
            <v>0.34</v>
          </cell>
          <cell r="R85">
            <v>0.34</v>
          </cell>
          <cell r="S85">
            <v>0.34</v>
          </cell>
          <cell r="T85">
            <v>0.34</v>
          </cell>
          <cell r="U85" t="e">
            <v>#VALUE!</v>
          </cell>
          <cell r="V85" t="e">
            <v>#VALUE!</v>
          </cell>
          <cell r="W85" t="e">
            <v>#VALUE!</v>
          </cell>
          <cell r="X85" t="e">
            <v>#VALUE!</v>
          </cell>
          <cell r="Z85">
            <v>1.5</v>
          </cell>
          <cell r="AA85">
            <v>0.93</v>
          </cell>
          <cell r="AB85">
            <v>0.91</v>
          </cell>
          <cell r="AC85">
            <v>0.89</v>
          </cell>
          <cell r="AD85">
            <v>0.89</v>
          </cell>
          <cell r="AE85">
            <v>0.94</v>
          </cell>
        </row>
        <row r="86">
          <cell r="A86">
            <v>12500</v>
          </cell>
          <cell r="J86">
            <v>2000</v>
          </cell>
          <cell r="M86">
            <v>85</v>
          </cell>
          <cell r="N86">
            <v>17</v>
          </cell>
          <cell r="O86">
            <v>0.19</v>
          </cell>
          <cell r="P86">
            <v>0.19</v>
          </cell>
          <cell r="Q86">
            <v>0.19</v>
          </cell>
          <cell r="R86">
            <v>0.19</v>
          </cell>
          <cell r="S86">
            <v>0.19</v>
          </cell>
          <cell r="T86">
            <v>0.19</v>
          </cell>
          <cell r="U86" t="e">
            <v>#VALUE!</v>
          </cell>
          <cell r="V86" t="e">
            <v>#VALUE!</v>
          </cell>
          <cell r="W86" t="e">
            <v>#VALUE!</v>
          </cell>
          <cell r="X86" t="e">
            <v>#VALUE!</v>
          </cell>
          <cell r="Z86">
            <v>1.75</v>
          </cell>
          <cell r="AA86">
            <v>0.92</v>
          </cell>
          <cell r="AB86">
            <v>0.89</v>
          </cell>
          <cell r="AC86">
            <v>0.87</v>
          </cell>
          <cell r="AD86">
            <v>0.88</v>
          </cell>
          <cell r="AE86">
            <v>0.94</v>
          </cell>
        </row>
        <row r="87">
          <cell r="A87">
            <v>15000</v>
          </cell>
          <cell r="J87">
            <v>2500</v>
          </cell>
          <cell r="M87" t="str">
            <v>AS3008</v>
          </cell>
          <cell r="O87" t="str">
            <v>Table 27(1)</v>
          </cell>
          <cell r="P87" t="str">
            <v>Table 27(1)</v>
          </cell>
          <cell r="Q87" t="str">
            <v>Table 27(1)</v>
          </cell>
          <cell r="R87" t="str">
            <v>Table 27(1)</v>
          </cell>
          <cell r="S87" t="str">
            <v>Table 27(1)</v>
          </cell>
          <cell r="T87" t="str">
            <v>Table 27(1)</v>
          </cell>
          <cell r="U87" t="str">
            <v>Table 27(2)</v>
          </cell>
          <cell r="V87" t="str">
            <v>Table 27(2)</v>
          </cell>
          <cell r="W87" t="str">
            <v>Table 27(2)</v>
          </cell>
          <cell r="X87" t="str">
            <v>Table 27(2)</v>
          </cell>
          <cell r="Z87">
            <v>2</v>
          </cell>
          <cell r="AA87">
            <v>0.91</v>
          </cell>
          <cell r="AB87">
            <v>0.88</v>
          </cell>
          <cell r="AC87">
            <v>0.86</v>
          </cell>
          <cell r="AD87">
            <v>0.87</v>
          </cell>
          <cell r="AE87">
            <v>0.93</v>
          </cell>
        </row>
        <row r="88">
          <cell r="A88">
            <v>25000</v>
          </cell>
          <cell r="J88">
            <v>3000</v>
          </cell>
          <cell r="M88" t="str">
            <v>N/A</v>
          </cell>
          <cell r="Z88">
            <v>2.5</v>
          </cell>
          <cell r="AA88">
            <v>0.9</v>
          </cell>
          <cell r="AB88">
            <v>0.87</v>
          </cell>
          <cell r="AC88">
            <v>0.85</v>
          </cell>
          <cell r="AD88">
            <v>0.86</v>
          </cell>
          <cell r="AE88">
            <v>0.93</v>
          </cell>
        </row>
        <row r="89">
          <cell r="A89">
            <v>32000</v>
          </cell>
          <cell r="J89">
            <v>3200</v>
          </cell>
          <cell r="Z89">
            <v>3</v>
          </cell>
          <cell r="AA89">
            <v>0.89</v>
          </cell>
          <cell r="AB89">
            <v>0.86</v>
          </cell>
          <cell r="AC89">
            <v>0.83</v>
          </cell>
          <cell r="AD89">
            <v>0.85</v>
          </cell>
          <cell r="AE89">
            <v>0.92</v>
          </cell>
        </row>
        <row r="90">
          <cell r="A90">
            <v>50000</v>
          </cell>
          <cell r="J90">
            <v>3765</v>
          </cell>
        </row>
        <row r="91">
          <cell r="A91">
            <v>75000</v>
          </cell>
          <cell r="J91">
            <v>4000</v>
          </cell>
        </row>
        <row r="94">
          <cell r="A94" t="str">
            <v>Cable Size [mm2]</v>
          </cell>
          <cell r="B94" t="str">
            <v>Lookup Row Number</v>
          </cell>
          <cell r="C94" t="str">
            <v>Current - Air - 1c - 3300</v>
          </cell>
          <cell r="D94" t="str">
            <v>Current - Air - 1c - 6600</v>
          </cell>
          <cell r="E94" t="str">
            <v>Current - Air - 1c - 11000</v>
          </cell>
          <cell r="F94" t="str">
            <v>Current - Air - 1c - 22000</v>
          </cell>
          <cell r="G94" t="str">
            <v>Current - Air - 1c - 33000</v>
          </cell>
          <cell r="H94" t="str">
            <v>Current - Ground - 1c - 3300</v>
          </cell>
          <cell r="I94" t="str">
            <v>Current - Ground - 1c - 6600</v>
          </cell>
          <cell r="J94" t="str">
            <v>Current - Ground - 1c - 11000</v>
          </cell>
          <cell r="K94" t="str">
            <v>Current - Ground - 1c - 22000</v>
          </cell>
          <cell r="L94" t="str">
            <v>Current - Ground - 1c - 33000</v>
          </cell>
          <cell r="M94" t="str">
            <v>Current - Enclosure - 1c - 3300</v>
          </cell>
          <cell r="N94" t="str">
            <v>Current - Enclosure - 1c - 6600</v>
          </cell>
          <cell r="O94" t="str">
            <v>Current - Enclosure - 1c - 11000</v>
          </cell>
          <cell r="P94" t="str">
            <v>Current - Enclosure - 1c - 22000</v>
          </cell>
          <cell r="Q94" t="str">
            <v>Current - Enclosure - 1c - 33000</v>
          </cell>
          <cell r="R94" t="str">
            <v>Current - Air - 3c - 3300</v>
          </cell>
          <cell r="S94" t="str">
            <v>Current - Air - 3c - 6600</v>
          </cell>
          <cell r="T94" t="str">
            <v>Current - Air - 3c - 11000</v>
          </cell>
          <cell r="U94" t="str">
            <v>Current - Air - 3c - 22000</v>
          </cell>
          <cell r="V94" t="str">
            <v>Current - Air - 3c - 33000</v>
          </cell>
          <cell r="W94" t="str">
            <v>Current - Ground - 3c - 3300</v>
          </cell>
          <cell r="X94" t="str">
            <v>Current - Ground - 3c - 6600</v>
          </cell>
          <cell r="Y94" t="str">
            <v>Current - Ground - 3c - 11000</v>
          </cell>
          <cell r="Z94" t="str">
            <v>Current - Ground - 3c - 22000</v>
          </cell>
          <cell r="AA94" t="str">
            <v>Current - Ground - 3c - 33000</v>
          </cell>
          <cell r="AB94" t="str">
            <v>Current - Enclosure - 3c - 3300</v>
          </cell>
          <cell r="AC94" t="str">
            <v>Current - Enclosure - 3c - 6600</v>
          </cell>
          <cell r="AD94" t="str">
            <v>Current - Enclosure - 3c - 11000</v>
          </cell>
          <cell r="AE94" t="str">
            <v>Current - Enclosure - 3c - 22000</v>
          </cell>
          <cell r="AF94" t="str">
            <v>Current - Enclosure - 3c - 33000</v>
          </cell>
          <cell r="AG94" t="str">
            <v>R - 1c - XLPE</v>
          </cell>
          <cell r="AH94" t="str">
            <v>R - 3c - XLPE</v>
          </cell>
          <cell r="AI94" t="str">
            <v>X - 1c - XLPE</v>
          </cell>
          <cell r="AJ94" t="str">
            <v>X - 3c - XLPE</v>
          </cell>
          <cell r="AK94" t="str">
            <v>mV/Am - 1c - XLPE</v>
          </cell>
          <cell r="AL94" t="str">
            <v>mV/Am - 3c - XLPE</v>
          </cell>
        </row>
        <row r="95">
          <cell r="A95">
            <v>16</v>
          </cell>
          <cell r="B95">
            <v>2</v>
          </cell>
          <cell r="C95">
            <v>110</v>
          </cell>
          <cell r="D95">
            <v>110</v>
          </cell>
          <cell r="E95">
            <v>112</v>
          </cell>
          <cell r="F95" t="e">
            <v>#VALUE!</v>
          </cell>
          <cell r="G95" t="e">
            <v>#VALUE!</v>
          </cell>
          <cell r="H95">
            <v>113</v>
          </cell>
          <cell r="I95">
            <v>113</v>
          </cell>
          <cell r="J95">
            <v>113</v>
          </cell>
          <cell r="K95" t="e">
            <v>#VALUE!</v>
          </cell>
          <cell r="L95" t="e">
            <v>#VALUE!</v>
          </cell>
          <cell r="M95">
            <v>91</v>
          </cell>
          <cell r="N95">
            <v>91</v>
          </cell>
          <cell r="O95">
            <v>91</v>
          </cell>
          <cell r="P95" t="e">
            <v>#VALUE!</v>
          </cell>
          <cell r="Q95" t="e">
            <v>#VALUE!</v>
          </cell>
          <cell r="R95">
            <v>108</v>
          </cell>
          <cell r="S95">
            <v>108</v>
          </cell>
          <cell r="T95">
            <v>110</v>
          </cell>
          <cell r="U95" t="e">
            <v>#VALUE!</v>
          </cell>
          <cell r="V95" t="e">
            <v>#VALUE!</v>
          </cell>
          <cell r="W95">
            <v>113</v>
          </cell>
          <cell r="X95">
            <v>113</v>
          </cell>
          <cell r="Y95">
            <v>113</v>
          </cell>
          <cell r="Z95" t="e">
            <v>#VALUE!</v>
          </cell>
          <cell r="AA95" t="e">
            <v>#VALUE!</v>
          </cell>
          <cell r="AB95">
            <v>86</v>
          </cell>
          <cell r="AC95">
            <v>86</v>
          </cell>
          <cell r="AD95">
            <v>89</v>
          </cell>
          <cell r="AE95" t="e">
            <v>#VALUE!</v>
          </cell>
          <cell r="AF95" t="e">
            <v>#VALUE!</v>
          </cell>
          <cell r="AG95">
            <v>1.47</v>
          </cell>
          <cell r="AH95">
            <v>1.48</v>
          </cell>
          <cell r="AI95">
            <v>0.156</v>
          </cell>
          <cell r="AJ95">
            <v>0.122</v>
          </cell>
          <cell r="AK95">
            <v>2.5499999999999998</v>
          </cell>
          <cell r="AL95">
            <v>2.5499999999999998</v>
          </cell>
        </row>
        <row r="96">
          <cell r="A96">
            <v>25</v>
          </cell>
          <cell r="B96">
            <v>3</v>
          </cell>
          <cell r="C96">
            <v>143</v>
          </cell>
          <cell r="D96">
            <v>143</v>
          </cell>
          <cell r="E96">
            <v>145</v>
          </cell>
          <cell r="F96" t="e">
            <v>#VALUE!</v>
          </cell>
          <cell r="G96" t="e">
            <v>#VALUE!</v>
          </cell>
          <cell r="H96">
            <v>145</v>
          </cell>
          <cell r="I96">
            <v>145</v>
          </cell>
          <cell r="J96">
            <v>145</v>
          </cell>
          <cell r="K96" t="e">
            <v>#VALUE!</v>
          </cell>
          <cell r="L96" t="e">
            <v>#VALUE!</v>
          </cell>
          <cell r="M96">
            <v>116</v>
          </cell>
          <cell r="N96">
            <v>116</v>
          </cell>
          <cell r="O96">
            <v>117</v>
          </cell>
          <cell r="P96" t="e">
            <v>#VALUE!</v>
          </cell>
          <cell r="Q96" t="e">
            <v>#VALUE!</v>
          </cell>
          <cell r="R96">
            <v>141</v>
          </cell>
          <cell r="S96">
            <v>141</v>
          </cell>
          <cell r="T96">
            <v>143</v>
          </cell>
          <cell r="U96" t="e">
            <v>#VALUE!</v>
          </cell>
          <cell r="V96" t="e">
            <v>#VALUE!</v>
          </cell>
          <cell r="W96">
            <v>145</v>
          </cell>
          <cell r="X96">
            <v>145</v>
          </cell>
          <cell r="Y96">
            <v>145</v>
          </cell>
          <cell r="Z96" t="e">
            <v>#VALUE!</v>
          </cell>
          <cell r="AA96" t="e">
            <v>#VALUE!</v>
          </cell>
          <cell r="AB96">
            <v>111</v>
          </cell>
          <cell r="AC96">
            <v>111</v>
          </cell>
          <cell r="AD96">
            <v>114</v>
          </cell>
          <cell r="AE96" t="e">
            <v>#VALUE!</v>
          </cell>
          <cell r="AF96" t="e">
            <v>#VALUE!</v>
          </cell>
          <cell r="AG96">
            <v>0.92700000000000005</v>
          </cell>
          <cell r="AH96">
            <v>0.93200000000000005</v>
          </cell>
          <cell r="AI96">
            <v>0.14699999999999999</v>
          </cell>
          <cell r="AJ96">
            <v>0.115</v>
          </cell>
          <cell r="AK96">
            <v>1.62</v>
          </cell>
          <cell r="AL96">
            <v>1.61</v>
          </cell>
        </row>
        <row r="97">
          <cell r="A97">
            <v>35</v>
          </cell>
          <cell r="B97">
            <v>4</v>
          </cell>
          <cell r="C97">
            <v>176</v>
          </cell>
          <cell r="D97">
            <v>176</v>
          </cell>
          <cell r="E97">
            <v>178</v>
          </cell>
          <cell r="F97">
            <v>182</v>
          </cell>
          <cell r="G97" t="e">
            <v>#VALUE!</v>
          </cell>
          <cell r="H97">
            <v>174</v>
          </cell>
          <cell r="I97">
            <v>174</v>
          </cell>
          <cell r="J97">
            <v>174</v>
          </cell>
          <cell r="K97">
            <v>174</v>
          </cell>
          <cell r="L97" t="e">
            <v>#VALUE!</v>
          </cell>
          <cell r="M97">
            <v>139</v>
          </cell>
          <cell r="N97">
            <v>139</v>
          </cell>
          <cell r="O97">
            <v>140</v>
          </cell>
          <cell r="P97">
            <v>144</v>
          </cell>
          <cell r="Q97" t="e">
            <v>#VALUE!</v>
          </cell>
          <cell r="R97">
            <v>171</v>
          </cell>
          <cell r="S97">
            <v>171</v>
          </cell>
          <cell r="T97">
            <v>173</v>
          </cell>
          <cell r="U97">
            <v>178</v>
          </cell>
          <cell r="V97" t="e">
            <v>#VALUE!</v>
          </cell>
          <cell r="W97">
            <v>173</v>
          </cell>
          <cell r="X97">
            <v>173</v>
          </cell>
          <cell r="Y97">
            <v>173</v>
          </cell>
          <cell r="Z97">
            <v>173</v>
          </cell>
          <cell r="AA97" t="e">
            <v>#VALUE!</v>
          </cell>
          <cell r="AB97">
            <v>134</v>
          </cell>
          <cell r="AC97">
            <v>134</v>
          </cell>
          <cell r="AD97">
            <v>136</v>
          </cell>
          <cell r="AE97">
            <v>140</v>
          </cell>
          <cell r="AF97" t="e">
            <v>#VALUE!</v>
          </cell>
          <cell r="AG97">
            <v>0.66800000000000004</v>
          </cell>
          <cell r="AH97">
            <v>6.7199999999999996E-2</v>
          </cell>
          <cell r="AI97">
            <v>0.14099999999999999</v>
          </cell>
          <cell r="AJ97">
            <v>0.109</v>
          </cell>
          <cell r="AK97">
            <v>1.18</v>
          </cell>
          <cell r="AL97">
            <v>1.17</v>
          </cell>
        </row>
        <row r="98">
          <cell r="A98">
            <v>50</v>
          </cell>
          <cell r="B98">
            <v>5</v>
          </cell>
          <cell r="C98">
            <v>210</v>
          </cell>
          <cell r="D98">
            <v>210</v>
          </cell>
          <cell r="E98">
            <v>213</v>
          </cell>
          <cell r="F98">
            <v>217</v>
          </cell>
          <cell r="G98">
            <v>221</v>
          </cell>
          <cell r="H98">
            <v>204</v>
          </cell>
          <cell r="I98">
            <v>204</v>
          </cell>
          <cell r="J98">
            <v>204</v>
          </cell>
          <cell r="K98">
            <v>205</v>
          </cell>
          <cell r="L98">
            <v>205</v>
          </cell>
          <cell r="M98">
            <v>164</v>
          </cell>
          <cell r="N98">
            <v>164</v>
          </cell>
          <cell r="O98">
            <v>167</v>
          </cell>
          <cell r="P98">
            <v>172</v>
          </cell>
          <cell r="Q98">
            <v>174</v>
          </cell>
          <cell r="R98">
            <v>205</v>
          </cell>
          <cell r="S98">
            <v>205</v>
          </cell>
          <cell r="T98">
            <v>208</v>
          </cell>
          <cell r="U98">
            <v>213</v>
          </cell>
          <cell r="V98">
            <v>217</v>
          </cell>
          <cell r="W98">
            <v>204</v>
          </cell>
          <cell r="X98">
            <v>204</v>
          </cell>
          <cell r="Y98">
            <v>204</v>
          </cell>
          <cell r="Z98">
            <v>204</v>
          </cell>
          <cell r="AA98">
            <v>205</v>
          </cell>
          <cell r="AB98">
            <v>159</v>
          </cell>
          <cell r="AC98">
            <v>159</v>
          </cell>
          <cell r="AD98">
            <v>162</v>
          </cell>
          <cell r="AE98">
            <v>168</v>
          </cell>
          <cell r="AF98">
            <v>170</v>
          </cell>
          <cell r="AG98">
            <v>0.49399999999999999</v>
          </cell>
          <cell r="AH98">
            <v>0.496</v>
          </cell>
          <cell r="AI98">
            <v>0.13400000000000001</v>
          </cell>
          <cell r="AJ98">
            <v>0.104</v>
          </cell>
          <cell r="AK98">
            <v>0.878</v>
          </cell>
          <cell r="AL98">
            <v>0.86799999999999999</v>
          </cell>
        </row>
        <row r="99">
          <cell r="A99">
            <v>70</v>
          </cell>
          <cell r="B99">
            <v>6</v>
          </cell>
          <cell r="C99">
            <v>264</v>
          </cell>
          <cell r="D99">
            <v>264</v>
          </cell>
          <cell r="E99">
            <v>266</v>
          </cell>
          <cell r="F99">
            <v>269</v>
          </cell>
          <cell r="G99">
            <v>273</v>
          </cell>
          <cell r="H99">
            <v>249</v>
          </cell>
          <cell r="I99">
            <v>249</v>
          </cell>
          <cell r="J99">
            <v>249</v>
          </cell>
          <cell r="K99">
            <v>249</v>
          </cell>
          <cell r="L99">
            <v>249</v>
          </cell>
          <cell r="M99">
            <v>202</v>
          </cell>
          <cell r="N99">
            <v>202</v>
          </cell>
          <cell r="O99">
            <v>204</v>
          </cell>
          <cell r="P99">
            <v>209</v>
          </cell>
          <cell r="Q99">
            <v>216</v>
          </cell>
          <cell r="R99">
            <v>256</v>
          </cell>
          <cell r="S99">
            <v>256</v>
          </cell>
          <cell r="T99">
            <v>259</v>
          </cell>
          <cell r="U99">
            <v>265</v>
          </cell>
          <cell r="V99">
            <v>269</v>
          </cell>
          <cell r="W99">
            <v>249</v>
          </cell>
          <cell r="X99">
            <v>249</v>
          </cell>
          <cell r="Y99">
            <v>249</v>
          </cell>
          <cell r="Z99">
            <v>250</v>
          </cell>
          <cell r="AA99">
            <v>250</v>
          </cell>
          <cell r="AB99">
            <v>195</v>
          </cell>
          <cell r="AC99">
            <v>195</v>
          </cell>
          <cell r="AD99">
            <v>199</v>
          </cell>
          <cell r="AE99">
            <v>205</v>
          </cell>
          <cell r="AF99">
            <v>213</v>
          </cell>
          <cell r="AG99">
            <v>0.34200000000000003</v>
          </cell>
          <cell r="AH99">
            <v>0.34399999999999997</v>
          </cell>
          <cell r="AI99">
            <v>0.129</v>
          </cell>
          <cell r="AJ99">
            <v>9.8699999999999996E-2</v>
          </cell>
          <cell r="AK99">
            <v>0.623</v>
          </cell>
          <cell r="AL99">
            <v>0.60899999999999999</v>
          </cell>
        </row>
        <row r="100">
          <cell r="A100">
            <v>95</v>
          </cell>
          <cell r="B100">
            <v>7</v>
          </cell>
          <cell r="C100">
            <v>321</v>
          </cell>
          <cell r="D100">
            <v>321</v>
          </cell>
          <cell r="E100">
            <v>321</v>
          </cell>
          <cell r="F100">
            <v>327</v>
          </cell>
          <cell r="G100">
            <v>332</v>
          </cell>
          <cell r="H100">
            <v>296</v>
          </cell>
          <cell r="I100">
            <v>296</v>
          </cell>
          <cell r="J100">
            <v>296</v>
          </cell>
          <cell r="K100">
            <v>297</v>
          </cell>
          <cell r="L100">
            <v>297</v>
          </cell>
          <cell r="M100">
            <v>241</v>
          </cell>
          <cell r="N100">
            <v>241</v>
          </cell>
          <cell r="O100">
            <v>242</v>
          </cell>
          <cell r="P100">
            <v>249</v>
          </cell>
          <cell r="Q100">
            <v>258</v>
          </cell>
          <cell r="R100">
            <v>313</v>
          </cell>
          <cell r="S100">
            <v>313</v>
          </cell>
          <cell r="T100">
            <v>317</v>
          </cell>
          <cell r="U100">
            <v>323</v>
          </cell>
          <cell r="V100">
            <v>328</v>
          </cell>
          <cell r="W100">
            <v>298</v>
          </cell>
          <cell r="X100">
            <v>298</v>
          </cell>
          <cell r="Y100">
            <v>299</v>
          </cell>
          <cell r="Z100">
            <v>299</v>
          </cell>
          <cell r="AA100">
            <v>299</v>
          </cell>
          <cell r="AB100">
            <v>237</v>
          </cell>
          <cell r="AC100">
            <v>237</v>
          </cell>
          <cell r="AD100">
            <v>242</v>
          </cell>
          <cell r="AE100">
            <v>246</v>
          </cell>
          <cell r="AF100">
            <v>255</v>
          </cell>
          <cell r="AG100">
            <v>0.247</v>
          </cell>
          <cell r="AH100">
            <v>0.248</v>
          </cell>
          <cell r="AI100">
            <v>0.12</v>
          </cell>
          <cell r="AJ100">
            <v>9.2200000000000004E-2</v>
          </cell>
          <cell r="AK100">
            <v>0.46700000000000003</v>
          </cell>
          <cell r="AL100">
            <v>0.45</v>
          </cell>
        </row>
        <row r="101">
          <cell r="A101">
            <v>120</v>
          </cell>
          <cell r="B101">
            <v>8</v>
          </cell>
          <cell r="C101">
            <v>367</v>
          </cell>
          <cell r="D101">
            <v>367</v>
          </cell>
          <cell r="E101">
            <v>370</v>
          </cell>
          <cell r="F101">
            <v>377</v>
          </cell>
          <cell r="G101">
            <v>381</v>
          </cell>
          <cell r="H101">
            <v>335</v>
          </cell>
          <cell r="I101">
            <v>335</v>
          </cell>
          <cell r="J101">
            <v>336</v>
          </cell>
          <cell r="K101">
            <v>336</v>
          </cell>
          <cell r="L101">
            <v>336</v>
          </cell>
          <cell r="M101">
            <v>273</v>
          </cell>
          <cell r="N101">
            <v>273</v>
          </cell>
          <cell r="O101">
            <v>279</v>
          </cell>
          <cell r="P101">
            <v>282</v>
          </cell>
          <cell r="Q101">
            <v>292</v>
          </cell>
          <cell r="R101">
            <v>363</v>
          </cell>
          <cell r="S101">
            <v>363</v>
          </cell>
          <cell r="T101">
            <v>367</v>
          </cell>
          <cell r="U101">
            <v>373</v>
          </cell>
          <cell r="V101">
            <v>377</v>
          </cell>
          <cell r="W101">
            <v>339</v>
          </cell>
          <cell r="X101">
            <v>339</v>
          </cell>
          <cell r="Y101">
            <v>340</v>
          </cell>
          <cell r="Z101">
            <v>340</v>
          </cell>
          <cell r="AA101">
            <v>341</v>
          </cell>
          <cell r="AB101">
            <v>270</v>
          </cell>
          <cell r="AC101">
            <v>270</v>
          </cell>
          <cell r="AD101">
            <v>276</v>
          </cell>
          <cell r="AE101">
            <v>280</v>
          </cell>
          <cell r="AF101">
            <v>290</v>
          </cell>
          <cell r="AG101">
            <v>0.19600000000000001</v>
          </cell>
          <cell r="AH101">
            <v>0.19700000000000001</v>
          </cell>
          <cell r="AI101">
            <v>0.113</v>
          </cell>
          <cell r="AJ101">
            <v>8.9300000000000004E-2</v>
          </cell>
          <cell r="AK101">
            <v>0.38500000000000001</v>
          </cell>
          <cell r="AL101">
            <v>0.36599999999999999</v>
          </cell>
        </row>
        <row r="102">
          <cell r="A102">
            <v>150</v>
          </cell>
          <cell r="B102">
            <v>9</v>
          </cell>
          <cell r="C102">
            <v>415</v>
          </cell>
          <cell r="D102">
            <v>415</v>
          </cell>
          <cell r="E102">
            <v>419</v>
          </cell>
          <cell r="F102">
            <v>425</v>
          </cell>
          <cell r="G102">
            <v>430</v>
          </cell>
          <cell r="H102">
            <v>373</v>
          </cell>
          <cell r="I102">
            <v>373</v>
          </cell>
          <cell r="J102">
            <v>374</v>
          </cell>
          <cell r="K102">
            <v>374</v>
          </cell>
          <cell r="L102">
            <v>375</v>
          </cell>
          <cell r="M102">
            <v>309</v>
          </cell>
          <cell r="N102">
            <v>309</v>
          </cell>
          <cell r="O102">
            <v>311</v>
          </cell>
          <cell r="P102">
            <v>314</v>
          </cell>
          <cell r="Q102">
            <v>325</v>
          </cell>
          <cell r="R102">
            <v>411</v>
          </cell>
          <cell r="S102">
            <v>411</v>
          </cell>
          <cell r="T102">
            <v>415</v>
          </cell>
          <cell r="U102">
            <v>422</v>
          </cell>
          <cell r="V102">
            <v>427</v>
          </cell>
          <cell r="W102">
            <v>379</v>
          </cell>
          <cell r="X102">
            <v>379</v>
          </cell>
          <cell r="Y102">
            <v>380</v>
          </cell>
          <cell r="Z102">
            <v>381</v>
          </cell>
          <cell r="AA102">
            <v>381</v>
          </cell>
          <cell r="AB102">
            <v>307</v>
          </cell>
          <cell r="AC102">
            <v>307</v>
          </cell>
          <cell r="AD102">
            <v>310</v>
          </cell>
          <cell r="AE102">
            <v>321</v>
          </cell>
          <cell r="AF102">
            <v>324</v>
          </cell>
          <cell r="AG102">
            <v>0.16</v>
          </cell>
          <cell r="AH102">
            <v>0.161</v>
          </cell>
          <cell r="AI102">
            <v>0.11</v>
          </cell>
          <cell r="AJ102">
            <v>8.72E-2</v>
          </cell>
          <cell r="AK102">
            <v>0.33</v>
          </cell>
          <cell r="AL102">
            <v>0.307</v>
          </cell>
        </row>
        <row r="103">
          <cell r="A103">
            <v>185</v>
          </cell>
          <cell r="B103">
            <v>10</v>
          </cell>
          <cell r="C103">
            <v>474</v>
          </cell>
          <cell r="D103">
            <v>474</v>
          </cell>
          <cell r="E103">
            <v>478</v>
          </cell>
          <cell r="F103">
            <v>485</v>
          </cell>
          <cell r="G103">
            <v>490</v>
          </cell>
          <cell r="H103">
            <v>419</v>
          </cell>
          <cell r="I103">
            <v>419</v>
          </cell>
          <cell r="J103">
            <v>420</v>
          </cell>
          <cell r="K103">
            <v>421</v>
          </cell>
          <cell r="L103">
            <v>421</v>
          </cell>
          <cell r="M103">
            <v>348</v>
          </cell>
          <cell r="N103">
            <v>348</v>
          </cell>
          <cell r="O103">
            <v>350</v>
          </cell>
          <cell r="P103">
            <v>362</v>
          </cell>
          <cell r="Q103">
            <v>366</v>
          </cell>
          <cell r="R103">
            <v>472</v>
          </cell>
          <cell r="S103">
            <v>472</v>
          </cell>
          <cell r="T103">
            <v>476</v>
          </cell>
          <cell r="U103">
            <v>483</v>
          </cell>
          <cell r="V103">
            <v>488</v>
          </cell>
          <cell r="W103">
            <v>429</v>
          </cell>
          <cell r="X103">
            <v>429</v>
          </cell>
          <cell r="Y103">
            <v>429</v>
          </cell>
          <cell r="Z103">
            <v>430</v>
          </cell>
          <cell r="AA103">
            <v>431</v>
          </cell>
          <cell r="AB103">
            <v>348</v>
          </cell>
          <cell r="AC103">
            <v>348</v>
          </cell>
          <cell r="AD103">
            <v>350</v>
          </cell>
          <cell r="AE103">
            <v>363</v>
          </cell>
          <cell r="AF103">
            <v>366</v>
          </cell>
          <cell r="AG103">
            <v>0.128</v>
          </cell>
          <cell r="AH103">
            <v>0.129</v>
          </cell>
          <cell r="AI103">
            <v>0.106</v>
          </cell>
          <cell r="AJ103">
            <v>8.5099999999999995E-2</v>
          </cell>
          <cell r="AK103">
            <v>0.28499999999999998</v>
          </cell>
          <cell r="AL103">
            <v>0.25900000000000001</v>
          </cell>
        </row>
        <row r="104">
          <cell r="A104">
            <v>240</v>
          </cell>
          <cell r="B104">
            <v>11</v>
          </cell>
          <cell r="C104">
            <v>558</v>
          </cell>
          <cell r="D104">
            <v>558</v>
          </cell>
          <cell r="E104">
            <v>561</v>
          </cell>
          <cell r="F104">
            <v>568</v>
          </cell>
          <cell r="G104">
            <v>574</v>
          </cell>
          <cell r="H104">
            <v>481</v>
          </cell>
          <cell r="I104">
            <v>481</v>
          </cell>
          <cell r="J104">
            <v>482</v>
          </cell>
          <cell r="K104">
            <v>483</v>
          </cell>
          <cell r="L104">
            <v>485</v>
          </cell>
          <cell r="M104">
            <v>400</v>
          </cell>
          <cell r="N104">
            <v>400</v>
          </cell>
          <cell r="O104">
            <v>402</v>
          </cell>
          <cell r="P104">
            <v>417</v>
          </cell>
          <cell r="Q104">
            <v>420</v>
          </cell>
          <cell r="R104">
            <v>559</v>
          </cell>
          <cell r="S104">
            <v>559</v>
          </cell>
          <cell r="T104">
            <v>563</v>
          </cell>
          <cell r="U104">
            <v>570</v>
          </cell>
          <cell r="V104">
            <v>575</v>
          </cell>
          <cell r="W104">
            <v>496</v>
          </cell>
          <cell r="X104">
            <v>496</v>
          </cell>
          <cell r="Y104">
            <v>497</v>
          </cell>
          <cell r="Z104">
            <v>498</v>
          </cell>
          <cell r="AA104">
            <v>499</v>
          </cell>
          <cell r="AB104">
            <v>404</v>
          </cell>
          <cell r="AC104">
            <v>404</v>
          </cell>
          <cell r="AD104">
            <v>416</v>
          </cell>
          <cell r="AE104">
            <v>421</v>
          </cell>
          <cell r="AF104">
            <v>424</v>
          </cell>
          <cell r="AG104">
            <v>9.8199999999999996E-2</v>
          </cell>
          <cell r="AH104">
            <v>9.9199999999999997E-2</v>
          </cell>
          <cell r="AI104">
            <v>0.10299999999999999</v>
          </cell>
          <cell r="AJ104">
            <v>8.3299999999999999E-2</v>
          </cell>
          <cell r="AK104">
            <v>0.245</v>
          </cell>
          <cell r="AL104">
            <v>0.216</v>
          </cell>
        </row>
        <row r="105">
          <cell r="A105">
            <v>300</v>
          </cell>
          <cell r="B105">
            <v>12</v>
          </cell>
          <cell r="C105">
            <v>636</v>
          </cell>
          <cell r="D105">
            <v>636</v>
          </cell>
          <cell r="E105">
            <v>639</v>
          </cell>
          <cell r="F105">
            <v>647</v>
          </cell>
          <cell r="G105">
            <v>653</v>
          </cell>
          <cell r="H105">
            <v>537</v>
          </cell>
          <cell r="I105">
            <v>537</v>
          </cell>
          <cell r="J105">
            <v>538</v>
          </cell>
          <cell r="K105">
            <v>541</v>
          </cell>
          <cell r="L105">
            <v>542</v>
          </cell>
          <cell r="M105">
            <v>460</v>
          </cell>
          <cell r="N105">
            <v>460</v>
          </cell>
          <cell r="O105">
            <v>462</v>
          </cell>
          <cell r="P105">
            <v>466</v>
          </cell>
          <cell r="Q105">
            <v>469</v>
          </cell>
          <cell r="R105">
            <v>642</v>
          </cell>
          <cell r="S105">
            <v>642</v>
          </cell>
          <cell r="T105">
            <v>645</v>
          </cell>
          <cell r="U105">
            <v>652</v>
          </cell>
          <cell r="V105">
            <v>558</v>
          </cell>
          <cell r="W105">
            <v>559</v>
          </cell>
          <cell r="X105">
            <v>559</v>
          </cell>
          <cell r="Y105">
            <v>560</v>
          </cell>
          <cell r="Z105">
            <v>562</v>
          </cell>
          <cell r="AA105">
            <v>563</v>
          </cell>
          <cell r="AB105">
            <v>468</v>
          </cell>
          <cell r="AC105">
            <v>468</v>
          </cell>
          <cell r="AD105">
            <v>470</v>
          </cell>
          <cell r="AE105">
            <v>474</v>
          </cell>
          <cell r="AF105">
            <v>478</v>
          </cell>
          <cell r="AG105">
            <v>7.9200000000000007E-2</v>
          </cell>
          <cell r="AH105">
            <v>8.0199999999999994E-2</v>
          </cell>
          <cell r="AI105">
            <v>0.10100000000000001</v>
          </cell>
          <cell r="AJ105">
            <v>8.2900000000000001E-2</v>
          </cell>
          <cell r="AK105">
            <v>0.222</v>
          </cell>
          <cell r="AL105">
            <v>0.19</v>
          </cell>
        </row>
        <row r="106">
          <cell r="A106">
            <v>400</v>
          </cell>
          <cell r="B106">
            <v>13</v>
          </cell>
          <cell r="C106">
            <v>732</v>
          </cell>
          <cell r="D106">
            <v>732</v>
          </cell>
          <cell r="E106">
            <v>735</v>
          </cell>
          <cell r="F106">
            <v>743</v>
          </cell>
          <cell r="G106">
            <v>750</v>
          </cell>
          <cell r="H106">
            <v>604</v>
          </cell>
          <cell r="I106">
            <v>604</v>
          </cell>
          <cell r="J106">
            <v>605</v>
          </cell>
          <cell r="K106">
            <v>607</v>
          </cell>
          <cell r="L106">
            <v>610</v>
          </cell>
          <cell r="M106">
            <v>518</v>
          </cell>
          <cell r="N106">
            <v>518</v>
          </cell>
          <cell r="O106">
            <v>519</v>
          </cell>
          <cell r="P106">
            <v>523</v>
          </cell>
          <cell r="Q106">
            <v>547</v>
          </cell>
          <cell r="R106">
            <v>744</v>
          </cell>
          <cell r="S106">
            <v>744</v>
          </cell>
          <cell r="T106">
            <v>746</v>
          </cell>
          <cell r="U106">
            <v>754</v>
          </cell>
          <cell r="V106">
            <v>759</v>
          </cell>
          <cell r="W106">
            <v>634</v>
          </cell>
          <cell r="X106">
            <v>634</v>
          </cell>
          <cell r="Y106">
            <v>635</v>
          </cell>
          <cell r="Z106">
            <v>638</v>
          </cell>
          <cell r="AA106">
            <v>640</v>
          </cell>
          <cell r="AB106">
            <v>532</v>
          </cell>
          <cell r="AC106">
            <v>532</v>
          </cell>
          <cell r="AD106">
            <v>534</v>
          </cell>
          <cell r="AE106">
            <v>539</v>
          </cell>
          <cell r="AF106">
            <v>562</v>
          </cell>
          <cell r="AG106">
            <v>6.3200000000000006E-2</v>
          </cell>
          <cell r="AH106">
            <v>6.4199999999999993E-2</v>
          </cell>
          <cell r="AI106">
            <v>9.8699999999999996E-2</v>
          </cell>
          <cell r="AJ106">
            <v>8.1699999999999995E-2</v>
          </cell>
          <cell r="AK106">
            <v>0.20499999999999999</v>
          </cell>
          <cell r="AL106">
            <v>0.17100000000000001</v>
          </cell>
        </row>
        <row r="107">
          <cell r="A107">
            <v>500</v>
          </cell>
          <cell r="B107">
            <v>14</v>
          </cell>
          <cell r="C107" t="e">
            <v>#VALUE!</v>
          </cell>
          <cell r="D107" t="e">
            <v>#VALUE!</v>
          </cell>
          <cell r="E107">
            <v>837</v>
          </cell>
          <cell r="F107">
            <v>847</v>
          </cell>
          <cell r="G107">
            <v>854</v>
          </cell>
          <cell r="H107" t="e">
            <v>#VALUE!</v>
          </cell>
          <cell r="I107" t="e">
            <v>#VALUE!</v>
          </cell>
          <cell r="J107">
            <v>674</v>
          </cell>
          <cell r="K107">
            <v>679</v>
          </cell>
          <cell r="L107">
            <v>682</v>
          </cell>
          <cell r="M107" t="e">
            <v>#VALUE!</v>
          </cell>
          <cell r="N107" t="e">
            <v>#VALUE!</v>
          </cell>
          <cell r="O107">
            <v>580</v>
          </cell>
          <cell r="P107">
            <v>585</v>
          </cell>
          <cell r="Q107">
            <v>611</v>
          </cell>
          <cell r="R107" t="e">
            <v>#VALUE!</v>
          </cell>
          <cell r="S107" t="e">
            <v>#VALUE!</v>
          </cell>
          <cell r="T107">
            <v>850</v>
          </cell>
          <cell r="U107">
            <v>859</v>
          </cell>
          <cell r="V107">
            <v>864</v>
          </cell>
          <cell r="W107" t="e">
            <v>#VALUE!</v>
          </cell>
          <cell r="X107" t="e">
            <v>#VALUE!</v>
          </cell>
          <cell r="Y107">
            <v>710</v>
          </cell>
          <cell r="Z107">
            <v>714</v>
          </cell>
          <cell r="AA107">
            <v>718</v>
          </cell>
          <cell r="AB107" t="e">
            <v>#VALUE!</v>
          </cell>
          <cell r="AC107" t="e">
            <v>#VALUE!</v>
          </cell>
          <cell r="AD107">
            <v>597</v>
          </cell>
          <cell r="AE107">
            <v>624</v>
          </cell>
          <cell r="AF107">
            <v>630</v>
          </cell>
          <cell r="AG107">
            <v>5.0799999999999998E-2</v>
          </cell>
          <cell r="AH107">
            <v>5.2699999999999997E-2</v>
          </cell>
          <cell r="AI107">
            <v>9.6799999999999997E-2</v>
          </cell>
          <cell r="AJ107">
            <v>8.0699999999999994E-2</v>
          </cell>
          <cell r="AK107">
            <v>0.193</v>
          </cell>
          <cell r="AL107">
            <v>0.158</v>
          </cell>
        </row>
        <row r="108">
          <cell r="A108">
            <v>630</v>
          </cell>
          <cell r="B108">
            <v>15</v>
          </cell>
          <cell r="C108" t="e">
            <v>#VALUE!</v>
          </cell>
          <cell r="D108" t="e">
            <v>#VALUE!</v>
          </cell>
          <cell r="E108">
            <v>948</v>
          </cell>
          <cell r="F108">
            <v>959</v>
          </cell>
          <cell r="G108">
            <v>969</v>
          </cell>
          <cell r="H108" t="e">
            <v>#VALUE!</v>
          </cell>
          <cell r="I108" t="e">
            <v>#VALUE!</v>
          </cell>
          <cell r="J108">
            <v>746</v>
          </cell>
          <cell r="K108">
            <v>752</v>
          </cell>
          <cell r="L108">
            <v>759</v>
          </cell>
          <cell r="M108" t="e">
            <v>#VALUE!</v>
          </cell>
          <cell r="N108" t="e">
            <v>#VALUE!</v>
          </cell>
          <cell r="O108">
            <v>642</v>
          </cell>
          <cell r="P108">
            <v>673</v>
          </cell>
          <cell r="Q108">
            <v>680</v>
          </cell>
          <cell r="R108" t="e">
            <v>#VALUE!</v>
          </cell>
          <cell r="S108" t="e">
            <v>#VALUE!</v>
          </cell>
          <cell r="T108" t="e">
            <v>#VALUE!</v>
          </cell>
          <cell r="U108" t="e">
            <v>#VALUE!</v>
          </cell>
          <cell r="V108" t="e">
            <v>#VALUE!</v>
          </cell>
          <cell r="W108" t="e">
            <v>#VALUE!</v>
          </cell>
          <cell r="X108" t="e">
            <v>#VALUE!</v>
          </cell>
          <cell r="Y108" t="e">
            <v>#VALUE!</v>
          </cell>
          <cell r="Z108" t="e">
            <v>#VALUE!</v>
          </cell>
          <cell r="AA108" t="e">
            <v>#VALUE!</v>
          </cell>
          <cell r="AB108" t="e">
            <v>#VALUE!</v>
          </cell>
          <cell r="AC108" t="e">
            <v>#VALUE!</v>
          </cell>
          <cell r="AD108" t="e">
            <v>#VALUE!</v>
          </cell>
          <cell r="AE108" t="e">
            <v>#VALUE!</v>
          </cell>
          <cell r="AF108" t="e">
            <v>#VALUE!</v>
          </cell>
          <cell r="AG108">
            <v>4.1300000000000003E-2</v>
          </cell>
          <cell r="AH108" t="e">
            <v>#VALUE!</v>
          </cell>
          <cell r="AI108">
            <v>9.4299999999999995E-2</v>
          </cell>
          <cell r="AJ108" t="e">
            <v>#VALUE!</v>
          </cell>
          <cell r="AK108">
            <v>0.182</v>
          </cell>
          <cell r="AL108" t="e">
            <v>#VALUE!</v>
          </cell>
        </row>
        <row r="109">
          <cell r="A109">
            <v>800</v>
          </cell>
          <cell r="B109">
            <v>16</v>
          </cell>
          <cell r="C109" t="e">
            <v>#VALUE!</v>
          </cell>
          <cell r="D109" t="e">
            <v>#VALUE!</v>
          </cell>
          <cell r="E109">
            <v>1082</v>
          </cell>
          <cell r="F109">
            <v>1093</v>
          </cell>
          <cell r="G109">
            <v>1103</v>
          </cell>
          <cell r="H109" t="e">
            <v>#VALUE!</v>
          </cell>
          <cell r="I109" t="e">
            <v>#VALUE!</v>
          </cell>
          <cell r="J109">
            <v>822</v>
          </cell>
          <cell r="K109">
            <v>829</v>
          </cell>
          <cell r="L109">
            <v>838</v>
          </cell>
          <cell r="M109" t="e">
            <v>#VALUE!</v>
          </cell>
          <cell r="N109" t="e">
            <v>#VALUE!</v>
          </cell>
          <cell r="O109">
            <v>734</v>
          </cell>
          <cell r="P109">
            <v>741</v>
          </cell>
          <cell r="Q109">
            <v>748</v>
          </cell>
          <cell r="R109" t="e">
            <v>#VALUE!</v>
          </cell>
          <cell r="S109" t="e">
            <v>#VALUE!</v>
          </cell>
          <cell r="T109" t="e">
            <v>#VALUE!</v>
          </cell>
          <cell r="U109" t="e">
            <v>#VALUE!</v>
          </cell>
          <cell r="V109" t="e">
            <v>#VALUE!</v>
          </cell>
          <cell r="W109" t="e">
            <v>#VALUE!</v>
          </cell>
          <cell r="X109" t="e">
            <v>#VALUE!</v>
          </cell>
          <cell r="Y109" t="e">
            <v>#VALUE!</v>
          </cell>
          <cell r="Z109" t="e">
            <v>#VALUE!</v>
          </cell>
          <cell r="AA109" t="e">
            <v>#VALUE!</v>
          </cell>
          <cell r="AB109" t="e">
            <v>#VALUE!</v>
          </cell>
          <cell r="AC109" t="e">
            <v>#VALUE!</v>
          </cell>
          <cell r="AD109" t="e">
            <v>#VALUE!</v>
          </cell>
          <cell r="AE109" t="e">
            <v>#VALUE!</v>
          </cell>
          <cell r="AF109" t="e">
            <v>#VALUE!</v>
          </cell>
          <cell r="AG109">
            <v>3.49E-2</v>
          </cell>
          <cell r="AH109" t="e">
            <v>#VALUE!</v>
          </cell>
          <cell r="AI109">
            <v>8.9599999999999999E-2</v>
          </cell>
          <cell r="AJ109" t="e">
            <v>#VALUE!</v>
          </cell>
          <cell r="AK109" t="e">
            <v>#VALUE!</v>
          </cell>
          <cell r="AL109" t="e">
            <v>#VALUE!</v>
          </cell>
        </row>
        <row r="110">
          <cell r="A110">
            <v>1000</v>
          </cell>
          <cell r="B110">
            <v>17</v>
          </cell>
          <cell r="C110" t="e">
            <v>#VALUE!</v>
          </cell>
          <cell r="D110" t="e">
            <v>#VALUE!</v>
          </cell>
          <cell r="E110" t="e">
            <v>#VALUE!</v>
          </cell>
          <cell r="F110">
            <v>1295</v>
          </cell>
          <cell r="G110">
            <v>1300</v>
          </cell>
          <cell r="H110" t="e">
            <v>#VALUE!</v>
          </cell>
          <cell r="I110" t="e">
            <v>#VALUE!</v>
          </cell>
          <cell r="J110" t="e">
            <v>#VALUE!</v>
          </cell>
          <cell r="K110">
            <v>961</v>
          </cell>
          <cell r="L110">
            <v>966</v>
          </cell>
          <cell r="M110" t="e">
            <v>#VALUE!</v>
          </cell>
          <cell r="N110" t="e">
            <v>#VALUE!</v>
          </cell>
          <cell r="O110" t="e">
            <v>#VALUE!</v>
          </cell>
          <cell r="P110">
            <v>856</v>
          </cell>
          <cell r="Q110">
            <v>880</v>
          </cell>
          <cell r="R110" t="e">
            <v>#VALUE!</v>
          </cell>
          <cell r="S110" t="e">
            <v>#VALUE!</v>
          </cell>
          <cell r="T110" t="e">
            <v>#VALUE!</v>
          </cell>
          <cell r="U110" t="e">
            <v>#VALUE!</v>
          </cell>
          <cell r="V110" t="e">
            <v>#VALUE!</v>
          </cell>
          <cell r="W110" t="e">
            <v>#VALUE!</v>
          </cell>
          <cell r="X110" t="e">
            <v>#VALUE!</v>
          </cell>
          <cell r="Y110" t="e">
            <v>#VALUE!</v>
          </cell>
          <cell r="Z110" t="e">
            <v>#VALUE!</v>
          </cell>
          <cell r="AA110" t="e">
            <v>#VALUE!</v>
          </cell>
          <cell r="AB110" t="e">
            <v>#VALUE!</v>
          </cell>
          <cell r="AC110" t="e">
            <v>#VALUE!</v>
          </cell>
          <cell r="AD110" t="e">
            <v>#VALUE!</v>
          </cell>
          <cell r="AE110" t="e">
            <v>#VALUE!</v>
          </cell>
          <cell r="AF110" t="e">
            <v>#VALUE!</v>
          </cell>
          <cell r="AG110">
            <v>2.4799999999999999E-2</v>
          </cell>
          <cell r="AH110" t="e">
            <v>#VALUE!</v>
          </cell>
          <cell r="AI110">
            <v>8.8999999999999996E-2</v>
          </cell>
          <cell r="AJ110" t="e">
            <v>#VALUE!</v>
          </cell>
          <cell r="AK110" t="e">
            <v>#VALUE!</v>
          </cell>
          <cell r="AL110" t="e">
            <v>#VALUE!</v>
          </cell>
        </row>
        <row r="111">
          <cell r="A111">
            <v>1200</v>
          </cell>
          <cell r="B111">
            <v>18</v>
          </cell>
          <cell r="C111" t="e">
            <v>#VALUE!</v>
          </cell>
          <cell r="D111" t="e">
            <v>#VALUE!</v>
          </cell>
          <cell r="E111" t="e">
            <v>#VALUE!</v>
          </cell>
          <cell r="F111">
            <v>1420</v>
          </cell>
          <cell r="G111">
            <v>1426</v>
          </cell>
          <cell r="H111" t="e">
            <v>#VALUE!</v>
          </cell>
          <cell r="I111" t="e">
            <v>#VALUE!</v>
          </cell>
          <cell r="J111" t="e">
            <v>#VALUE!</v>
          </cell>
          <cell r="K111">
            <v>1036</v>
          </cell>
          <cell r="L111">
            <v>1043</v>
          </cell>
          <cell r="M111" t="e">
            <v>#VALUE!</v>
          </cell>
          <cell r="N111" t="e">
            <v>#VALUE!</v>
          </cell>
          <cell r="O111" t="e">
            <v>#VALUE!</v>
          </cell>
          <cell r="P111">
            <v>921</v>
          </cell>
          <cell r="Q111">
            <v>948</v>
          </cell>
          <cell r="R111" t="e">
            <v>#VALUE!</v>
          </cell>
          <cell r="S111" t="e">
            <v>#VALUE!</v>
          </cell>
          <cell r="T111" t="e">
            <v>#VALUE!</v>
          </cell>
          <cell r="U111" t="e">
            <v>#VALUE!</v>
          </cell>
          <cell r="V111" t="e">
            <v>#VALUE!</v>
          </cell>
          <cell r="W111" t="e">
            <v>#VALUE!</v>
          </cell>
          <cell r="X111" t="e">
            <v>#VALUE!</v>
          </cell>
          <cell r="Y111" t="e">
            <v>#VALUE!</v>
          </cell>
          <cell r="Z111" t="e">
            <v>#VALUE!</v>
          </cell>
          <cell r="AA111" t="e">
            <v>#VALUE!</v>
          </cell>
          <cell r="AB111" t="e">
            <v>#VALUE!</v>
          </cell>
          <cell r="AC111" t="e">
            <v>#VALUE!</v>
          </cell>
          <cell r="AD111" t="e">
            <v>#VALUE!</v>
          </cell>
          <cell r="AE111" t="e">
            <v>#VALUE!</v>
          </cell>
          <cell r="AF111" t="e">
            <v>#VALUE!</v>
          </cell>
          <cell r="AG111">
            <v>2.1000000000000001E-2</v>
          </cell>
          <cell r="AH111" t="e">
            <v>#VALUE!</v>
          </cell>
          <cell r="AI111">
            <v>8.8200000000000001E-2</v>
          </cell>
          <cell r="AJ111" t="e">
            <v>#VALUE!</v>
          </cell>
          <cell r="AK111" t="e">
            <v>#VALUE!</v>
          </cell>
          <cell r="AL111" t="e">
            <v>#VALUE!</v>
          </cell>
        </row>
        <row r="112">
          <cell r="A112" t="str">
            <v>OLEX</v>
          </cell>
          <cell r="B112">
            <v>2011</v>
          </cell>
          <cell r="C112" t="str">
            <v>Use Cat Page 6</v>
          </cell>
          <cell r="D112" t="str">
            <v>Cat Page 6</v>
          </cell>
          <cell r="E112" t="str">
            <v>Cat Page 8</v>
          </cell>
          <cell r="F112" t="str">
            <v>Cat Page 10</v>
          </cell>
          <cell r="G112" t="str">
            <v>Cat Page 12</v>
          </cell>
          <cell r="H112" t="str">
            <v>Use Cat Page 6</v>
          </cell>
          <cell r="I112" t="str">
            <v>Cat Page 6</v>
          </cell>
          <cell r="J112" t="str">
            <v>Cat Page 8</v>
          </cell>
          <cell r="K112" t="str">
            <v>Cat Page 10</v>
          </cell>
          <cell r="L112" t="str">
            <v>Cat Page 12</v>
          </cell>
          <cell r="M112" t="str">
            <v>Use Cat Page 6</v>
          </cell>
          <cell r="N112" t="str">
            <v>Cat Page 6</v>
          </cell>
          <cell r="O112" t="str">
            <v>Cat Page 8</v>
          </cell>
          <cell r="P112" t="str">
            <v>Cat Page 10</v>
          </cell>
          <cell r="Q112" t="str">
            <v>Cat Page 12</v>
          </cell>
          <cell r="R112" t="str">
            <v>Use Cat Page1 6</v>
          </cell>
          <cell r="S112" t="str">
            <v>Cat Page16</v>
          </cell>
          <cell r="T112" t="str">
            <v>Cat Page 18</v>
          </cell>
          <cell r="U112" t="str">
            <v>Cat Page 20</v>
          </cell>
          <cell r="V112" t="str">
            <v>Cat Page 22</v>
          </cell>
          <cell r="W112" t="str">
            <v>Use Cat Page1 6</v>
          </cell>
          <cell r="X112" t="str">
            <v>Cat Page16</v>
          </cell>
          <cell r="Y112" t="str">
            <v>Cat Page 18</v>
          </cell>
          <cell r="Z112" t="str">
            <v>Cat Page 20</v>
          </cell>
          <cell r="AA112" t="str">
            <v>Cat Page 22</v>
          </cell>
          <cell r="AB112" t="str">
            <v>Use Cat Page1 6</v>
          </cell>
          <cell r="AC112" t="str">
            <v>Cat Page16</v>
          </cell>
          <cell r="AD112" t="str">
            <v>Cat Page 18</v>
          </cell>
          <cell r="AE112" t="str">
            <v>Cat Page 20</v>
          </cell>
          <cell r="AF112" t="str">
            <v>Cat Page 22</v>
          </cell>
          <cell r="AG112" t="str">
            <v>Cat Page 6</v>
          </cell>
          <cell r="AH112" t="str">
            <v>Cat Page16</v>
          </cell>
          <cell r="AI112" t="str">
            <v>Cat Page 6</v>
          </cell>
          <cell r="AJ112" t="str">
            <v>Cat Page16</v>
          </cell>
          <cell r="AK112" t="str">
            <v>Table 41 &amp; 90°C</v>
          </cell>
          <cell r="AL112" t="str">
            <v>Table 42 &amp; 90°C</v>
          </cell>
        </row>
        <row r="118">
          <cell r="A118">
            <v>0.6</v>
          </cell>
          <cell r="B118">
            <v>1.18</v>
          </cell>
          <cell r="C118">
            <v>1.3</v>
          </cell>
          <cell r="D118">
            <v>1.1200000000000001</v>
          </cell>
          <cell r="E118">
            <v>1.18</v>
          </cell>
          <cell r="U118">
            <v>16</v>
          </cell>
          <cell r="V118">
            <v>33</v>
          </cell>
          <cell r="W118">
            <v>65</v>
          </cell>
          <cell r="X118">
            <v>85</v>
          </cell>
          <cell r="Y118">
            <v>150</v>
          </cell>
        </row>
        <row r="119">
          <cell r="A119">
            <v>0.7</v>
          </cell>
          <cell r="B119">
            <v>1.1200000000000001</v>
          </cell>
          <cell r="C119">
            <v>1.21</v>
          </cell>
          <cell r="D119">
            <v>1.06</v>
          </cell>
          <cell r="E119">
            <v>1.1200000000000001</v>
          </cell>
          <cell r="M119" t="str">
            <v>Type B</v>
          </cell>
          <cell r="N119">
            <v>4</v>
          </cell>
          <cell r="P119">
            <v>1</v>
          </cell>
          <cell r="Q119">
            <v>1</v>
          </cell>
          <cell r="R119" t="e">
            <v>#VALUE!</v>
          </cell>
          <cell r="U119">
            <v>20</v>
          </cell>
          <cell r="V119">
            <v>42</v>
          </cell>
          <cell r="W119">
            <v>85</v>
          </cell>
          <cell r="X119">
            <v>110</v>
          </cell>
          <cell r="Y119">
            <v>200</v>
          </cell>
          <cell r="AD119" t="str">
            <v>0.7  - - -</v>
          </cell>
          <cell r="AE119">
            <v>0.7</v>
          </cell>
          <cell r="AG119">
            <v>140</v>
          </cell>
          <cell r="AH119">
            <v>137</v>
          </cell>
          <cell r="AI119">
            <v>126</v>
          </cell>
          <cell r="AJ119">
            <v>98.7</v>
          </cell>
          <cell r="AK119">
            <v>85.6</v>
          </cell>
          <cell r="AL119">
            <v>56.6</v>
          </cell>
        </row>
        <row r="120">
          <cell r="A120">
            <v>0.8</v>
          </cell>
          <cell r="B120">
            <v>1.0900000000000001</v>
          </cell>
          <cell r="C120">
            <v>1.1599999999999999</v>
          </cell>
          <cell r="D120">
            <v>1.03</v>
          </cell>
          <cell r="E120">
            <v>1.08</v>
          </cell>
          <cell r="I120">
            <v>0</v>
          </cell>
          <cell r="J120">
            <v>1</v>
          </cell>
          <cell r="M120" t="str">
            <v>Type C</v>
          </cell>
          <cell r="N120">
            <v>7.5</v>
          </cell>
          <cell r="P120">
            <v>1.5</v>
          </cell>
          <cell r="Q120">
            <v>1.5</v>
          </cell>
          <cell r="R120" t="e">
            <v>#VALUE!</v>
          </cell>
          <cell r="U120">
            <v>25</v>
          </cell>
          <cell r="V120">
            <v>52</v>
          </cell>
          <cell r="W120">
            <v>110</v>
          </cell>
          <cell r="X120">
            <v>150</v>
          </cell>
          <cell r="Y120">
            <v>260</v>
          </cell>
          <cell r="AD120" t="str">
            <v>0.8 Clay &amp; Sandy Clay in wet conditions</v>
          </cell>
          <cell r="AE120">
            <v>0.8</v>
          </cell>
          <cell r="AG120">
            <v>150</v>
          </cell>
          <cell r="AH120">
            <v>142</v>
          </cell>
          <cell r="AI120">
            <v>131</v>
          </cell>
          <cell r="AJ120">
            <v>105</v>
          </cell>
          <cell r="AK120">
            <v>93.1</v>
          </cell>
          <cell r="AL120">
            <v>61.5</v>
          </cell>
        </row>
        <row r="121">
          <cell r="A121">
            <v>0.9</v>
          </cell>
          <cell r="B121">
            <v>1.07</v>
          </cell>
          <cell r="C121">
            <v>1.1100000000000001</v>
          </cell>
          <cell r="D121">
            <v>1.02</v>
          </cell>
          <cell r="E121">
            <v>1.06</v>
          </cell>
          <cell r="I121">
            <v>15</v>
          </cell>
          <cell r="J121">
            <v>1</v>
          </cell>
          <cell r="M121" t="str">
            <v>Type D</v>
          </cell>
          <cell r="N121">
            <v>12.5</v>
          </cell>
          <cell r="P121">
            <v>2.5</v>
          </cell>
          <cell r="Q121">
            <v>2.5</v>
          </cell>
          <cell r="R121" t="e">
            <v>#VALUE!</v>
          </cell>
          <cell r="U121">
            <v>32</v>
          </cell>
          <cell r="V121">
            <v>75</v>
          </cell>
          <cell r="W121">
            <v>150</v>
          </cell>
          <cell r="X121">
            <v>200</v>
          </cell>
          <cell r="Y121">
            <v>350</v>
          </cell>
          <cell r="AD121" t="str">
            <v>0.9 Wet Clay &amp; Sandy Clay Soild</v>
          </cell>
          <cell r="AE121">
            <v>0.9</v>
          </cell>
          <cell r="AG121">
            <v>160</v>
          </cell>
          <cell r="AH121">
            <v>146</v>
          </cell>
          <cell r="AI121">
            <v>136</v>
          </cell>
          <cell r="AJ121">
            <v>111</v>
          </cell>
          <cell r="AK121">
            <v>99.9</v>
          </cell>
          <cell r="AL121">
            <v>66</v>
          </cell>
        </row>
        <row r="122">
          <cell r="A122">
            <v>1</v>
          </cell>
          <cell r="B122">
            <v>1.04</v>
          </cell>
          <cell r="C122">
            <v>1.07</v>
          </cell>
          <cell r="D122">
            <v>1.02</v>
          </cell>
          <cell r="E122">
            <v>1.04</v>
          </cell>
          <cell r="I122">
            <v>16</v>
          </cell>
          <cell r="J122">
            <v>0.86</v>
          </cell>
          <cell r="P122">
            <v>4</v>
          </cell>
          <cell r="Q122">
            <v>2.5</v>
          </cell>
          <cell r="R122" t="e">
            <v>#VALUE!</v>
          </cell>
          <cell r="U122">
            <v>40</v>
          </cell>
          <cell r="V122">
            <v>95</v>
          </cell>
          <cell r="W122">
            <v>190</v>
          </cell>
          <cell r="X122">
            <v>260</v>
          </cell>
          <cell r="Y122">
            <v>450</v>
          </cell>
          <cell r="AD122" t="str">
            <v>1.0 Moist Clay Soils</v>
          </cell>
          <cell r="AE122">
            <v>1</v>
          </cell>
          <cell r="AG122">
            <v>220</v>
          </cell>
          <cell r="AH122">
            <v>169</v>
          </cell>
          <cell r="AI122">
            <v>160</v>
          </cell>
          <cell r="AJ122">
            <v>140</v>
          </cell>
          <cell r="AK122">
            <v>131</v>
          </cell>
          <cell r="AL122" t="e">
            <v>#VALUE!</v>
          </cell>
        </row>
        <row r="123">
          <cell r="A123">
            <v>1.2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I123">
            <v>33</v>
          </cell>
          <cell r="J123">
            <v>0.86</v>
          </cell>
          <cell r="P123">
            <v>6</v>
          </cell>
          <cell r="Q123">
            <v>2.5</v>
          </cell>
          <cell r="R123" t="e">
            <v>#VALUE!</v>
          </cell>
          <cell r="U123">
            <v>50</v>
          </cell>
          <cell r="V123">
            <v>125</v>
          </cell>
          <cell r="W123">
            <v>250</v>
          </cell>
          <cell r="X123">
            <v>350</v>
          </cell>
          <cell r="Y123">
            <v>610</v>
          </cell>
          <cell r="AD123" t="str">
            <v>1.2 General except very dry light soils</v>
          </cell>
          <cell r="AE123">
            <v>1.2</v>
          </cell>
          <cell r="AG123">
            <v>250</v>
          </cell>
          <cell r="AH123">
            <v>179</v>
          </cell>
          <cell r="AI123">
            <v>170</v>
          </cell>
          <cell r="AJ123">
            <v>151</v>
          </cell>
          <cell r="AK123">
            <v>143</v>
          </cell>
          <cell r="AL123">
            <v>94.5</v>
          </cell>
        </row>
        <row r="124">
          <cell r="A124">
            <v>1.5</v>
          </cell>
          <cell r="B124">
            <v>0.92</v>
          </cell>
          <cell r="C124">
            <v>0.9</v>
          </cell>
          <cell r="D124">
            <v>0.95</v>
          </cell>
          <cell r="E124">
            <v>0.92</v>
          </cell>
          <cell r="I124">
            <v>34</v>
          </cell>
          <cell r="J124">
            <v>0.86</v>
          </cell>
          <cell r="M124" t="str">
            <v>Circuit Breaker</v>
          </cell>
          <cell r="P124">
            <v>10</v>
          </cell>
          <cell r="Q124">
            <v>4</v>
          </cell>
          <cell r="R124" t="e">
            <v>#VALUE!</v>
          </cell>
          <cell r="U124">
            <v>63</v>
          </cell>
          <cell r="V124">
            <v>160</v>
          </cell>
          <cell r="W124">
            <v>320</v>
          </cell>
          <cell r="X124">
            <v>450</v>
          </cell>
          <cell r="Y124">
            <v>820</v>
          </cell>
          <cell r="AD124" t="str">
            <v>1.5 Slightly dry light soils</v>
          </cell>
          <cell r="AE124">
            <v>1.5</v>
          </cell>
          <cell r="AG124">
            <v>350</v>
          </cell>
          <cell r="AH124">
            <v>204</v>
          </cell>
          <cell r="AI124">
            <v>196</v>
          </cell>
          <cell r="AJ124">
            <v>180</v>
          </cell>
          <cell r="AK124">
            <v>173</v>
          </cell>
          <cell r="AL124" t="e">
            <v>#VALUE!</v>
          </cell>
        </row>
        <row r="125">
          <cell r="A125">
            <v>1.8</v>
          </cell>
          <cell r="B125">
            <v>0.87050000000000005</v>
          </cell>
          <cell r="C125">
            <v>0.85499999999999998</v>
          </cell>
          <cell r="D125">
            <v>0.91849999999999998</v>
          </cell>
          <cell r="E125">
            <v>0.87950000000000006</v>
          </cell>
          <cell r="I125">
            <v>45</v>
          </cell>
          <cell r="J125">
            <v>0.86</v>
          </cell>
          <cell r="M125" t="str">
            <v>Fuse</v>
          </cell>
          <cell r="P125">
            <v>16</v>
          </cell>
          <cell r="Q125">
            <v>6</v>
          </cell>
          <cell r="R125">
            <v>4</v>
          </cell>
          <cell r="U125">
            <v>80</v>
          </cell>
          <cell r="V125">
            <v>215</v>
          </cell>
          <cell r="W125">
            <v>425</v>
          </cell>
          <cell r="X125">
            <v>610</v>
          </cell>
          <cell r="Y125">
            <v>1100</v>
          </cell>
          <cell r="AD125" t="str">
            <v>1.8 Fairly dry, sandy/chalky/rocky soil</v>
          </cell>
          <cell r="AE125">
            <v>1.8</v>
          </cell>
        </row>
        <row r="126">
          <cell r="A126">
            <v>2</v>
          </cell>
          <cell r="B126">
            <v>0.81</v>
          </cell>
          <cell r="C126">
            <v>0.8</v>
          </cell>
          <cell r="D126">
            <v>0.88</v>
          </cell>
          <cell r="E126">
            <v>0.83</v>
          </cell>
          <cell r="I126">
            <v>46</v>
          </cell>
          <cell r="J126">
            <v>1</v>
          </cell>
          <cell r="P126">
            <v>25</v>
          </cell>
          <cell r="Q126">
            <v>6</v>
          </cell>
          <cell r="R126">
            <v>6</v>
          </cell>
          <cell r="U126">
            <v>100</v>
          </cell>
          <cell r="V126">
            <v>290</v>
          </cell>
          <cell r="W126">
            <v>580</v>
          </cell>
          <cell r="X126">
            <v>820</v>
          </cell>
          <cell r="Y126">
            <v>1450</v>
          </cell>
          <cell r="AD126" t="str">
            <v>2.0 Dry sandy/rocky conditions</v>
          </cell>
          <cell r="AE126">
            <v>2</v>
          </cell>
        </row>
        <row r="127">
          <cell r="A127">
            <v>2.25</v>
          </cell>
          <cell r="B127">
            <v>0.77849999999999997</v>
          </cell>
          <cell r="C127">
            <v>0.76400000000000001</v>
          </cell>
          <cell r="D127">
            <v>0.85750000000000004</v>
          </cell>
          <cell r="E127">
            <v>0.80299999999999994</v>
          </cell>
          <cell r="I127">
            <v>100</v>
          </cell>
          <cell r="J127">
            <v>1</v>
          </cell>
          <cell r="P127">
            <v>35</v>
          </cell>
          <cell r="Q127">
            <v>10</v>
          </cell>
          <cell r="R127">
            <v>6</v>
          </cell>
          <cell r="U127">
            <v>125</v>
          </cell>
          <cell r="V127">
            <v>355</v>
          </cell>
          <cell r="W127">
            <v>715</v>
          </cell>
          <cell r="X127">
            <v>1100</v>
          </cell>
          <cell r="Y127">
            <v>1910</v>
          </cell>
        </row>
        <row r="128">
          <cell r="A128">
            <v>2.5</v>
          </cell>
          <cell r="B128">
            <v>0.74</v>
          </cell>
          <cell r="C128">
            <v>0.72</v>
          </cell>
          <cell r="D128">
            <v>0.83</v>
          </cell>
          <cell r="E128">
            <v>0.77</v>
          </cell>
          <cell r="P128">
            <v>50</v>
          </cell>
          <cell r="Q128">
            <v>16</v>
          </cell>
          <cell r="R128">
            <v>10</v>
          </cell>
          <cell r="U128">
            <v>160</v>
          </cell>
          <cell r="V128">
            <v>460</v>
          </cell>
          <cell r="W128">
            <v>950</v>
          </cell>
          <cell r="X128">
            <v>1450</v>
          </cell>
          <cell r="Y128">
            <v>2590</v>
          </cell>
        </row>
        <row r="129">
          <cell r="A129">
            <v>3</v>
          </cell>
          <cell r="B129">
            <v>0.69</v>
          </cell>
          <cell r="C129">
            <v>0.66</v>
          </cell>
          <cell r="D129">
            <v>0.78</v>
          </cell>
          <cell r="E129">
            <v>0.71</v>
          </cell>
          <cell r="M129" t="str">
            <v>gG</v>
          </cell>
          <cell r="P129">
            <v>70</v>
          </cell>
          <cell r="Q129">
            <v>25</v>
          </cell>
          <cell r="R129">
            <v>10</v>
          </cell>
          <cell r="U129">
            <v>200</v>
          </cell>
          <cell r="V129">
            <v>610</v>
          </cell>
          <cell r="W129">
            <v>1205</v>
          </cell>
          <cell r="X129">
            <v>1910</v>
          </cell>
          <cell r="Y129">
            <v>3420</v>
          </cell>
        </row>
        <row r="130">
          <cell r="M130" t="str">
            <v>gM</v>
          </cell>
          <cell r="P130">
            <v>95</v>
          </cell>
          <cell r="Q130">
            <v>25</v>
          </cell>
          <cell r="R130">
            <v>16</v>
          </cell>
          <cell r="U130">
            <v>250</v>
          </cell>
          <cell r="V130">
            <v>750</v>
          </cell>
          <cell r="W130">
            <v>1650</v>
          </cell>
          <cell r="X130">
            <v>2590</v>
          </cell>
          <cell r="Y130">
            <v>4500</v>
          </cell>
        </row>
        <row r="131">
          <cell r="P131">
            <v>120</v>
          </cell>
          <cell r="Q131">
            <v>35</v>
          </cell>
          <cell r="R131">
            <v>25</v>
          </cell>
          <cell r="U131">
            <v>315</v>
          </cell>
          <cell r="V131">
            <v>1050</v>
          </cell>
          <cell r="W131">
            <v>2200</v>
          </cell>
          <cell r="X131">
            <v>3420</v>
          </cell>
          <cell r="Y131">
            <v>6000</v>
          </cell>
        </row>
        <row r="132">
          <cell r="I132" t="str">
            <v>Cu</v>
          </cell>
          <cell r="J132">
            <v>2.2499999999999999E-2</v>
          </cell>
          <cell r="P132">
            <v>150</v>
          </cell>
          <cell r="Q132">
            <v>50</v>
          </cell>
          <cell r="R132">
            <v>25</v>
          </cell>
          <cell r="U132">
            <v>400</v>
          </cell>
          <cell r="V132">
            <v>1420</v>
          </cell>
          <cell r="W132">
            <v>2840</v>
          </cell>
          <cell r="X132">
            <v>4500</v>
          </cell>
          <cell r="Y132">
            <v>8060</v>
          </cell>
        </row>
        <row r="133">
          <cell r="I133" t="str">
            <v>Al</v>
          </cell>
          <cell r="J133">
            <v>3.5999999999999997E-2</v>
          </cell>
          <cell r="M133" t="str">
            <v>MCB</v>
          </cell>
          <cell r="P133">
            <v>185</v>
          </cell>
          <cell r="Q133">
            <v>70</v>
          </cell>
          <cell r="R133">
            <v>35</v>
          </cell>
          <cell r="U133">
            <v>500</v>
          </cell>
          <cell r="V133">
            <v>1780</v>
          </cell>
          <cell r="W133">
            <v>3800</v>
          </cell>
          <cell r="X133">
            <v>6000</v>
          </cell>
          <cell r="Y133">
            <v>10600</v>
          </cell>
        </row>
        <row r="134">
          <cell r="M134" t="str">
            <v>MCCB</v>
          </cell>
          <cell r="P134">
            <v>240</v>
          </cell>
          <cell r="Q134">
            <v>95</v>
          </cell>
          <cell r="R134">
            <v>50</v>
          </cell>
          <cell r="U134">
            <v>630</v>
          </cell>
          <cell r="V134">
            <v>2200</v>
          </cell>
          <cell r="W134">
            <v>5100</v>
          </cell>
          <cell r="X134">
            <v>8060</v>
          </cell>
          <cell r="Y134">
            <v>14140</v>
          </cell>
        </row>
        <row r="135">
          <cell r="M135" t="str">
            <v>ACB</v>
          </cell>
          <cell r="P135">
            <v>300</v>
          </cell>
          <cell r="Q135">
            <v>120</v>
          </cell>
          <cell r="R135">
            <v>70</v>
          </cell>
          <cell r="U135">
            <v>800</v>
          </cell>
          <cell r="V135">
            <v>3060</v>
          </cell>
          <cell r="W135">
            <v>7000</v>
          </cell>
          <cell r="X135">
            <v>10600</v>
          </cell>
          <cell r="Y135">
            <v>19000</v>
          </cell>
        </row>
        <row r="136">
          <cell r="M136" t="str">
            <v>SF6/Vac</v>
          </cell>
          <cell r="P136">
            <v>400</v>
          </cell>
          <cell r="Q136">
            <v>120</v>
          </cell>
          <cell r="R136">
            <v>95</v>
          </cell>
          <cell r="U136">
            <v>1000</v>
          </cell>
          <cell r="V136">
            <v>4000</v>
          </cell>
          <cell r="W136">
            <v>9500</v>
          </cell>
          <cell r="X136">
            <v>14140</v>
          </cell>
          <cell r="Y136">
            <v>24000</v>
          </cell>
        </row>
        <row r="137">
          <cell r="P137">
            <v>500</v>
          </cell>
          <cell r="Q137">
            <v>120</v>
          </cell>
          <cell r="R137">
            <v>95</v>
          </cell>
          <cell r="U137">
            <v>1250</v>
          </cell>
          <cell r="V137">
            <v>5000</v>
          </cell>
          <cell r="W137">
            <v>13000</v>
          </cell>
          <cell r="X137">
            <v>19000</v>
          </cell>
          <cell r="Y137">
            <v>35000</v>
          </cell>
        </row>
        <row r="138">
          <cell r="P138">
            <v>630</v>
          </cell>
          <cell r="Q138">
            <v>120</v>
          </cell>
          <cell r="R138">
            <v>120</v>
          </cell>
        </row>
      </sheetData>
      <sheetData sheetId="2">
        <row r="4">
          <cell r="A4">
            <v>0.18</v>
          </cell>
          <cell r="B4">
            <v>0.57999999999999996</v>
          </cell>
          <cell r="C4">
            <v>2.0299999999999998</v>
          </cell>
          <cell r="D4">
            <v>258</v>
          </cell>
          <cell r="E4">
            <v>55.4</v>
          </cell>
          <cell r="F4">
            <v>61.2</v>
          </cell>
          <cell r="G4">
            <v>63.5</v>
          </cell>
          <cell r="H4">
            <v>0.629</v>
          </cell>
          <cell r="I4">
            <v>0.72699999999999998</v>
          </cell>
          <cell r="J4">
            <v>3.5</v>
          </cell>
        </row>
        <row r="5">
          <cell r="A5">
            <v>0.37</v>
          </cell>
          <cell r="B5">
            <v>1</v>
          </cell>
          <cell r="C5">
            <v>5.43</v>
          </cell>
          <cell r="D5">
            <v>358</v>
          </cell>
          <cell r="E5">
            <v>65.3</v>
          </cell>
          <cell r="F5">
            <v>71.3</v>
          </cell>
          <cell r="G5">
            <v>72.2</v>
          </cell>
          <cell r="H5">
            <v>0.55700000000000005</v>
          </cell>
          <cell r="I5">
            <v>0.65300000000000002</v>
          </cell>
          <cell r="J5">
            <v>5.43</v>
          </cell>
        </row>
        <row r="6">
          <cell r="A6">
            <v>0.55000000000000004</v>
          </cell>
          <cell r="B6">
            <v>1.47</v>
          </cell>
          <cell r="C6">
            <v>6.89</v>
          </cell>
          <cell r="D6">
            <v>261</v>
          </cell>
          <cell r="E6">
            <v>69.8</v>
          </cell>
          <cell r="F6">
            <v>73.8</v>
          </cell>
          <cell r="G6">
            <v>74.2</v>
          </cell>
          <cell r="H6">
            <v>0.65700000000000003</v>
          </cell>
          <cell r="I6">
            <v>0.752</v>
          </cell>
          <cell r="J6">
            <v>4.6870748299319729</v>
          </cell>
        </row>
        <row r="7">
          <cell r="A7">
            <v>0.75</v>
          </cell>
          <cell r="B7">
            <v>1.87</v>
          </cell>
          <cell r="C7">
            <v>9.4</v>
          </cell>
          <cell r="D7">
            <v>301</v>
          </cell>
          <cell r="E7">
            <v>71.7</v>
          </cell>
          <cell r="F7">
            <v>75.8</v>
          </cell>
          <cell r="G7">
            <v>76</v>
          </cell>
          <cell r="H7">
            <v>0.65700000000000003</v>
          </cell>
          <cell r="I7">
            <v>0.751</v>
          </cell>
          <cell r="J7">
            <v>5.0267379679144382</v>
          </cell>
        </row>
        <row r="8">
          <cell r="A8">
            <v>1.1000000000000001</v>
          </cell>
          <cell r="B8">
            <v>2.59</v>
          </cell>
          <cell r="C8">
            <v>13.3</v>
          </cell>
          <cell r="D8">
            <v>210</v>
          </cell>
          <cell r="E8">
            <v>75.3</v>
          </cell>
          <cell r="F8">
            <v>78.5</v>
          </cell>
          <cell r="G8">
            <v>78.2</v>
          </cell>
          <cell r="H8">
            <v>0.72</v>
          </cell>
          <cell r="I8">
            <v>0.79900000000000004</v>
          </cell>
          <cell r="J8">
            <v>5.135135135135136</v>
          </cell>
        </row>
        <row r="9">
          <cell r="A9">
            <v>1.5</v>
          </cell>
          <cell r="B9">
            <v>3.24</v>
          </cell>
          <cell r="C9">
            <v>19.3</v>
          </cell>
          <cell r="D9">
            <v>232</v>
          </cell>
          <cell r="E9">
            <v>74.900000000000006</v>
          </cell>
          <cell r="F9">
            <v>78</v>
          </cell>
          <cell r="G9">
            <v>78</v>
          </cell>
          <cell r="H9">
            <v>0.69899999999999995</v>
          </cell>
          <cell r="I9">
            <v>0.78800000000000003</v>
          </cell>
          <cell r="J9">
            <v>5.9567901234567904</v>
          </cell>
        </row>
        <row r="10">
          <cell r="A10">
            <v>2.2000000000000002</v>
          </cell>
          <cell r="B10">
            <v>4.57</v>
          </cell>
          <cell r="C10">
            <v>28.3</v>
          </cell>
          <cell r="D10">
            <v>251</v>
          </cell>
          <cell r="E10">
            <v>82.4</v>
          </cell>
          <cell r="F10">
            <v>83.8</v>
          </cell>
          <cell r="G10">
            <v>82.9</v>
          </cell>
          <cell r="H10">
            <v>0.80200000000000005</v>
          </cell>
          <cell r="I10">
            <v>0.85199999999999998</v>
          </cell>
          <cell r="J10">
            <v>6.1925601750547044</v>
          </cell>
        </row>
        <row r="11">
          <cell r="A11">
            <v>3</v>
          </cell>
          <cell r="B11">
            <v>6.17</v>
          </cell>
          <cell r="C11">
            <v>45.7</v>
          </cell>
          <cell r="D11">
            <v>293</v>
          </cell>
          <cell r="E11">
            <v>83.4</v>
          </cell>
          <cell r="F11">
            <v>85.3</v>
          </cell>
          <cell r="G11">
            <v>85</v>
          </cell>
          <cell r="H11">
            <v>0.755</v>
          </cell>
          <cell r="I11">
            <v>0.82399999999999995</v>
          </cell>
          <cell r="J11">
            <v>7.4068071312803898</v>
          </cell>
        </row>
        <row r="12">
          <cell r="A12">
            <v>4</v>
          </cell>
          <cell r="B12">
            <v>7.64</v>
          </cell>
          <cell r="C12">
            <v>58</v>
          </cell>
          <cell r="D12">
            <v>238</v>
          </cell>
          <cell r="E12">
            <v>88.1</v>
          </cell>
          <cell r="F12">
            <v>89</v>
          </cell>
          <cell r="G12">
            <v>88.3</v>
          </cell>
          <cell r="H12">
            <v>0.79800000000000004</v>
          </cell>
          <cell r="I12">
            <v>0.84299999999999997</v>
          </cell>
          <cell r="J12">
            <v>7.5916230366492146</v>
          </cell>
        </row>
        <row r="13">
          <cell r="A13">
            <v>5.5</v>
          </cell>
          <cell r="B13">
            <v>10.4</v>
          </cell>
          <cell r="C13">
            <v>81</v>
          </cell>
          <cell r="D13">
            <v>299</v>
          </cell>
          <cell r="E13">
            <v>88.7</v>
          </cell>
          <cell r="F13">
            <v>90</v>
          </cell>
          <cell r="G13">
            <v>89.8</v>
          </cell>
          <cell r="H13">
            <v>0.76900000000000002</v>
          </cell>
          <cell r="I13">
            <v>0.82699999999999996</v>
          </cell>
          <cell r="J13">
            <v>7.7884615384615383</v>
          </cell>
        </row>
        <row r="14">
          <cell r="A14">
            <v>7.5</v>
          </cell>
          <cell r="B14">
            <v>13.7</v>
          </cell>
          <cell r="C14">
            <v>107</v>
          </cell>
          <cell r="D14">
            <v>299</v>
          </cell>
          <cell r="E14">
            <v>89.9</v>
          </cell>
          <cell r="F14">
            <v>90.7</v>
          </cell>
          <cell r="G14">
            <v>90.3</v>
          </cell>
          <cell r="H14">
            <v>0.81200000000000006</v>
          </cell>
          <cell r="I14">
            <v>0.84299999999999997</v>
          </cell>
          <cell r="J14">
            <v>7.8102189781021902</v>
          </cell>
        </row>
        <row r="15">
          <cell r="A15">
            <v>11</v>
          </cell>
          <cell r="B15">
            <v>19.3</v>
          </cell>
          <cell r="C15">
            <v>137</v>
          </cell>
          <cell r="D15">
            <v>247</v>
          </cell>
          <cell r="E15">
            <v>92</v>
          </cell>
          <cell r="F15">
            <v>92.5</v>
          </cell>
          <cell r="G15">
            <v>92.1</v>
          </cell>
          <cell r="H15">
            <v>0.84199999999999997</v>
          </cell>
          <cell r="I15">
            <v>0.878</v>
          </cell>
          <cell r="J15">
            <v>7.0984455958549217</v>
          </cell>
        </row>
        <row r="16">
          <cell r="A16">
            <v>15</v>
          </cell>
          <cell r="B16">
            <v>25.5</v>
          </cell>
          <cell r="C16">
            <v>186</v>
          </cell>
          <cell r="D16">
            <v>253</v>
          </cell>
          <cell r="E16">
            <v>92.6</v>
          </cell>
          <cell r="F16">
            <v>93</v>
          </cell>
          <cell r="G16">
            <v>92.6</v>
          </cell>
          <cell r="H16">
            <v>0.85399999999999998</v>
          </cell>
          <cell r="I16">
            <v>0.88100000000000001</v>
          </cell>
          <cell r="J16">
            <v>7.2941176470588234</v>
          </cell>
        </row>
        <row r="17">
          <cell r="A17">
            <v>18.5</v>
          </cell>
          <cell r="B17">
            <v>33</v>
          </cell>
          <cell r="C17">
            <v>246</v>
          </cell>
          <cell r="D17">
            <v>271</v>
          </cell>
          <cell r="E17">
            <v>93.1</v>
          </cell>
          <cell r="F17">
            <v>93.7</v>
          </cell>
          <cell r="G17">
            <v>93.5</v>
          </cell>
          <cell r="H17">
            <v>0.80500000000000005</v>
          </cell>
          <cell r="I17">
            <v>0.84299999999999997</v>
          </cell>
          <cell r="J17">
            <v>7.4545454545454541</v>
          </cell>
        </row>
        <row r="18">
          <cell r="A18">
            <v>22</v>
          </cell>
          <cell r="B18">
            <v>39</v>
          </cell>
          <cell r="C18">
            <v>281</v>
          </cell>
          <cell r="D18">
            <v>253</v>
          </cell>
          <cell r="E18">
            <v>93.7</v>
          </cell>
          <cell r="F18">
            <v>94.1</v>
          </cell>
          <cell r="G18">
            <v>93.6</v>
          </cell>
          <cell r="H18">
            <v>0.82099999999999995</v>
          </cell>
          <cell r="I18">
            <v>0.85299999999999998</v>
          </cell>
          <cell r="J18">
            <v>7.2051282051282053</v>
          </cell>
        </row>
        <row r="19">
          <cell r="A19">
            <v>30</v>
          </cell>
          <cell r="B19">
            <v>50</v>
          </cell>
          <cell r="C19">
            <v>389</v>
          </cell>
          <cell r="D19">
            <v>277</v>
          </cell>
          <cell r="E19">
            <v>94.4</v>
          </cell>
          <cell r="F19">
            <v>94.6</v>
          </cell>
          <cell r="G19">
            <v>94.3</v>
          </cell>
          <cell r="H19">
            <v>0.85699999999999998</v>
          </cell>
          <cell r="I19">
            <v>0.88200000000000001</v>
          </cell>
          <cell r="J19">
            <v>7.78</v>
          </cell>
        </row>
        <row r="20">
          <cell r="A20">
            <v>37</v>
          </cell>
          <cell r="B20">
            <v>64.3</v>
          </cell>
          <cell r="C20">
            <v>431</v>
          </cell>
          <cell r="D20">
            <v>217</v>
          </cell>
          <cell r="E20">
            <v>94</v>
          </cell>
          <cell r="F20">
            <v>94.7</v>
          </cell>
          <cell r="G20">
            <v>94.6</v>
          </cell>
          <cell r="H20">
            <v>0.82499999999999996</v>
          </cell>
          <cell r="I20">
            <v>0.85399999999999998</v>
          </cell>
          <cell r="J20">
            <v>6.7029548989113534</v>
          </cell>
        </row>
        <row r="21">
          <cell r="A21">
            <v>45</v>
          </cell>
          <cell r="B21">
            <v>77.5</v>
          </cell>
          <cell r="C21">
            <v>492</v>
          </cell>
          <cell r="D21">
            <v>211</v>
          </cell>
          <cell r="E21">
            <v>93.9</v>
          </cell>
          <cell r="F21">
            <v>94.6</v>
          </cell>
          <cell r="G21">
            <v>94.5</v>
          </cell>
          <cell r="H21">
            <v>0.81799999999999995</v>
          </cell>
          <cell r="I21">
            <v>0.85099999999999998</v>
          </cell>
          <cell r="J21">
            <v>6.3483870967741938</v>
          </cell>
        </row>
        <row r="22">
          <cell r="A22">
            <v>55</v>
          </cell>
          <cell r="B22">
            <v>93.9</v>
          </cell>
          <cell r="C22">
            <v>654</v>
          </cell>
          <cell r="D22">
            <v>236</v>
          </cell>
          <cell r="E22">
            <v>95</v>
          </cell>
          <cell r="F22">
            <v>95.4</v>
          </cell>
          <cell r="G22">
            <v>95.3</v>
          </cell>
          <cell r="H22">
            <v>0.84299999999999997</v>
          </cell>
          <cell r="I22">
            <v>0.87</v>
          </cell>
          <cell r="J22">
            <v>6.9648562300319483</v>
          </cell>
        </row>
        <row r="23">
          <cell r="A23">
            <v>75</v>
          </cell>
          <cell r="B23">
            <v>125</v>
          </cell>
          <cell r="C23">
            <v>796</v>
          </cell>
          <cell r="D23">
            <v>224</v>
          </cell>
          <cell r="E23">
            <v>95.5</v>
          </cell>
          <cell r="F23">
            <v>95.6</v>
          </cell>
          <cell r="G23">
            <v>95.3</v>
          </cell>
          <cell r="H23">
            <v>0.84799999999999998</v>
          </cell>
          <cell r="I23">
            <v>0.874</v>
          </cell>
          <cell r="J23">
            <v>6.3680000000000003</v>
          </cell>
        </row>
        <row r="24">
          <cell r="A24">
            <v>90</v>
          </cell>
          <cell r="B24">
            <v>149</v>
          </cell>
          <cell r="C24">
            <v>1089</v>
          </cell>
          <cell r="D24">
            <v>208</v>
          </cell>
          <cell r="E24">
            <v>94.8</v>
          </cell>
          <cell r="F24">
            <v>95.6</v>
          </cell>
          <cell r="G24">
            <v>95.7</v>
          </cell>
          <cell r="H24">
            <v>0.85099999999999998</v>
          </cell>
          <cell r="I24">
            <v>0.877</v>
          </cell>
          <cell r="J24">
            <v>7.3087248322147653</v>
          </cell>
        </row>
        <row r="25">
          <cell r="A25">
            <v>110</v>
          </cell>
          <cell r="B25">
            <v>181</v>
          </cell>
          <cell r="C25">
            <v>1311</v>
          </cell>
          <cell r="D25">
            <v>208</v>
          </cell>
          <cell r="E25">
            <v>95.5</v>
          </cell>
          <cell r="F25">
            <v>96</v>
          </cell>
          <cell r="G25">
            <v>95.9</v>
          </cell>
          <cell r="H25">
            <v>0.86</v>
          </cell>
          <cell r="I25">
            <v>0.88300000000000001</v>
          </cell>
          <cell r="J25">
            <v>7.2430939226519335</v>
          </cell>
        </row>
        <row r="26">
          <cell r="A26">
            <v>132</v>
          </cell>
          <cell r="B26">
            <v>213</v>
          </cell>
          <cell r="C26">
            <v>1466</v>
          </cell>
          <cell r="D26">
            <v>187</v>
          </cell>
          <cell r="E26">
            <v>96.2</v>
          </cell>
          <cell r="F26">
            <v>96.4</v>
          </cell>
          <cell r="G26">
            <v>96.1</v>
          </cell>
          <cell r="H26">
            <v>0.89</v>
          </cell>
          <cell r="I26">
            <v>0.89800000000000002</v>
          </cell>
          <cell r="J26">
            <v>6.882629107981221</v>
          </cell>
        </row>
        <row r="27">
          <cell r="A27">
            <v>150</v>
          </cell>
          <cell r="B27">
            <v>240</v>
          </cell>
          <cell r="C27">
            <v>1722</v>
          </cell>
          <cell r="D27">
            <v>195</v>
          </cell>
          <cell r="E27">
            <v>95.7</v>
          </cell>
          <cell r="F27">
            <v>96.1</v>
          </cell>
          <cell r="G27">
            <v>96</v>
          </cell>
          <cell r="H27">
            <v>0.89300000000000002</v>
          </cell>
          <cell r="I27">
            <v>0.90500000000000003</v>
          </cell>
          <cell r="J27">
            <v>7.1749999999999998</v>
          </cell>
        </row>
        <row r="28">
          <cell r="A28">
            <v>185</v>
          </cell>
          <cell r="B28">
            <v>290</v>
          </cell>
          <cell r="C28">
            <v>1826</v>
          </cell>
          <cell r="D28">
            <v>141</v>
          </cell>
          <cell r="E28">
            <v>96.3</v>
          </cell>
          <cell r="F28">
            <v>96.6</v>
          </cell>
          <cell r="G28">
            <v>96.4</v>
          </cell>
          <cell r="H28">
            <v>0.91600000000000004</v>
          </cell>
          <cell r="I28">
            <v>0.92300000000000004</v>
          </cell>
          <cell r="J28">
            <v>6.296551724137931</v>
          </cell>
        </row>
        <row r="29">
          <cell r="A29">
            <v>220</v>
          </cell>
          <cell r="B29">
            <v>344</v>
          </cell>
          <cell r="C29">
            <v>2227</v>
          </cell>
          <cell r="D29">
            <v>118</v>
          </cell>
          <cell r="E29">
            <v>95.4</v>
          </cell>
          <cell r="F29">
            <v>96</v>
          </cell>
          <cell r="G29">
            <v>96</v>
          </cell>
          <cell r="H29">
            <v>0.91</v>
          </cell>
          <cell r="I29">
            <v>0.92500000000000004</v>
          </cell>
          <cell r="J29">
            <v>6.4738372093023253</v>
          </cell>
        </row>
        <row r="30">
          <cell r="A30">
            <v>250</v>
          </cell>
          <cell r="B30">
            <v>389</v>
          </cell>
          <cell r="C30">
            <v>2613</v>
          </cell>
          <cell r="D30">
            <v>119</v>
          </cell>
          <cell r="E30">
            <v>95.5</v>
          </cell>
          <cell r="F30">
            <v>96.1</v>
          </cell>
          <cell r="G30">
            <v>96</v>
          </cell>
          <cell r="H30">
            <v>0.91600000000000004</v>
          </cell>
          <cell r="I30">
            <v>0.92600000000000005</v>
          </cell>
          <cell r="J30">
            <v>6.7172236503856038</v>
          </cell>
        </row>
        <row r="31">
          <cell r="A31">
            <v>280</v>
          </cell>
          <cell r="B31">
            <v>455</v>
          </cell>
          <cell r="C31">
            <v>3175</v>
          </cell>
          <cell r="D31">
            <v>110</v>
          </cell>
          <cell r="E31">
            <v>94.8</v>
          </cell>
          <cell r="F31">
            <v>96</v>
          </cell>
          <cell r="G31">
            <v>96.6</v>
          </cell>
          <cell r="H31">
            <v>0.87</v>
          </cell>
          <cell r="I31">
            <v>0.88500000000000001</v>
          </cell>
          <cell r="J31">
            <v>6.9780219780219781</v>
          </cell>
        </row>
        <row r="32">
          <cell r="A32">
            <v>315</v>
          </cell>
          <cell r="B32">
            <v>501</v>
          </cell>
          <cell r="C32">
            <v>3372</v>
          </cell>
          <cell r="D32">
            <v>194</v>
          </cell>
          <cell r="E32">
            <v>96.4</v>
          </cell>
          <cell r="F32">
            <v>96.6</v>
          </cell>
          <cell r="G32">
            <v>96.6</v>
          </cell>
          <cell r="H32">
            <v>0.90600000000000003</v>
          </cell>
          <cell r="I32">
            <v>0.92</v>
          </cell>
          <cell r="J32">
            <v>6.7305389221556888</v>
          </cell>
        </row>
        <row r="33">
          <cell r="A33">
            <v>355</v>
          </cell>
          <cell r="B33">
            <v>577</v>
          </cell>
          <cell r="C33">
            <v>4039</v>
          </cell>
          <cell r="D33">
            <v>110</v>
          </cell>
          <cell r="E33">
            <v>95.1</v>
          </cell>
          <cell r="F33">
            <v>96.3</v>
          </cell>
          <cell r="G33">
            <v>96.6</v>
          </cell>
          <cell r="H33">
            <v>0.87</v>
          </cell>
          <cell r="I33">
            <v>0.88500000000000001</v>
          </cell>
          <cell r="J33">
            <v>7</v>
          </cell>
        </row>
        <row r="34">
          <cell r="A34">
            <v>400</v>
          </cell>
          <cell r="B34">
            <v>649</v>
          </cell>
          <cell r="C34">
            <v>4543</v>
          </cell>
          <cell r="D34">
            <v>110</v>
          </cell>
          <cell r="E34">
            <v>95.1</v>
          </cell>
          <cell r="F34">
            <v>96.3</v>
          </cell>
          <cell r="G34">
            <v>96.8</v>
          </cell>
          <cell r="H34">
            <v>0.87</v>
          </cell>
          <cell r="I34">
            <v>0.88500000000000001</v>
          </cell>
          <cell r="J34">
            <v>7</v>
          </cell>
        </row>
        <row r="35">
          <cell r="A35">
            <v>450</v>
          </cell>
          <cell r="B35">
            <v>730</v>
          </cell>
          <cell r="C35">
            <v>5110</v>
          </cell>
          <cell r="D35">
            <v>110</v>
          </cell>
          <cell r="E35">
            <v>95.1</v>
          </cell>
          <cell r="F35">
            <v>96.3</v>
          </cell>
          <cell r="G35">
            <v>96.8</v>
          </cell>
          <cell r="H35">
            <v>0.87</v>
          </cell>
          <cell r="I35">
            <v>0.88500000000000001</v>
          </cell>
          <cell r="J35">
            <v>7</v>
          </cell>
        </row>
        <row r="36">
          <cell r="A36">
            <v>500</v>
          </cell>
          <cell r="B36">
            <v>806</v>
          </cell>
          <cell r="C36">
            <v>5642</v>
          </cell>
          <cell r="D36">
            <v>100</v>
          </cell>
          <cell r="E36">
            <v>95.1</v>
          </cell>
          <cell r="F36">
            <v>96.3</v>
          </cell>
          <cell r="G36">
            <v>96.9</v>
          </cell>
          <cell r="H36">
            <v>0.875</v>
          </cell>
          <cell r="I36">
            <v>0.89</v>
          </cell>
          <cell r="J36">
            <v>7</v>
          </cell>
        </row>
        <row r="37">
          <cell r="A37">
            <v>600</v>
          </cell>
          <cell r="B37">
            <v>967</v>
          </cell>
          <cell r="C37">
            <v>6769</v>
          </cell>
          <cell r="D37">
            <v>100</v>
          </cell>
          <cell r="E37">
            <v>95.1</v>
          </cell>
          <cell r="F37">
            <v>96.3</v>
          </cell>
          <cell r="G37">
            <v>96.9</v>
          </cell>
          <cell r="H37">
            <v>0.875</v>
          </cell>
          <cell r="I37">
            <v>0.89</v>
          </cell>
          <cell r="J37">
            <v>7</v>
          </cell>
        </row>
        <row r="38">
          <cell r="A38">
            <v>601</v>
          </cell>
          <cell r="B38" t="str">
            <v>N/A</v>
          </cell>
          <cell r="C38" t="str">
            <v>N/A</v>
          </cell>
          <cell r="D38" t="str">
            <v>N/A</v>
          </cell>
          <cell r="E38" t="str">
            <v>N/A</v>
          </cell>
          <cell r="F38" t="str">
            <v>N/A</v>
          </cell>
          <cell r="G38" t="str">
            <v>N/A</v>
          </cell>
          <cell r="H38" t="str">
            <v>N/A</v>
          </cell>
          <cell r="I38" t="str">
            <v>N/A</v>
          </cell>
          <cell r="J38" t="str">
            <v>N/A</v>
          </cell>
        </row>
        <row r="43">
          <cell r="A43">
            <v>0.18</v>
          </cell>
          <cell r="B43">
            <v>0.34884057971014493</v>
          </cell>
          <cell r="C43">
            <v>1.2209420289855071</v>
          </cell>
          <cell r="D43">
            <v>258</v>
          </cell>
          <cell r="E43">
            <v>55.4</v>
          </cell>
          <cell r="F43">
            <v>61.2</v>
          </cell>
          <cell r="G43">
            <v>63.5</v>
          </cell>
          <cell r="H43">
            <v>0.629</v>
          </cell>
          <cell r="I43">
            <v>0.72699999999999998</v>
          </cell>
          <cell r="J43">
            <v>3.4999999999999996</v>
          </cell>
        </row>
        <row r="44">
          <cell r="A44">
            <v>0.37</v>
          </cell>
          <cell r="B44">
            <v>0.60144927536231885</v>
          </cell>
          <cell r="C44">
            <v>3.265869565217391</v>
          </cell>
          <cell r="D44">
            <v>358</v>
          </cell>
          <cell r="E44">
            <v>65.3</v>
          </cell>
          <cell r="F44">
            <v>71.3</v>
          </cell>
          <cell r="G44">
            <v>72.2</v>
          </cell>
          <cell r="H44">
            <v>0.55700000000000005</v>
          </cell>
          <cell r="I44">
            <v>0.65300000000000002</v>
          </cell>
          <cell r="J44">
            <v>5.43</v>
          </cell>
        </row>
        <row r="45">
          <cell r="A45">
            <v>0.55000000000000004</v>
          </cell>
          <cell r="B45">
            <v>0.88413043478260867</v>
          </cell>
          <cell r="C45">
            <v>4.1439855072463763</v>
          </cell>
          <cell r="D45">
            <v>261</v>
          </cell>
          <cell r="E45">
            <v>69.8</v>
          </cell>
          <cell r="F45">
            <v>73.8</v>
          </cell>
          <cell r="G45">
            <v>74.2</v>
          </cell>
          <cell r="H45">
            <v>0.65700000000000003</v>
          </cell>
          <cell r="I45">
            <v>0.752</v>
          </cell>
          <cell r="J45">
            <v>4.687074829931972</v>
          </cell>
        </row>
        <row r="46">
          <cell r="A46">
            <v>0.75</v>
          </cell>
          <cell r="B46">
            <v>1.1247101449275363</v>
          </cell>
          <cell r="C46">
            <v>5.6536231884057973</v>
          </cell>
          <cell r="D46">
            <v>301</v>
          </cell>
          <cell r="E46">
            <v>71.7</v>
          </cell>
          <cell r="F46">
            <v>75.8</v>
          </cell>
          <cell r="G46">
            <v>76</v>
          </cell>
          <cell r="H46">
            <v>0.65700000000000003</v>
          </cell>
          <cell r="I46">
            <v>0.751</v>
          </cell>
          <cell r="J46">
            <v>5.0267379679144382</v>
          </cell>
        </row>
        <row r="47">
          <cell r="A47">
            <v>1.1000000000000001</v>
          </cell>
          <cell r="B47">
            <v>1.5577536231884057</v>
          </cell>
          <cell r="C47">
            <v>7.9992753623188415</v>
          </cell>
          <cell r="D47">
            <v>210</v>
          </cell>
          <cell r="E47">
            <v>75.3</v>
          </cell>
          <cell r="F47">
            <v>78.5</v>
          </cell>
          <cell r="G47">
            <v>78.2</v>
          </cell>
          <cell r="H47">
            <v>0.72</v>
          </cell>
          <cell r="I47">
            <v>0.79900000000000004</v>
          </cell>
          <cell r="J47">
            <v>5.135135135135136</v>
          </cell>
        </row>
        <row r="48">
          <cell r="A48">
            <v>1.5</v>
          </cell>
          <cell r="B48">
            <v>1.9486956521739132</v>
          </cell>
          <cell r="C48">
            <v>11.607971014492755</v>
          </cell>
          <cell r="D48">
            <v>232</v>
          </cell>
          <cell r="E48">
            <v>74.900000000000006</v>
          </cell>
          <cell r="F48">
            <v>78</v>
          </cell>
          <cell r="G48">
            <v>78</v>
          </cell>
          <cell r="H48">
            <v>0.69899999999999995</v>
          </cell>
          <cell r="I48">
            <v>0.78800000000000003</v>
          </cell>
          <cell r="J48">
            <v>5.9567901234567904</v>
          </cell>
        </row>
        <row r="49">
          <cell r="A49">
            <v>2.2000000000000002</v>
          </cell>
          <cell r="B49">
            <v>2.7486231884057974</v>
          </cell>
          <cell r="C49">
            <v>17.021014492753626</v>
          </cell>
          <cell r="D49">
            <v>251</v>
          </cell>
          <cell r="E49">
            <v>82.4</v>
          </cell>
          <cell r="F49">
            <v>83.8</v>
          </cell>
          <cell r="G49">
            <v>82.9</v>
          </cell>
          <cell r="H49">
            <v>0.80200000000000005</v>
          </cell>
          <cell r="I49">
            <v>0.85199999999999998</v>
          </cell>
          <cell r="J49">
            <v>6.1925601750547044</v>
          </cell>
        </row>
        <row r="50">
          <cell r="A50">
            <v>3</v>
          </cell>
          <cell r="B50">
            <v>3.7109420289855071</v>
          </cell>
          <cell r="C50">
            <v>27.486231884057972</v>
          </cell>
          <cell r="D50">
            <v>293</v>
          </cell>
          <cell r="E50">
            <v>83.4</v>
          </cell>
          <cell r="F50">
            <v>85.3</v>
          </cell>
          <cell r="G50">
            <v>85</v>
          </cell>
          <cell r="H50">
            <v>0.755</v>
          </cell>
          <cell r="I50">
            <v>0.82399999999999995</v>
          </cell>
          <cell r="J50">
            <v>7.4068071312803898</v>
          </cell>
        </row>
        <row r="51">
          <cell r="A51">
            <v>4</v>
          </cell>
          <cell r="B51">
            <v>4.5950724637681155</v>
          </cell>
          <cell r="C51">
            <v>34.884057971014492</v>
          </cell>
          <cell r="D51">
            <v>238</v>
          </cell>
          <cell r="E51">
            <v>88.1</v>
          </cell>
          <cell r="F51">
            <v>89</v>
          </cell>
          <cell r="G51">
            <v>88.3</v>
          </cell>
          <cell r="H51">
            <v>0.79800000000000004</v>
          </cell>
          <cell r="I51">
            <v>0.84299999999999997</v>
          </cell>
          <cell r="J51">
            <v>7.5916230366492155</v>
          </cell>
        </row>
        <row r="52">
          <cell r="A52">
            <v>5.5</v>
          </cell>
          <cell r="B52">
            <v>6.2550724637681165</v>
          </cell>
          <cell r="C52">
            <v>48.717391304347828</v>
          </cell>
          <cell r="D52">
            <v>299</v>
          </cell>
          <cell r="E52">
            <v>88.7</v>
          </cell>
          <cell r="F52">
            <v>90</v>
          </cell>
          <cell r="G52">
            <v>89.8</v>
          </cell>
          <cell r="H52">
            <v>0.76900000000000002</v>
          </cell>
          <cell r="I52">
            <v>0.82699999999999996</v>
          </cell>
          <cell r="J52">
            <v>7.7884615384615383</v>
          </cell>
        </row>
        <row r="53">
          <cell r="A53">
            <v>7.5</v>
          </cell>
          <cell r="B53">
            <v>8.2398550724637669</v>
          </cell>
          <cell r="C53">
            <v>64.35507246376811</v>
          </cell>
          <cell r="D53">
            <v>299</v>
          </cell>
          <cell r="E53">
            <v>89.9</v>
          </cell>
          <cell r="F53">
            <v>90.7</v>
          </cell>
          <cell r="G53">
            <v>90.3</v>
          </cell>
          <cell r="H53">
            <v>0.81200000000000006</v>
          </cell>
          <cell r="I53">
            <v>0.84299999999999997</v>
          </cell>
          <cell r="J53">
            <v>7.8102189781021902</v>
          </cell>
        </row>
        <row r="54">
          <cell r="A54">
            <v>11</v>
          </cell>
          <cell r="B54">
            <v>11.607971014492755</v>
          </cell>
          <cell r="C54">
            <v>82.398550724637687</v>
          </cell>
          <cell r="D54">
            <v>247</v>
          </cell>
          <cell r="E54">
            <v>92</v>
          </cell>
          <cell r="F54">
            <v>92.5</v>
          </cell>
          <cell r="G54">
            <v>92.1</v>
          </cell>
          <cell r="H54">
            <v>0.84199999999999997</v>
          </cell>
          <cell r="I54">
            <v>0.878</v>
          </cell>
          <cell r="J54">
            <v>7.0984455958549217</v>
          </cell>
        </row>
        <row r="55">
          <cell r="A55">
            <v>15</v>
          </cell>
          <cell r="B55">
            <v>15.336956521739131</v>
          </cell>
          <cell r="C55">
            <v>111.86956521739131</v>
          </cell>
          <cell r="D55">
            <v>253</v>
          </cell>
          <cell r="E55">
            <v>92.6</v>
          </cell>
          <cell r="F55">
            <v>93</v>
          </cell>
          <cell r="G55">
            <v>92.6</v>
          </cell>
          <cell r="H55">
            <v>0.85399999999999998</v>
          </cell>
          <cell r="I55">
            <v>0.88100000000000001</v>
          </cell>
          <cell r="J55">
            <v>7.2941176470588243</v>
          </cell>
        </row>
        <row r="56">
          <cell r="A56">
            <v>18.5</v>
          </cell>
          <cell r="B56">
            <v>19.847826086956523</v>
          </cell>
          <cell r="C56">
            <v>147.95652173913044</v>
          </cell>
          <cell r="D56">
            <v>271</v>
          </cell>
          <cell r="E56">
            <v>93.1</v>
          </cell>
          <cell r="F56">
            <v>93.7</v>
          </cell>
          <cell r="G56">
            <v>93.5</v>
          </cell>
          <cell r="H56">
            <v>0.80500000000000005</v>
          </cell>
          <cell r="I56">
            <v>0.84299999999999997</v>
          </cell>
          <cell r="J56">
            <v>7.4545454545454541</v>
          </cell>
        </row>
        <row r="57">
          <cell r="A57">
            <v>22</v>
          </cell>
          <cell r="B57">
            <v>23.456521739130434</v>
          </cell>
          <cell r="C57">
            <v>169.00724637681159</v>
          </cell>
          <cell r="D57">
            <v>253</v>
          </cell>
          <cell r="E57">
            <v>93.7</v>
          </cell>
          <cell r="F57">
            <v>94.1</v>
          </cell>
          <cell r="G57">
            <v>93.6</v>
          </cell>
          <cell r="H57">
            <v>0.82099999999999995</v>
          </cell>
          <cell r="I57">
            <v>0.85299999999999998</v>
          </cell>
          <cell r="J57">
            <v>7.2051282051282053</v>
          </cell>
        </row>
        <row r="58">
          <cell r="A58">
            <v>30</v>
          </cell>
          <cell r="B58">
            <v>30.072463768115941</v>
          </cell>
          <cell r="C58">
            <v>233.96376811594203</v>
          </cell>
          <cell r="D58">
            <v>277</v>
          </cell>
          <cell r="E58">
            <v>94.4</v>
          </cell>
          <cell r="F58">
            <v>94.6</v>
          </cell>
          <cell r="G58">
            <v>94.3</v>
          </cell>
          <cell r="H58">
            <v>0.85699999999999998</v>
          </cell>
          <cell r="I58">
            <v>0.88200000000000001</v>
          </cell>
          <cell r="J58">
            <v>7.78</v>
          </cell>
        </row>
        <row r="59">
          <cell r="A59">
            <v>37</v>
          </cell>
          <cell r="B59">
            <v>38.673188405797099</v>
          </cell>
          <cell r="C59">
            <v>259.22463768115944</v>
          </cell>
          <cell r="D59">
            <v>217</v>
          </cell>
          <cell r="E59">
            <v>94</v>
          </cell>
          <cell r="F59">
            <v>94.7</v>
          </cell>
          <cell r="G59">
            <v>94.6</v>
          </cell>
          <cell r="H59">
            <v>0.82499999999999996</v>
          </cell>
          <cell r="I59">
            <v>0.85399999999999998</v>
          </cell>
          <cell r="J59">
            <v>6.7029548989113543</v>
          </cell>
        </row>
        <row r="60">
          <cell r="A60">
            <v>45</v>
          </cell>
          <cell r="B60">
            <v>46.612318840579711</v>
          </cell>
          <cell r="C60">
            <v>295.91304347826087</v>
          </cell>
          <cell r="D60">
            <v>211</v>
          </cell>
          <cell r="E60">
            <v>93.9</v>
          </cell>
          <cell r="F60">
            <v>94.6</v>
          </cell>
          <cell r="G60">
            <v>94.5</v>
          </cell>
          <cell r="H60">
            <v>0.81799999999999995</v>
          </cell>
          <cell r="I60">
            <v>0.85099999999999998</v>
          </cell>
          <cell r="J60">
            <v>6.3483870967741938</v>
          </cell>
        </row>
        <row r="61">
          <cell r="A61">
            <v>55</v>
          </cell>
          <cell r="B61">
            <v>56.47608695652174</v>
          </cell>
          <cell r="C61">
            <v>393.3478260869565</v>
          </cell>
          <cell r="D61">
            <v>236</v>
          </cell>
          <cell r="E61">
            <v>95</v>
          </cell>
          <cell r="F61">
            <v>95.4</v>
          </cell>
          <cell r="G61">
            <v>95.3</v>
          </cell>
          <cell r="H61">
            <v>0.84299999999999997</v>
          </cell>
          <cell r="I61">
            <v>0.87</v>
          </cell>
          <cell r="J61">
            <v>6.9648562300319483</v>
          </cell>
        </row>
        <row r="62">
          <cell r="A62">
            <v>75</v>
          </cell>
          <cell r="B62">
            <v>75.181159420289859</v>
          </cell>
          <cell r="C62">
            <v>478.75362318840581</v>
          </cell>
          <cell r="D62">
            <v>224</v>
          </cell>
          <cell r="E62">
            <v>95.5</v>
          </cell>
          <cell r="F62">
            <v>95.6</v>
          </cell>
          <cell r="G62">
            <v>95.3</v>
          </cell>
          <cell r="H62">
            <v>0.84799999999999998</v>
          </cell>
          <cell r="I62">
            <v>0.874</v>
          </cell>
          <cell r="J62">
            <v>6.3679999999999994</v>
          </cell>
        </row>
        <row r="63">
          <cell r="A63">
            <v>90</v>
          </cell>
          <cell r="B63">
            <v>89.615942028985515</v>
          </cell>
          <cell r="C63">
            <v>654.97826086956525</v>
          </cell>
          <cell r="D63">
            <v>208</v>
          </cell>
          <cell r="E63">
            <v>94.8</v>
          </cell>
          <cell r="F63">
            <v>95.6</v>
          </cell>
          <cell r="G63">
            <v>95.7</v>
          </cell>
          <cell r="H63">
            <v>0.85099999999999998</v>
          </cell>
          <cell r="I63">
            <v>0.877</v>
          </cell>
          <cell r="J63">
            <v>7.3087248322147644</v>
          </cell>
        </row>
        <row r="64">
          <cell r="A64">
            <v>110</v>
          </cell>
          <cell r="B64">
            <v>108.86231884057972</v>
          </cell>
          <cell r="C64">
            <v>788.5</v>
          </cell>
          <cell r="D64">
            <v>208</v>
          </cell>
          <cell r="E64">
            <v>95.5</v>
          </cell>
          <cell r="F64">
            <v>96</v>
          </cell>
          <cell r="G64">
            <v>95.9</v>
          </cell>
          <cell r="H64">
            <v>0.86</v>
          </cell>
          <cell r="I64">
            <v>0.88300000000000001</v>
          </cell>
          <cell r="J64">
            <v>7.2430939226519335</v>
          </cell>
        </row>
        <row r="65">
          <cell r="A65">
            <v>132</v>
          </cell>
          <cell r="B65">
            <v>128.10869565217391</v>
          </cell>
          <cell r="C65">
            <v>881.72463768115938</v>
          </cell>
          <cell r="D65">
            <v>187</v>
          </cell>
          <cell r="E65">
            <v>96.2</v>
          </cell>
          <cell r="F65">
            <v>96.4</v>
          </cell>
          <cell r="G65">
            <v>96.1</v>
          </cell>
          <cell r="H65">
            <v>0.89</v>
          </cell>
          <cell r="I65">
            <v>0.89800000000000002</v>
          </cell>
          <cell r="J65">
            <v>6.882629107981221</v>
          </cell>
        </row>
        <row r="66">
          <cell r="A66">
            <v>150</v>
          </cell>
          <cell r="B66">
            <v>144.34782608695653</v>
          </cell>
          <cell r="C66">
            <v>1035.695652173913</v>
          </cell>
          <cell r="D66">
            <v>195</v>
          </cell>
          <cell r="E66">
            <v>95.7</v>
          </cell>
          <cell r="F66">
            <v>96.1</v>
          </cell>
          <cell r="G66">
            <v>96</v>
          </cell>
          <cell r="H66">
            <v>0.89300000000000002</v>
          </cell>
          <cell r="I66">
            <v>0.90500000000000003</v>
          </cell>
          <cell r="J66">
            <v>7.1749999999999989</v>
          </cell>
        </row>
        <row r="67">
          <cell r="A67">
            <v>185</v>
          </cell>
          <cell r="B67">
            <v>174.42028985507247</v>
          </cell>
          <cell r="C67">
            <v>1098.2463768115942</v>
          </cell>
          <cell r="D67">
            <v>141</v>
          </cell>
          <cell r="E67">
            <v>96.3</v>
          </cell>
          <cell r="F67">
            <v>96.6</v>
          </cell>
          <cell r="G67">
            <v>96.4</v>
          </cell>
          <cell r="H67">
            <v>0.91600000000000004</v>
          </cell>
          <cell r="I67">
            <v>0.92300000000000004</v>
          </cell>
          <cell r="J67">
            <v>6.296551724137931</v>
          </cell>
        </row>
        <row r="68">
          <cell r="A68">
            <v>220</v>
          </cell>
          <cell r="B68">
            <v>206.89855072463769</v>
          </cell>
          <cell r="C68">
            <v>1339.427536231884</v>
          </cell>
          <cell r="D68">
            <v>118</v>
          </cell>
          <cell r="E68">
            <v>95.4</v>
          </cell>
          <cell r="F68">
            <v>96</v>
          </cell>
          <cell r="G68">
            <v>96</v>
          </cell>
          <cell r="H68">
            <v>0.91</v>
          </cell>
          <cell r="I68">
            <v>0.92500000000000004</v>
          </cell>
          <cell r="J68">
            <v>6.4738372093023253</v>
          </cell>
        </row>
        <row r="69">
          <cell r="A69">
            <v>250</v>
          </cell>
          <cell r="B69">
            <v>233.96376811594203</v>
          </cell>
          <cell r="C69">
            <v>1571.5869565217392</v>
          </cell>
          <cell r="D69">
            <v>119</v>
          </cell>
          <cell r="E69">
            <v>95.5</v>
          </cell>
          <cell r="F69">
            <v>96.1</v>
          </cell>
          <cell r="G69">
            <v>96</v>
          </cell>
          <cell r="H69">
            <v>0.91600000000000004</v>
          </cell>
          <cell r="I69">
            <v>0.92600000000000005</v>
          </cell>
          <cell r="J69">
            <v>6.7172236503856046</v>
          </cell>
        </row>
        <row r="70">
          <cell r="A70">
            <v>280</v>
          </cell>
          <cell r="B70">
            <v>273.65942028985506</v>
          </cell>
          <cell r="C70">
            <v>1909.6014492753623</v>
          </cell>
          <cell r="D70">
            <v>110</v>
          </cell>
          <cell r="E70">
            <v>94.8</v>
          </cell>
          <cell r="F70">
            <v>96</v>
          </cell>
          <cell r="G70">
            <v>96.6</v>
          </cell>
          <cell r="H70">
            <v>0.87</v>
          </cell>
          <cell r="I70">
            <v>0.88500000000000001</v>
          </cell>
          <cell r="J70">
            <v>6.9780219780219781</v>
          </cell>
        </row>
        <row r="71">
          <cell r="A71">
            <v>315</v>
          </cell>
          <cell r="B71">
            <v>301.32608695652175</v>
          </cell>
          <cell r="C71">
            <v>2028.0869565217392</v>
          </cell>
          <cell r="D71">
            <v>194</v>
          </cell>
          <cell r="E71">
            <v>96.4</v>
          </cell>
          <cell r="F71">
            <v>96.6</v>
          </cell>
          <cell r="G71">
            <v>96.6</v>
          </cell>
          <cell r="H71">
            <v>0.90600000000000003</v>
          </cell>
          <cell r="I71">
            <v>0.92</v>
          </cell>
          <cell r="J71">
            <v>6.7305389221556888</v>
          </cell>
        </row>
        <row r="72">
          <cell r="A72">
            <v>355</v>
          </cell>
          <cell r="B72">
            <v>347.036231884058</v>
          </cell>
          <cell r="C72">
            <v>2429.253623188406</v>
          </cell>
          <cell r="D72">
            <v>110</v>
          </cell>
          <cell r="E72">
            <v>95.1</v>
          </cell>
          <cell r="F72">
            <v>96.3</v>
          </cell>
          <cell r="G72">
            <v>96.6</v>
          </cell>
          <cell r="H72">
            <v>0.87</v>
          </cell>
          <cell r="I72">
            <v>0.88500000000000001</v>
          </cell>
          <cell r="J72">
            <v>7</v>
          </cell>
        </row>
        <row r="73">
          <cell r="A73">
            <v>400</v>
          </cell>
          <cell r="B73">
            <v>390.34057971014494</v>
          </cell>
          <cell r="C73">
            <v>2732.3840579710145</v>
          </cell>
          <cell r="D73">
            <v>110</v>
          </cell>
          <cell r="E73">
            <v>95.1</v>
          </cell>
          <cell r="F73">
            <v>96.3</v>
          </cell>
          <cell r="G73">
            <v>96.8</v>
          </cell>
          <cell r="H73">
            <v>0.87</v>
          </cell>
          <cell r="I73">
            <v>0.88500000000000001</v>
          </cell>
          <cell r="J73">
            <v>7</v>
          </cell>
        </row>
        <row r="74">
          <cell r="A74">
            <v>450</v>
          </cell>
          <cell r="B74">
            <v>439.05797101449275</v>
          </cell>
          <cell r="C74">
            <v>3073.4057971014495</v>
          </cell>
          <cell r="D74">
            <v>110</v>
          </cell>
          <cell r="E74">
            <v>95.1</v>
          </cell>
          <cell r="F74">
            <v>96.3</v>
          </cell>
          <cell r="G74">
            <v>96.8</v>
          </cell>
          <cell r="H74">
            <v>0.87</v>
          </cell>
          <cell r="I74">
            <v>0.88500000000000001</v>
          </cell>
          <cell r="J74">
            <v>7.0000000000000009</v>
          </cell>
        </row>
        <row r="75">
          <cell r="A75">
            <v>500</v>
          </cell>
          <cell r="B75">
            <v>484.768115942029</v>
          </cell>
          <cell r="C75">
            <v>3393.376811594203</v>
          </cell>
          <cell r="D75">
            <v>100</v>
          </cell>
          <cell r="E75">
            <v>95.1</v>
          </cell>
          <cell r="F75">
            <v>96.3</v>
          </cell>
          <cell r="G75">
            <v>96.9</v>
          </cell>
          <cell r="H75">
            <v>0.875</v>
          </cell>
          <cell r="I75">
            <v>0.89</v>
          </cell>
          <cell r="J75">
            <v>7</v>
          </cell>
        </row>
        <row r="76">
          <cell r="A76">
            <v>600</v>
          </cell>
          <cell r="B76">
            <v>581.6</v>
          </cell>
          <cell r="C76">
            <v>4071.21</v>
          </cell>
          <cell r="D76">
            <v>100</v>
          </cell>
          <cell r="E76">
            <v>95.1</v>
          </cell>
          <cell r="F76">
            <v>96.3</v>
          </cell>
          <cell r="G76">
            <v>96.9</v>
          </cell>
          <cell r="H76">
            <v>0.875</v>
          </cell>
          <cell r="I76">
            <v>0.89</v>
          </cell>
          <cell r="J76">
            <v>7.0000171939477305</v>
          </cell>
        </row>
        <row r="77">
          <cell r="A77">
            <v>601</v>
          </cell>
          <cell r="B77" t="str">
            <v>N/A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</row>
        <row r="82">
          <cell r="A82">
            <v>355</v>
          </cell>
          <cell r="B82">
            <v>73</v>
          </cell>
          <cell r="C82">
            <v>511</v>
          </cell>
          <cell r="D82">
            <v>110</v>
          </cell>
          <cell r="E82">
            <v>94</v>
          </cell>
          <cell r="F82">
            <v>95.3</v>
          </cell>
          <cell r="G82">
            <v>95.6</v>
          </cell>
          <cell r="H82">
            <v>0.85499999999999998</v>
          </cell>
          <cell r="I82">
            <v>0.89</v>
          </cell>
          <cell r="J82">
            <v>7</v>
          </cell>
        </row>
        <row r="83">
          <cell r="A83">
            <v>400</v>
          </cell>
          <cell r="B83">
            <v>82.2</v>
          </cell>
          <cell r="C83">
            <v>575</v>
          </cell>
          <cell r="D83">
            <v>110</v>
          </cell>
          <cell r="E83">
            <v>94</v>
          </cell>
          <cell r="F83">
            <v>95.5</v>
          </cell>
          <cell r="G83">
            <v>95.7</v>
          </cell>
          <cell r="H83">
            <v>0.86</v>
          </cell>
          <cell r="I83">
            <v>0.89</v>
          </cell>
          <cell r="J83">
            <v>6.995133819951338</v>
          </cell>
        </row>
        <row r="84">
          <cell r="A84">
            <v>450</v>
          </cell>
          <cell r="B84">
            <v>92.1</v>
          </cell>
          <cell r="C84">
            <v>644</v>
          </cell>
          <cell r="D84">
            <v>110</v>
          </cell>
          <cell r="E84">
            <v>94</v>
          </cell>
          <cell r="F84">
            <v>95.5</v>
          </cell>
          <cell r="G84">
            <v>95.7</v>
          </cell>
          <cell r="H84">
            <v>0.86</v>
          </cell>
          <cell r="I84">
            <v>0.89</v>
          </cell>
          <cell r="J84">
            <v>6.9923995656894684</v>
          </cell>
        </row>
        <row r="85">
          <cell r="A85">
            <v>500</v>
          </cell>
          <cell r="B85">
            <v>102</v>
          </cell>
          <cell r="C85">
            <v>711</v>
          </cell>
          <cell r="D85">
            <v>110</v>
          </cell>
          <cell r="E85">
            <v>93.5</v>
          </cell>
          <cell r="F85">
            <v>95.7</v>
          </cell>
          <cell r="G85">
            <v>96</v>
          </cell>
          <cell r="H85">
            <v>0.87</v>
          </cell>
          <cell r="I85">
            <v>0.89500000000000002</v>
          </cell>
          <cell r="J85">
            <v>6.9705882352941178</v>
          </cell>
        </row>
        <row r="86">
          <cell r="A86">
            <v>600</v>
          </cell>
          <cell r="B86">
            <v>121</v>
          </cell>
          <cell r="C86">
            <v>847</v>
          </cell>
          <cell r="D86">
            <v>110</v>
          </cell>
          <cell r="E86">
            <v>94.8</v>
          </cell>
          <cell r="F86">
            <v>96.1</v>
          </cell>
          <cell r="G86">
            <v>96.4</v>
          </cell>
          <cell r="H86">
            <v>0.87</v>
          </cell>
          <cell r="I86">
            <v>0.89500000000000002</v>
          </cell>
          <cell r="J86">
            <v>7</v>
          </cell>
        </row>
        <row r="87">
          <cell r="A87">
            <v>710</v>
          </cell>
          <cell r="B87">
            <v>145</v>
          </cell>
          <cell r="C87">
            <v>1015</v>
          </cell>
          <cell r="D87">
            <v>90</v>
          </cell>
          <cell r="E87">
            <v>94.4</v>
          </cell>
          <cell r="F87">
            <v>95.4</v>
          </cell>
          <cell r="G87">
            <v>96.4</v>
          </cell>
          <cell r="H87">
            <v>0.87</v>
          </cell>
          <cell r="I87">
            <v>0.88500000000000001</v>
          </cell>
          <cell r="J87">
            <v>7</v>
          </cell>
        </row>
        <row r="88">
          <cell r="A88">
            <v>850</v>
          </cell>
          <cell r="B88">
            <v>175</v>
          </cell>
          <cell r="C88">
            <v>1225</v>
          </cell>
          <cell r="D88">
            <v>85</v>
          </cell>
          <cell r="E88">
            <v>94</v>
          </cell>
          <cell r="F88">
            <v>95.4</v>
          </cell>
          <cell r="G88">
            <v>96.4</v>
          </cell>
          <cell r="H88">
            <v>0.87</v>
          </cell>
          <cell r="I88">
            <v>0.88500000000000001</v>
          </cell>
          <cell r="J88">
            <v>7</v>
          </cell>
        </row>
        <row r="89">
          <cell r="A89">
            <v>1000</v>
          </cell>
          <cell r="B89">
            <v>205</v>
          </cell>
          <cell r="C89">
            <v>1435</v>
          </cell>
          <cell r="D89">
            <v>80</v>
          </cell>
          <cell r="E89">
            <v>93.5</v>
          </cell>
          <cell r="F89">
            <v>95.5</v>
          </cell>
          <cell r="G89">
            <v>96.5</v>
          </cell>
          <cell r="H89">
            <v>0.87</v>
          </cell>
          <cell r="I89">
            <v>0.88500000000000001</v>
          </cell>
          <cell r="J89">
            <v>7</v>
          </cell>
        </row>
        <row r="90">
          <cell r="A90">
            <v>1250</v>
          </cell>
          <cell r="B90">
            <v>260</v>
          </cell>
          <cell r="C90">
            <v>1820</v>
          </cell>
          <cell r="D90">
            <v>83</v>
          </cell>
          <cell r="E90">
            <v>93.5</v>
          </cell>
          <cell r="F90">
            <v>95.5</v>
          </cell>
          <cell r="G90">
            <v>96.5</v>
          </cell>
          <cell r="H90">
            <v>0.87</v>
          </cell>
          <cell r="I90">
            <v>0.88500000000000001</v>
          </cell>
          <cell r="J90">
            <v>7</v>
          </cell>
        </row>
        <row r="91">
          <cell r="A91">
            <v>1400</v>
          </cell>
          <cell r="B91">
            <v>295</v>
          </cell>
          <cell r="C91">
            <v>2040</v>
          </cell>
          <cell r="D91">
            <v>85</v>
          </cell>
          <cell r="E91">
            <v>92.6</v>
          </cell>
          <cell r="F91">
            <v>94.6</v>
          </cell>
          <cell r="G91">
            <v>96.2</v>
          </cell>
          <cell r="H91">
            <v>0.84499999999999997</v>
          </cell>
          <cell r="I91">
            <v>0.86499999999999999</v>
          </cell>
          <cell r="J91">
            <v>6.9152542372881358</v>
          </cell>
        </row>
        <row r="92">
          <cell r="A92">
            <v>1500</v>
          </cell>
          <cell r="B92">
            <v>317</v>
          </cell>
          <cell r="C92">
            <v>2219</v>
          </cell>
          <cell r="D92">
            <v>82</v>
          </cell>
          <cell r="E92">
            <v>93.5</v>
          </cell>
          <cell r="F92">
            <v>95.7</v>
          </cell>
          <cell r="G92">
            <v>96.2</v>
          </cell>
          <cell r="H92">
            <v>0.84</v>
          </cell>
          <cell r="I92">
            <v>0.86</v>
          </cell>
          <cell r="J92">
            <v>7</v>
          </cell>
        </row>
        <row r="93">
          <cell r="A93">
            <v>2000</v>
          </cell>
          <cell r="B93">
            <v>428</v>
          </cell>
          <cell r="C93">
            <v>2996</v>
          </cell>
          <cell r="D93">
            <v>78</v>
          </cell>
          <cell r="E93">
            <v>93.5</v>
          </cell>
          <cell r="F93">
            <v>95.7</v>
          </cell>
          <cell r="G93">
            <v>96.2</v>
          </cell>
          <cell r="H93">
            <v>0.83</v>
          </cell>
          <cell r="I93">
            <v>0.85</v>
          </cell>
          <cell r="J93">
            <v>7</v>
          </cell>
        </row>
        <row r="94">
          <cell r="A94">
            <v>2300</v>
          </cell>
          <cell r="B94">
            <v>500</v>
          </cell>
          <cell r="C94">
            <v>3500</v>
          </cell>
          <cell r="D94">
            <v>75</v>
          </cell>
          <cell r="E94">
            <v>93.5</v>
          </cell>
          <cell r="F94">
            <v>95.7</v>
          </cell>
          <cell r="G94">
            <v>96.1</v>
          </cell>
          <cell r="H94">
            <v>0.82</v>
          </cell>
          <cell r="I94">
            <v>0.84</v>
          </cell>
          <cell r="J94">
            <v>7</v>
          </cell>
        </row>
        <row r="95">
          <cell r="A95">
            <v>2301</v>
          </cell>
          <cell r="B95" t="str">
            <v>N/A</v>
          </cell>
          <cell r="C95" t="str">
            <v>N/A</v>
          </cell>
          <cell r="D95" t="str">
            <v>N/A</v>
          </cell>
          <cell r="E95" t="str">
            <v>N/A</v>
          </cell>
          <cell r="F95" t="str">
            <v>N/A</v>
          </cell>
          <cell r="G95" t="str">
            <v>N/A</v>
          </cell>
          <cell r="H95" t="str">
            <v>N/A</v>
          </cell>
          <cell r="I95" t="str">
            <v>N/A</v>
          </cell>
          <cell r="J95" t="str">
            <v>N/A</v>
          </cell>
        </row>
        <row r="100">
          <cell r="A100">
            <v>355</v>
          </cell>
          <cell r="B100">
            <v>36.5</v>
          </cell>
          <cell r="C100">
            <v>255.5</v>
          </cell>
          <cell r="D100">
            <v>110</v>
          </cell>
          <cell r="E100">
            <v>94</v>
          </cell>
          <cell r="F100">
            <v>95.3</v>
          </cell>
          <cell r="G100">
            <v>95.6</v>
          </cell>
          <cell r="H100">
            <v>0.85499999999999998</v>
          </cell>
          <cell r="I100">
            <v>0.89</v>
          </cell>
          <cell r="J100">
            <v>7</v>
          </cell>
        </row>
        <row r="101">
          <cell r="A101">
            <v>400</v>
          </cell>
          <cell r="B101">
            <v>41.1</v>
          </cell>
          <cell r="C101">
            <v>287.5</v>
          </cell>
          <cell r="D101">
            <v>110</v>
          </cell>
          <cell r="E101">
            <v>94</v>
          </cell>
          <cell r="F101">
            <v>95.5</v>
          </cell>
          <cell r="G101">
            <v>95.7</v>
          </cell>
          <cell r="H101">
            <v>0.86</v>
          </cell>
          <cell r="I101">
            <v>0.89</v>
          </cell>
          <cell r="J101">
            <v>6.995133819951338</v>
          </cell>
        </row>
        <row r="102">
          <cell r="A102">
            <v>450</v>
          </cell>
          <cell r="B102">
            <v>46.05</v>
          </cell>
          <cell r="C102">
            <v>322</v>
          </cell>
          <cell r="D102">
            <v>110</v>
          </cell>
          <cell r="E102">
            <v>94</v>
          </cell>
          <cell r="F102">
            <v>95.5</v>
          </cell>
          <cell r="G102">
            <v>95.7</v>
          </cell>
          <cell r="H102">
            <v>0.86</v>
          </cell>
          <cell r="I102">
            <v>0.89</v>
          </cell>
          <cell r="J102">
            <v>6.9923995656894684</v>
          </cell>
        </row>
        <row r="103">
          <cell r="A103">
            <v>500</v>
          </cell>
          <cell r="B103">
            <v>51</v>
          </cell>
          <cell r="C103">
            <v>355.5</v>
          </cell>
          <cell r="D103">
            <v>110</v>
          </cell>
          <cell r="E103">
            <v>93.5</v>
          </cell>
          <cell r="F103">
            <v>95.7</v>
          </cell>
          <cell r="G103">
            <v>96</v>
          </cell>
          <cell r="H103">
            <v>0.87</v>
          </cell>
          <cell r="I103">
            <v>0.89500000000000002</v>
          </cell>
          <cell r="J103">
            <v>6.9705882352941178</v>
          </cell>
        </row>
        <row r="104">
          <cell r="A104">
            <v>600</v>
          </cell>
          <cell r="B104">
            <v>60.5</v>
          </cell>
          <cell r="C104">
            <v>423.5</v>
          </cell>
          <cell r="D104">
            <v>110</v>
          </cell>
          <cell r="E104">
            <v>94.8</v>
          </cell>
          <cell r="F104">
            <v>96.1</v>
          </cell>
          <cell r="G104">
            <v>96.4</v>
          </cell>
          <cell r="H104">
            <v>0.87</v>
          </cell>
          <cell r="I104">
            <v>0.89500000000000002</v>
          </cell>
          <cell r="J104">
            <v>7</v>
          </cell>
        </row>
        <row r="105">
          <cell r="A105">
            <v>710</v>
          </cell>
          <cell r="B105">
            <v>72.5</v>
          </cell>
          <cell r="C105">
            <v>507.5</v>
          </cell>
          <cell r="D105">
            <v>90</v>
          </cell>
          <cell r="E105">
            <v>94.4</v>
          </cell>
          <cell r="F105">
            <v>95.4</v>
          </cell>
          <cell r="G105">
            <v>96.4</v>
          </cell>
          <cell r="H105">
            <v>0.87</v>
          </cell>
          <cell r="I105">
            <v>0.88500000000000001</v>
          </cell>
          <cell r="J105">
            <v>7</v>
          </cell>
        </row>
        <row r="106">
          <cell r="A106">
            <v>850</v>
          </cell>
          <cell r="B106">
            <v>87.5</v>
          </cell>
          <cell r="C106">
            <v>612.5</v>
          </cell>
          <cell r="D106">
            <v>85</v>
          </cell>
          <cell r="E106">
            <v>94</v>
          </cell>
          <cell r="F106">
            <v>95.4</v>
          </cell>
          <cell r="G106">
            <v>96.4</v>
          </cell>
          <cell r="H106">
            <v>0.87</v>
          </cell>
          <cell r="I106">
            <v>0.88500000000000001</v>
          </cell>
          <cell r="J106">
            <v>7</v>
          </cell>
        </row>
        <row r="107">
          <cell r="A107">
            <v>1000</v>
          </cell>
          <cell r="B107">
            <v>102.5</v>
          </cell>
          <cell r="C107">
            <v>717.5</v>
          </cell>
          <cell r="D107">
            <v>80</v>
          </cell>
          <cell r="E107">
            <v>93.5</v>
          </cell>
          <cell r="F107">
            <v>95.5</v>
          </cell>
          <cell r="G107">
            <v>96.5</v>
          </cell>
          <cell r="H107">
            <v>0.87</v>
          </cell>
          <cell r="I107">
            <v>0.88500000000000001</v>
          </cell>
          <cell r="J107">
            <v>7</v>
          </cell>
        </row>
        <row r="108">
          <cell r="A108">
            <v>1250</v>
          </cell>
          <cell r="B108">
            <v>130</v>
          </cell>
          <cell r="C108">
            <v>910</v>
          </cell>
          <cell r="D108">
            <v>83</v>
          </cell>
          <cell r="E108">
            <v>93.5</v>
          </cell>
          <cell r="F108">
            <v>95.5</v>
          </cell>
          <cell r="G108">
            <v>96.5</v>
          </cell>
          <cell r="H108">
            <v>0.87</v>
          </cell>
          <cell r="I108">
            <v>0.88500000000000001</v>
          </cell>
          <cell r="J108">
            <v>7</v>
          </cell>
        </row>
        <row r="109">
          <cell r="A109">
            <v>1400</v>
          </cell>
          <cell r="B109">
            <v>147.5</v>
          </cell>
          <cell r="C109">
            <v>1020</v>
          </cell>
          <cell r="D109">
            <v>85</v>
          </cell>
          <cell r="E109">
            <v>92.6</v>
          </cell>
          <cell r="F109">
            <v>94.6</v>
          </cell>
          <cell r="G109">
            <v>96.2</v>
          </cell>
          <cell r="H109">
            <v>0.84499999999999997</v>
          </cell>
          <cell r="I109">
            <v>0.86499999999999999</v>
          </cell>
          <cell r="J109">
            <v>6.9152542372881358</v>
          </cell>
        </row>
        <row r="110">
          <cell r="A110">
            <v>1500</v>
          </cell>
          <cell r="B110">
            <v>158.5</v>
          </cell>
          <cell r="C110">
            <v>1109.5</v>
          </cell>
          <cell r="D110">
            <v>82</v>
          </cell>
          <cell r="E110">
            <v>93.5</v>
          </cell>
          <cell r="F110">
            <v>95.7</v>
          </cell>
          <cell r="G110">
            <v>96.2</v>
          </cell>
          <cell r="H110">
            <v>0.84</v>
          </cell>
          <cell r="I110">
            <v>0.86</v>
          </cell>
          <cell r="J110">
            <v>7</v>
          </cell>
        </row>
        <row r="111">
          <cell r="A111">
            <v>2000</v>
          </cell>
          <cell r="B111">
            <v>214</v>
          </cell>
          <cell r="C111">
            <v>1498</v>
          </cell>
          <cell r="D111">
            <v>78</v>
          </cell>
          <cell r="E111">
            <v>93.5</v>
          </cell>
          <cell r="F111">
            <v>95.7</v>
          </cell>
          <cell r="G111">
            <v>96.2</v>
          </cell>
          <cell r="H111">
            <v>0.83</v>
          </cell>
          <cell r="I111">
            <v>0.85</v>
          </cell>
          <cell r="J111">
            <v>7</v>
          </cell>
        </row>
        <row r="112">
          <cell r="A112">
            <v>2300</v>
          </cell>
          <cell r="B112">
            <v>250</v>
          </cell>
          <cell r="C112">
            <v>1750</v>
          </cell>
          <cell r="D112">
            <v>75</v>
          </cell>
          <cell r="E112">
            <v>93.5</v>
          </cell>
          <cell r="F112">
            <v>95.7</v>
          </cell>
          <cell r="G112">
            <v>96.1</v>
          </cell>
          <cell r="H112">
            <v>0.82</v>
          </cell>
          <cell r="I112">
            <v>0.84</v>
          </cell>
          <cell r="J112">
            <v>7</v>
          </cell>
        </row>
        <row r="113">
          <cell r="A113">
            <v>3100</v>
          </cell>
          <cell r="B113">
            <v>324.37759795705381</v>
          </cell>
          <cell r="C113">
            <v>2270.6431856993768</v>
          </cell>
          <cell r="D113">
            <v>75</v>
          </cell>
          <cell r="E113">
            <v>93.5</v>
          </cell>
          <cell r="F113">
            <v>95.7</v>
          </cell>
          <cell r="G113">
            <v>96.1</v>
          </cell>
          <cell r="H113">
            <v>0.82</v>
          </cell>
          <cell r="I113">
            <v>0.84</v>
          </cell>
          <cell r="J113">
            <v>7</v>
          </cell>
        </row>
        <row r="114">
          <cell r="A114">
            <v>3101</v>
          </cell>
          <cell r="B114" t="str">
            <v>N/A</v>
          </cell>
          <cell r="C114" t="str">
            <v>N/A</v>
          </cell>
          <cell r="D114" t="str">
            <v>N/A</v>
          </cell>
          <cell r="E114" t="str">
            <v>N/A</v>
          </cell>
          <cell r="F114" t="str">
            <v>N/A</v>
          </cell>
          <cell r="G114" t="str">
            <v>N/A</v>
          </cell>
          <cell r="H114" t="str">
            <v>N/A</v>
          </cell>
          <cell r="I114" t="str">
            <v>N/A</v>
          </cell>
          <cell r="J114" t="str">
            <v>N/A</v>
          </cell>
        </row>
        <row r="119">
          <cell r="A119">
            <v>355</v>
          </cell>
          <cell r="B119">
            <v>22.7</v>
          </cell>
          <cell r="C119">
            <v>157</v>
          </cell>
          <cell r="D119">
            <v>80</v>
          </cell>
          <cell r="E119">
            <v>92.3</v>
          </cell>
          <cell r="F119">
            <v>94.8</v>
          </cell>
          <cell r="G119">
            <v>95.3</v>
          </cell>
          <cell r="H119">
            <v>0.83499999999999996</v>
          </cell>
          <cell r="I119">
            <v>0.86499999999999999</v>
          </cell>
          <cell r="J119">
            <v>6.9162995594713657</v>
          </cell>
        </row>
        <row r="120">
          <cell r="A120">
            <v>400</v>
          </cell>
          <cell r="B120">
            <v>25.6</v>
          </cell>
          <cell r="C120">
            <v>177</v>
          </cell>
          <cell r="D120">
            <v>80</v>
          </cell>
          <cell r="E120">
            <v>92.3</v>
          </cell>
          <cell r="F120">
            <v>94.8</v>
          </cell>
          <cell r="G120">
            <v>95.3</v>
          </cell>
          <cell r="H120">
            <v>0.83499999999999996</v>
          </cell>
          <cell r="I120">
            <v>0.86499999999999999</v>
          </cell>
          <cell r="J120">
            <v>6.9140625</v>
          </cell>
        </row>
        <row r="121">
          <cell r="A121">
            <v>450</v>
          </cell>
          <cell r="B121">
            <v>28.7</v>
          </cell>
          <cell r="C121">
            <v>199</v>
          </cell>
          <cell r="D121">
            <v>88</v>
          </cell>
          <cell r="E121">
            <v>92.8</v>
          </cell>
          <cell r="F121">
            <v>95.1</v>
          </cell>
          <cell r="G121">
            <v>95.5</v>
          </cell>
          <cell r="H121">
            <v>0.83499999999999996</v>
          </cell>
          <cell r="I121">
            <v>0.86499999999999999</v>
          </cell>
          <cell r="J121">
            <v>6.9337979094076658</v>
          </cell>
        </row>
        <row r="122">
          <cell r="A122">
            <v>500</v>
          </cell>
          <cell r="B122">
            <v>31.6</v>
          </cell>
          <cell r="C122">
            <v>221</v>
          </cell>
          <cell r="D122">
            <v>80</v>
          </cell>
          <cell r="E122">
            <v>92.8</v>
          </cell>
          <cell r="F122">
            <v>95.1</v>
          </cell>
          <cell r="G122">
            <v>95.8</v>
          </cell>
          <cell r="H122">
            <v>0.84</v>
          </cell>
          <cell r="I122">
            <v>0.87</v>
          </cell>
          <cell r="J122">
            <v>6.9936708860759493</v>
          </cell>
        </row>
        <row r="123">
          <cell r="A123">
            <v>600</v>
          </cell>
          <cell r="B123">
            <v>37.799999999999997</v>
          </cell>
          <cell r="C123">
            <v>260</v>
          </cell>
          <cell r="D123">
            <v>80</v>
          </cell>
          <cell r="E123">
            <v>94.4</v>
          </cell>
          <cell r="F123">
            <v>95</v>
          </cell>
          <cell r="G123">
            <v>95.4</v>
          </cell>
          <cell r="H123">
            <v>0.85499999999999998</v>
          </cell>
          <cell r="I123">
            <v>0.875</v>
          </cell>
          <cell r="J123">
            <v>6.878306878306879</v>
          </cell>
        </row>
        <row r="124">
          <cell r="A124">
            <v>850</v>
          </cell>
          <cell r="B124">
            <v>54.5</v>
          </cell>
          <cell r="C124" t="str">
            <v>Starter Dependant</v>
          </cell>
          <cell r="D124" t="str">
            <v>Starter Dependant</v>
          </cell>
          <cell r="E124">
            <v>92.5</v>
          </cell>
          <cell r="F124">
            <v>94.3</v>
          </cell>
          <cell r="G124">
            <v>95</v>
          </cell>
          <cell r="H124">
            <v>0.83799999999999997</v>
          </cell>
          <cell r="I124">
            <v>0.86399999999999999</v>
          </cell>
        </row>
        <row r="125">
          <cell r="A125">
            <v>1000</v>
          </cell>
          <cell r="B125">
            <v>70</v>
          </cell>
          <cell r="F125">
            <v>95.8</v>
          </cell>
          <cell r="G125">
            <v>95.7</v>
          </cell>
          <cell r="H125">
            <v>0.84</v>
          </cell>
          <cell r="I125">
            <v>0.86</v>
          </cell>
        </row>
        <row r="126">
          <cell r="A126">
            <v>1250</v>
          </cell>
          <cell r="B126">
            <v>77</v>
          </cell>
          <cell r="F126">
            <v>95.9</v>
          </cell>
          <cell r="G126">
            <v>95.8</v>
          </cell>
          <cell r="H126">
            <v>0.87</v>
          </cell>
          <cell r="I126">
            <v>0.89</v>
          </cell>
        </row>
        <row r="127">
          <cell r="A127">
            <v>1400</v>
          </cell>
          <cell r="B127">
            <v>95</v>
          </cell>
          <cell r="C127" t="str">
            <v>Starter Dependant</v>
          </cell>
          <cell r="D127" t="str">
            <v>Starter Dependant</v>
          </cell>
          <cell r="F127">
            <v>96</v>
          </cell>
          <cell r="G127">
            <v>96.1</v>
          </cell>
          <cell r="H127">
            <v>0.87</v>
          </cell>
          <cell r="I127">
            <v>0.89</v>
          </cell>
        </row>
        <row r="128">
          <cell r="A128">
            <v>1600</v>
          </cell>
          <cell r="B128">
            <v>109</v>
          </cell>
          <cell r="F128">
            <v>96.3</v>
          </cell>
          <cell r="G128">
            <v>96.2</v>
          </cell>
          <cell r="H128">
            <v>0.86</v>
          </cell>
          <cell r="I128">
            <v>0.88</v>
          </cell>
        </row>
        <row r="129">
          <cell r="A129">
            <v>1800</v>
          </cell>
          <cell r="B129">
            <v>123</v>
          </cell>
          <cell r="F129">
            <v>96.3</v>
          </cell>
          <cell r="G129">
            <v>96.2</v>
          </cell>
          <cell r="H129">
            <v>0.87</v>
          </cell>
          <cell r="I129">
            <v>0.88</v>
          </cell>
        </row>
        <row r="130">
          <cell r="A130">
            <v>2000</v>
          </cell>
          <cell r="B130">
            <v>127</v>
          </cell>
          <cell r="F130">
            <v>96.5</v>
          </cell>
          <cell r="G130">
            <v>96.4</v>
          </cell>
          <cell r="H130">
            <v>0.85</v>
          </cell>
          <cell r="I130">
            <v>0.87</v>
          </cell>
        </row>
        <row r="131">
          <cell r="A131">
            <v>2240</v>
          </cell>
          <cell r="B131">
            <v>152</v>
          </cell>
          <cell r="F131">
            <v>96.5</v>
          </cell>
          <cell r="G131">
            <v>96.3</v>
          </cell>
          <cell r="H131">
            <v>0.86</v>
          </cell>
          <cell r="I131">
            <v>0.88</v>
          </cell>
        </row>
        <row r="132">
          <cell r="A132">
            <v>3100</v>
          </cell>
          <cell r="B132">
            <v>197</v>
          </cell>
          <cell r="E132">
            <v>93.5</v>
          </cell>
          <cell r="F132">
            <v>95.2</v>
          </cell>
          <cell r="G132">
            <v>96</v>
          </cell>
          <cell r="H132">
            <v>0.83</v>
          </cell>
          <cell r="I132">
            <v>0.86</v>
          </cell>
        </row>
        <row r="133">
          <cell r="A133">
            <v>4500</v>
          </cell>
          <cell r="B133">
            <v>281</v>
          </cell>
          <cell r="C133" t="str">
            <v>Starter Dependant</v>
          </cell>
          <cell r="D133" t="str">
            <v>Starter Dependant</v>
          </cell>
          <cell r="E133">
            <v>93.3</v>
          </cell>
          <cell r="F133">
            <v>95</v>
          </cell>
          <cell r="G133">
            <v>96</v>
          </cell>
          <cell r="H133">
            <v>0.85</v>
          </cell>
          <cell r="I133">
            <v>0.876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tandard Details"/>
      <sheetName val="MEL"/>
      <sheetName val="Refresh"/>
      <sheetName val="ELECTRICAL LOAD SUMMARY"/>
      <sheetName val="MCC Number"/>
      <sheetName val="Template for MCC"/>
      <sheetName val="Cable Lookup"/>
      <sheetName val="Cable Calculator"/>
      <sheetName val="Motor Data"/>
      <sheetName val="Database"/>
      <sheetName val="VSD Cost Database"/>
      <sheetName val="TagNumber"/>
      <sheetName val="Rev Pivot"/>
      <sheetName val="Area"/>
      <sheetName val="DataPivot"/>
      <sheetName val="Cable Database"/>
      <sheetName val="Change Man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1">
          <cell r="A31">
            <v>300</v>
          </cell>
        </row>
        <row r="64">
          <cell r="A64" t="e">
            <v>#N/A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D910-FF2E-F949-B781-E77A2B6654E8}">
  <sheetPr codeName="Sheet10"/>
  <dimension ref="A1:BZ286"/>
  <sheetViews>
    <sheetView showGridLines="0" tabSelected="1" view="pageBreakPreview" topLeftCell="A114" zoomScale="170" zoomScaleNormal="100" zoomScaleSheetLayoutView="170" workbookViewId="0">
      <selection activeCell="AU5" sqref="AU5"/>
    </sheetView>
  </sheetViews>
  <sheetFormatPr baseColWidth="10" defaultColWidth="2.5" defaultRowHeight="14" customHeight="1" x14ac:dyDescent="0.15"/>
  <cols>
    <col min="1" max="9" width="2.5" style="14" customWidth="1"/>
    <col min="10" max="10" width="12.33203125" style="14" customWidth="1"/>
    <col min="11" max="17" width="2.5" style="14" customWidth="1"/>
    <col min="18" max="18" width="12.33203125" style="14" bestFit="1" customWidth="1"/>
    <col min="19" max="24" width="2.5" style="14" customWidth="1"/>
    <col min="25" max="25" width="2.83203125" style="14" customWidth="1"/>
    <col min="26" max="28" width="2.5" style="14" customWidth="1"/>
    <col min="29" max="29" width="8.5" style="14" customWidth="1"/>
    <col min="30" max="41" width="2.5" style="14"/>
    <col min="42" max="42" width="5.5" style="14" bestFit="1" customWidth="1"/>
    <col min="43" max="44" width="2.5" style="14"/>
    <col min="45" max="45" width="14.5" style="14" bestFit="1" customWidth="1"/>
    <col min="46" max="46" width="2.5" style="14"/>
    <col min="47" max="47" width="5" style="14" bestFit="1" customWidth="1"/>
    <col min="48" max="48" width="6.1640625" style="14" bestFit="1" customWidth="1"/>
    <col min="49" max="49" width="7" style="14" bestFit="1" customWidth="1"/>
    <col min="50" max="50" width="8.5" style="14" bestFit="1" customWidth="1"/>
    <col min="51" max="51" width="2.5" style="14"/>
    <col min="52" max="52" width="5.6640625" style="14" bestFit="1" customWidth="1"/>
    <col min="53" max="58" width="2.5" style="14"/>
    <col min="59" max="59" width="4" style="14" bestFit="1" customWidth="1"/>
    <col min="60" max="60" width="2.5" style="14"/>
    <col min="61" max="61" width="5.1640625" style="14" bestFit="1" customWidth="1"/>
    <col min="62" max="69" width="2.5" style="14"/>
    <col min="70" max="70" width="3" style="14" bestFit="1" customWidth="1"/>
    <col min="71" max="71" width="4" style="14" bestFit="1" customWidth="1"/>
    <col min="72" max="72" width="2.5" style="14"/>
    <col min="73" max="73" width="5.5" style="14" bestFit="1" customWidth="1"/>
    <col min="74" max="77" width="2.5" style="14"/>
    <col min="78" max="78" width="4.5" style="14" bestFit="1" customWidth="1"/>
    <col min="79" max="16384" width="2.5" style="14"/>
  </cols>
  <sheetData>
    <row r="1" spans="1:70" ht="12" customHeight="1" x14ac:dyDescent="0.15">
      <c r="A1" s="1"/>
      <c r="B1" s="2"/>
      <c r="C1" s="2"/>
      <c r="D1" s="2"/>
      <c r="E1" s="2"/>
      <c r="F1" s="2"/>
      <c r="G1" s="2"/>
      <c r="H1" s="2"/>
      <c r="I1" s="2"/>
      <c r="J1" s="3"/>
      <c r="K1" s="4" t="s">
        <v>0</v>
      </c>
      <c r="L1" s="5"/>
      <c r="M1" s="5"/>
      <c r="N1" s="5"/>
      <c r="O1" s="5"/>
      <c r="P1" s="5"/>
      <c r="Q1" s="5"/>
      <c r="R1" s="5"/>
      <c r="S1" s="6"/>
      <c r="T1" s="7" t="s">
        <v>1</v>
      </c>
      <c r="U1" s="8"/>
      <c r="V1" s="8"/>
      <c r="W1" s="8"/>
      <c r="X1" s="8"/>
      <c r="Y1" s="8"/>
      <c r="Z1" s="8"/>
      <c r="AA1" s="8"/>
      <c r="AB1" s="9"/>
      <c r="AC1" s="10" t="s">
        <v>2</v>
      </c>
      <c r="AD1" s="11"/>
      <c r="AE1" s="11"/>
      <c r="AF1" s="11"/>
      <c r="AG1" s="11"/>
      <c r="AH1" s="11"/>
      <c r="AI1" s="11"/>
      <c r="AJ1" s="12"/>
      <c r="AK1" s="13"/>
    </row>
    <row r="2" spans="1:70" ht="12" customHeight="1" x14ac:dyDescent="0.15">
      <c r="A2" s="15"/>
      <c r="B2" s="16"/>
      <c r="C2" s="16"/>
      <c r="D2" s="16"/>
      <c r="E2" s="16"/>
      <c r="F2" s="16"/>
      <c r="G2" s="16"/>
      <c r="H2" s="16"/>
      <c r="I2" s="16"/>
      <c r="J2" s="17"/>
      <c r="K2" s="18"/>
      <c r="L2" s="19"/>
      <c r="M2" s="19"/>
      <c r="N2" s="19"/>
      <c r="O2" s="19"/>
      <c r="P2" s="19"/>
      <c r="Q2" s="19"/>
      <c r="R2" s="19"/>
      <c r="S2" s="20"/>
      <c r="T2" s="21"/>
      <c r="U2" s="22"/>
      <c r="V2" s="22"/>
      <c r="W2" s="22"/>
      <c r="X2" s="22"/>
      <c r="Y2" s="22"/>
      <c r="Z2" s="22"/>
      <c r="AA2" s="22"/>
      <c r="AB2" s="23"/>
      <c r="AC2" s="24"/>
      <c r="AD2" s="25"/>
      <c r="AE2" s="25"/>
      <c r="AF2" s="25"/>
      <c r="AG2" s="25"/>
      <c r="AH2" s="25"/>
      <c r="AI2" s="25"/>
      <c r="AJ2" s="26"/>
      <c r="AK2" s="13"/>
    </row>
    <row r="3" spans="1:70" ht="12" customHeight="1" x14ac:dyDescent="0.15">
      <c r="A3" s="27"/>
      <c r="B3" s="28"/>
      <c r="C3" s="28"/>
      <c r="D3" s="28"/>
      <c r="E3" s="28"/>
      <c r="F3" s="28"/>
      <c r="G3" s="28"/>
      <c r="H3" s="28"/>
      <c r="I3" s="28"/>
      <c r="J3" s="29"/>
      <c r="K3" s="30"/>
      <c r="L3" s="31"/>
      <c r="M3" s="31"/>
      <c r="N3" s="31"/>
      <c r="O3" s="31"/>
      <c r="P3" s="31"/>
      <c r="Q3" s="31"/>
      <c r="R3" s="31"/>
      <c r="S3" s="32"/>
      <c r="T3" s="33"/>
      <c r="U3" s="34"/>
      <c r="V3" s="34"/>
      <c r="W3" s="34"/>
      <c r="X3" s="34"/>
      <c r="Y3" s="34"/>
      <c r="Z3" s="34"/>
      <c r="AA3" s="34"/>
      <c r="AB3" s="35"/>
      <c r="AC3" s="36"/>
      <c r="AD3" s="37"/>
      <c r="AE3" s="37"/>
      <c r="AF3" s="37"/>
      <c r="AG3" s="37"/>
      <c r="AH3" s="37"/>
      <c r="AI3" s="37"/>
      <c r="AJ3" s="38"/>
      <c r="AK3" s="13"/>
      <c r="AN3" s="39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1"/>
    </row>
    <row r="4" spans="1:70" s="53" customFormat="1" ht="12.5" customHeight="1" x14ac:dyDescent="0.15">
      <c r="A4" s="42" t="s">
        <v>3</v>
      </c>
      <c r="B4" s="43"/>
      <c r="C4" s="43"/>
      <c r="D4" s="43"/>
      <c r="E4" s="44"/>
      <c r="F4" s="44"/>
      <c r="G4" s="44"/>
      <c r="H4" s="44"/>
      <c r="I4" s="44"/>
      <c r="J4" s="44"/>
      <c r="K4" s="44"/>
      <c r="L4" s="44"/>
      <c r="M4" s="45"/>
      <c r="N4" s="46"/>
      <c r="O4" s="47"/>
      <c r="P4" s="47"/>
      <c r="Q4" s="47"/>
      <c r="R4" s="47"/>
      <c r="S4" s="47"/>
      <c r="T4" s="47"/>
      <c r="U4" s="48"/>
      <c r="V4" s="49" t="s">
        <v>4</v>
      </c>
      <c r="W4" s="50"/>
      <c r="X4" s="50"/>
      <c r="Y4" s="50"/>
      <c r="Z4" s="50"/>
      <c r="AA4" s="50"/>
      <c r="AB4" s="51"/>
      <c r="AC4" s="46" t="s">
        <v>5</v>
      </c>
      <c r="AD4" s="47"/>
      <c r="AE4" s="47"/>
      <c r="AF4" s="47"/>
      <c r="AG4" s="47"/>
      <c r="AH4" s="47"/>
      <c r="AI4" s="47"/>
      <c r="AJ4" s="48"/>
      <c r="AK4" s="52"/>
      <c r="AN4" s="54"/>
      <c r="AO4" s="55" t="s">
        <v>6</v>
      </c>
      <c r="BR4" s="56"/>
    </row>
    <row r="5" spans="1:70" s="53" customFormat="1" ht="12.5" customHeight="1" x14ac:dyDescent="0.15">
      <c r="A5" s="57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9"/>
      <c r="N5" s="60"/>
      <c r="O5" s="61"/>
      <c r="P5" s="61"/>
      <c r="Q5" s="61"/>
      <c r="R5" s="61"/>
      <c r="S5" s="61"/>
      <c r="T5" s="61"/>
      <c r="U5" s="62"/>
      <c r="V5" s="63"/>
      <c r="W5" s="64"/>
      <c r="X5" s="64"/>
      <c r="Y5" s="64"/>
      <c r="Z5" s="64"/>
      <c r="AA5" s="64"/>
      <c r="AB5" s="65"/>
      <c r="AC5" s="66"/>
      <c r="AD5" s="67"/>
      <c r="AE5" s="67"/>
      <c r="AF5" s="67"/>
      <c r="AG5" s="67"/>
      <c r="AH5" s="67"/>
      <c r="AI5" s="67"/>
      <c r="AJ5" s="68"/>
      <c r="AK5" s="52"/>
      <c r="AN5" s="54"/>
      <c r="AZ5" s="53" t="s">
        <v>7</v>
      </c>
      <c r="BR5" s="56"/>
    </row>
    <row r="6" spans="1:70" s="53" customFormat="1" ht="12.5" customHeight="1" x14ac:dyDescent="0.15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  <c r="N6" s="60"/>
      <c r="O6" s="61"/>
      <c r="P6" s="61"/>
      <c r="Q6" s="61"/>
      <c r="R6" s="61"/>
      <c r="S6" s="61"/>
      <c r="T6" s="61"/>
      <c r="U6" s="62"/>
      <c r="V6" s="63"/>
      <c r="W6" s="64"/>
      <c r="X6" s="64"/>
      <c r="Y6" s="64"/>
      <c r="Z6" s="64"/>
      <c r="AA6" s="64"/>
      <c r="AB6" s="65"/>
      <c r="AC6" s="66"/>
      <c r="AD6" s="67"/>
      <c r="AE6" s="67"/>
      <c r="AF6" s="67"/>
      <c r="AG6" s="67"/>
      <c r="AH6" s="67"/>
      <c r="AI6" s="67"/>
      <c r="AJ6" s="68"/>
      <c r="AK6" s="52"/>
      <c r="AN6" s="54"/>
      <c r="AO6" s="53" t="str">
        <f>CONCATENATE("Current"," - ",R29," - ",R41," - ",X15)</f>
        <v>Current - Air - 3c - 415</v>
      </c>
      <c r="AZ6" s="53" t="str">
        <f>IF(OR(X15=3300,X15=6600),"Spaced","Touching")</f>
        <v>Touching</v>
      </c>
      <c r="BR6" s="56"/>
    </row>
    <row r="7" spans="1:70" s="53" customFormat="1" ht="12.5" customHeight="1" x14ac:dyDescent="0.15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1"/>
      <c r="N7" s="72"/>
      <c r="O7" s="73"/>
      <c r="P7" s="73"/>
      <c r="Q7" s="73"/>
      <c r="R7" s="73"/>
      <c r="S7" s="73"/>
      <c r="T7" s="73"/>
      <c r="U7" s="74"/>
      <c r="V7" s="75" t="s">
        <v>8</v>
      </c>
      <c r="W7" s="76"/>
      <c r="X7" s="77"/>
      <c r="Y7" s="34"/>
      <c r="Z7" s="34"/>
      <c r="AA7" s="34"/>
      <c r="AB7" s="35"/>
      <c r="AC7" s="78" t="s">
        <v>8</v>
      </c>
      <c r="AD7" s="79"/>
      <c r="AE7" s="80"/>
      <c r="AF7" s="80"/>
      <c r="AG7" s="80"/>
      <c r="AH7" s="80"/>
      <c r="AI7" s="80"/>
      <c r="AJ7" s="81"/>
      <c r="AK7" s="52"/>
      <c r="AN7" s="54"/>
      <c r="BR7" s="56"/>
    </row>
    <row r="8" spans="1:70" s="89" customFormat="1" ht="12.5" customHeight="1" thickBot="1" x14ac:dyDescent="0.2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4"/>
      <c r="O8" s="83"/>
      <c r="P8" s="85"/>
      <c r="Q8" s="85"/>
      <c r="R8" s="85"/>
      <c r="S8" s="85"/>
      <c r="T8" s="85"/>
      <c r="U8" s="85"/>
      <c r="V8" s="86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7"/>
      <c r="AK8" s="88"/>
      <c r="AN8" s="90"/>
      <c r="AO8" s="14" t="s">
        <v>9</v>
      </c>
      <c r="AP8" s="14"/>
      <c r="AQ8" s="14"/>
      <c r="AR8" s="14"/>
      <c r="AS8" s="91">
        <f>R32*R35</f>
        <v>0.74260000000000004</v>
      </c>
      <c r="BR8" s="92"/>
    </row>
    <row r="9" spans="1:70" s="89" customFormat="1" ht="17" thickBot="1" x14ac:dyDescent="0.2">
      <c r="A9" s="93"/>
      <c r="B9" s="94" t="s">
        <v>10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6"/>
      <c r="AJ9" s="97"/>
      <c r="AK9" s="88"/>
      <c r="AN9" s="90"/>
      <c r="BR9" s="92"/>
    </row>
    <row r="10" spans="1:70" x14ac:dyDescent="0.15">
      <c r="A10" s="98"/>
      <c r="B10" s="99" t="str">
        <f>CONCATENATE("1. " &amp; IF(AB11="TNF","Transformer",IF(AB11="MCC","MCC",IF(AB11="EDB","Distribution Board","Drive")))&amp;" Details")</f>
        <v>1. Drive Details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1"/>
      <c r="M10" s="102"/>
      <c r="N10" s="101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4"/>
      <c r="AN10" s="105"/>
      <c r="AO10" s="14" t="s">
        <v>11</v>
      </c>
      <c r="AS10" s="14">
        <f>X22/AS8</f>
        <v>523.83517371397784</v>
      </c>
      <c r="BR10" s="106"/>
    </row>
    <row r="11" spans="1:70" ht="14" customHeight="1" x14ac:dyDescent="0.15">
      <c r="A11" s="98"/>
      <c r="B11" s="101" t="str">
        <f>IF(AB11="TNF","Transformer Tag Number",IF(AB11="MCC","MCC Tag Number",IF(AB11="EDB","DB Tag Number","Drive Tag Number")))</f>
        <v>Drive Tag Number</v>
      </c>
      <c r="C11" s="107"/>
      <c r="D11" s="101"/>
      <c r="E11" s="101"/>
      <c r="F11" s="101"/>
      <c r="G11" s="101"/>
      <c r="H11" s="101"/>
      <c r="I11" s="101"/>
      <c r="J11" s="101"/>
      <c r="K11" s="101"/>
      <c r="L11" s="101"/>
      <c r="M11" s="102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8">
        <v>103</v>
      </c>
      <c r="Y11" s="109"/>
      <c r="Z11" s="109"/>
      <c r="AA11" s="110"/>
      <c r="AB11" s="111" t="s">
        <v>12</v>
      </c>
      <c r="AC11" s="112"/>
      <c r="AD11" s="113"/>
      <c r="AE11" s="114">
        <v>1</v>
      </c>
      <c r="AF11" s="115"/>
      <c r="AG11" s="102"/>
      <c r="AH11" s="101"/>
      <c r="AI11" s="101"/>
      <c r="AJ11" s="104"/>
      <c r="AN11" s="105"/>
      <c r="AO11" s="14" t="s">
        <v>13</v>
      </c>
      <c r="AS11" s="14">
        <f>AS10</f>
        <v>523.83517371397784</v>
      </c>
      <c r="BR11" s="106"/>
    </row>
    <row r="12" spans="1:70" ht="14" customHeight="1" x14ac:dyDescent="0.15">
      <c r="A12" s="98"/>
      <c r="B12" s="101" t="str">
        <f>IF(AB11="TNF","Transformer Nominal Rating (kVA)",IF(AB11="MCC","MCC Supply Current Rating",IF(AB11="EDB","DB Feeder Current Rating","Motor Nominal Mech Rating (kW)")))</f>
        <v>Motor Nominal Mech Rating (kW)</v>
      </c>
      <c r="C12" s="107"/>
      <c r="D12" s="101"/>
      <c r="E12" s="101"/>
      <c r="F12" s="116"/>
      <c r="G12" s="116"/>
      <c r="H12" s="116"/>
      <c r="I12" s="116"/>
      <c r="J12" s="116"/>
      <c r="K12" s="101"/>
      <c r="L12" s="101"/>
      <c r="M12" s="102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17">
        <v>250</v>
      </c>
      <c r="Y12" s="118"/>
      <c r="Z12" s="118"/>
      <c r="AA12" s="119"/>
      <c r="AB12" s="120" t="str">
        <f>IF(AB11="TNF","kVA",IF(AB11="EDB","Amps",IF(AB11="MCC","Amps","kW")))</f>
        <v>kW</v>
      </c>
      <c r="AC12" s="121"/>
      <c r="AD12" s="122"/>
      <c r="AE12" s="101"/>
      <c r="AF12" s="101"/>
      <c r="AG12" s="101"/>
      <c r="AH12" s="101"/>
      <c r="AI12" s="101"/>
      <c r="AJ12" s="104"/>
      <c r="AN12" s="105"/>
      <c r="BR12" s="106"/>
    </row>
    <row r="13" spans="1:70" ht="14" customHeight="1" x14ac:dyDescent="0.15">
      <c r="A13" s="98"/>
      <c r="B13" s="101" t="str">
        <f>IF(AB11="TNF","Transformer Efficiency @ Full Load",IF(AB11="EDB","DB Feeder Load Efficiency",IF(AB11="MCC","MCC Feeder Load Efficiency","Motor Efficiency @ Full Load")))</f>
        <v>Motor Efficiency @ Full Load</v>
      </c>
      <c r="C13" s="107"/>
      <c r="D13" s="101"/>
      <c r="E13" s="101"/>
      <c r="F13" s="123"/>
      <c r="G13" s="123"/>
      <c r="H13" s="123"/>
      <c r="I13" s="123"/>
      <c r="J13" s="123"/>
      <c r="K13" s="101"/>
      <c r="L13" s="101"/>
      <c r="M13" s="102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24">
        <f>IF(AB12="kVA",100, IF(AB12="Amps",100,IF(X15=415, VLOOKUP(X12,TECO_415V_DATA,7,TRUE), IF(X15=690, VLOOKUP(X12,TECO_690V_DATA,7,TRUE), IF(X15=3300, VLOOKUP(X12,TECO_3.3kV_DATA,7,TRUE), IF(X15=11000, VLOOKUP(X12,TECO_11kV_DATA,7,TRUE),  IF(X15=6600, VLOOKUP(X12,TECO_6.6kV_DATA,7,TRUE),"error")))))))</f>
        <v>96</v>
      </c>
      <c r="Y13" s="125"/>
      <c r="Z13" s="125"/>
      <c r="AA13" s="126"/>
      <c r="AB13" s="120" t="s">
        <v>14</v>
      </c>
      <c r="AC13" s="121"/>
      <c r="AD13" s="122"/>
      <c r="AE13" s="101"/>
      <c r="AF13" s="101"/>
      <c r="AG13" s="101"/>
      <c r="AH13" s="101"/>
      <c r="AI13" s="101"/>
      <c r="AJ13" s="104"/>
      <c r="AN13" s="105"/>
      <c r="BR13" s="106"/>
    </row>
    <row r="14" spans="1:70" ht="14" customHeight="1" x14ac:dyDescent="0.15">
      <c r="A14" s="98"/>
      <c r="B14" s="101" t="str">
        <f>IF(AB11="TNF","Transformer Power Factor (pf)",IF(AB11="EDB","DB Feeder Load Power Factor (pf)",IF(AB11="MCC","MCC Feeder Load Power Factor (pf)","Motor Power Factor (pf) @ Full Load")))</f>
        <v>Motor Power Factor (pf) @ Full Load</v>
      </c>
      <c r="C14" s="101"/>
      <c r="D14" s="103"/>
      <c r="E14" s="103"/>
      <c r="F14" s="103"/>
      <c r="G14" s="103"/>
      <c r="H14" s="103"/>
      <c r="I14" s="103"/>
      <c r="J14" s="103"/>
      <c r="K14" s="103"/>
      <c r="L14" s="103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24">
        <f>IF(AB12="kVA",100,IF(AB12="Amps",100,IF(X15=415, VLOOKUP(X12,TECO_415V_DATA,9,TRUE), IF(X15=690, VLOOKUP(X12,TECO_690V_DATA,9,TRUE), IF(X15=3300, VLOOKUP(X12,TECO_3.3kV_DATA,9,TRUE), IF(X15=11000, VLOOKUP(X12,TECO_11kV_DATA,9,TRUE),IF(X15=6600, VLOOKUP(X12,TECO_6.6kV_DATA,9,TRUE),"error")))))))</f>
        <v>0.92600000000000005</v>
      </c>
      <c r="Y14" s="125"/>
      <c r="Z14" s="125"/>
      <c r="AA14" s="126"/>
      <c r="AB14" s="120" t="s">
        <v>15</v>
      </c>
      <c r="AC14" s="121"/>
      <c r="AD14" s="122"/>
      <c r="AE14" s="101"/>
      <c r="AF14" s="101"/>
      <c r="AG14" s="101"/>
      <c r="AH14" s="101"/>
      <c r="AI14" s="101"/>
      <c r="AJ14" s="104"/>
      <c r="AN14" s="105"/>
      <c r="AO14" s="14" t="s">
        <v>16</v>
      </c>
      <c r="AS14" s="14" t="s">
        <v>17</v>
      </c>
      <c r="AX14" s="14" t="e">
        <f>'[2]Cable Lookup'!A64</f>
        <v>#N/A</v>
      </c>
      <c r="AY14" s="14" t="s">
        <v>18</v>
      </c>
      <c r="BR14" s="106"/>
    </row>
    <row r="15" spans="1:70" ht="14" customHeight="1" x14ac:dyDescent="0.15">
      <c r="A15" s="98"/>
      <c r="B15" s="101" t="s">
        <v>19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17">
        <v>415</v>
      </c>
      <c r="Y15" s="118"/>
      <c r="Z15" s="118"/>
      <c r="AA15" s="119"/>
      <c r="AB15" s="120" t="s">
        <v>20</v>
      </c>
      <c r="AC15" s="121"/>
      <c r="AD15" s="122"/>
      <c r="AE15" s="101"/>
      <c r="AF15" s="101"/>
      <c r="AG15" s="101"/>
      <c r="AH15" s="101"/>
      <c r="AI15" s="101"/>
      <c r="AJ15" s="104"/>
      <c r="AN15" s="105"/>
      <c r="BR15" s="106"/>
    </row>
    <row r="16" spans="1:70" ht="14" customHeight="1" x14ac:dyDescent="0.15">
      <c r="A16" s="98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04"/>
      <c r="AN16" s="105"/>
      <c r="BR16" s="106"/>
    </row>
    <row r="17" spans="1:78" x14ac:dyDescent="0.15">
      <c r="A17" s="98"/>
      <c r="B17" s="128" t="str">
        <f>CONCATENATE("2. "&amp; IF(AB11="TNF","Transformer",IF(AB11="EDB","DB Feeder",IF(AB11="MCC","MCC","Motor")))&amp;" Full Load Capacity")</f>
        <v>2. Motor Full Load Capacity</v>
      </c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30"/>
      <c r="O17" s="131"/>
      <c r="P17" s="131"/>
      <c r="Q17" s="13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4"/>
      <c r="AN17" s="105"/>
      <c r="AO17" s="14" t="s">
        <v>21</v>
      </c>
      <c r="AW17" s="14" t="s">
        <v>22</v>
      </c>
      <c r="AX17" s="132">
        <v>2.5</v>
      </c>
      <c r="AY17" s="14" t="s">
        <v>18</v>
      </c>
      <c r="BI17" s="14" t="e">
        <f>MAX(AX14:AX20)</f>
        <v>#N/A</v>
      </c>
      <c r="BR17" s="106"/>
    </row>
    <row r="18" spans="1:78" ht="7.5" customHeight="1" x14ac:dyDescent="0.15">
      <c r="A18" s="98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01"/>
      <c r="AH18" s="101"/>
      <c r="AI18" s="101"/>
      <c r="AJ18" s="104"/>
      <c r="AN18" s="105"/>
      <c r="AY18" s="14" t="s">
        <v>22</v>
      </c>
      <c r="BR18" s="106"/>
    </row>
    <row r="19" spans="1:78" ht="14" customHeight="1" x14ac:dyDescent="0.15">
      <c r="A19" s="134"/>
      <c r="B19" s="135" t="s">
        <v>23</v>
      </c>
      <c r="C19" s="136"/>
      <c r="D19" s="136"/>
      <c r="E19" s="136"/>
      <c r="F19" s="136"/>
      <c r="G19" s="136"/>
      <c r="H19" s="136"/>
      <c r="I19" s="137"/>
      <c r="J19" s="138" t="s">
        <v>24</v>
      </c>
      <c r="K19" s="139" t="str">
        <f>IF((AB11="TNF"),"Transformer Nominal Rating x 1000",IF(AB11="EDB","Supply Feeder Current",IF(AB11="MCC","Supply Feeder Current","Motor Nominal Mech Rating x 1000")))</f>
        <v>Motor Nominal Mech Rating x 1000</v>
      </c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1"/>
      <c r="AG19" s="102"/>
      <c r="AH19" s="101"/>
      <c r="AI19" s="101"/>
      <c r="AJ19" s="104"/>
      <c r="AN19" s="105"/>
      <c r="BE19" s="14" t="s">
        <v>25</v>
      </c>
      <c r="BR19" s="106"/>
    </row>
    <row r="20" spans="1:78" ht="14" customHeight="1" x14ac:dyDescent="0.15">
      <c r="A20" s="134"/>
      <c r="B20" s="142"/>
      <c r="C20" s="143"/>
      <c r="D20" s="143"/>
      <c r="E20" s="143"/>
      <c r="F20" s="143"/>
      <c r="G20" s="143"/>
      <c r="H20" s="143"/>
      <c r="I20" s="144"/>
      <c r="J20" s="145"/>
      <c r="K20" s="146" t="str">
        <f>CONCATENATE(IF(AB11="EDB","",IF(AB11="MCC","","Sqrt(3) x System Voltage x ")),"Efficiency x Powerfactor")</f>
        <v>Sqrt(3) x System Voltage x Efficiency x Powerfactor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8"/>
      <c r="AG20" s="102"/>
      <c r="AH20" s="101"/>
      <c r="AI20" s="101"/>
      <c r="AJ20" s="104"/>
      <c r="AN20" s="105"/>
      <c r="AX20" s="14">
        <v>1</v>
      </c>
      <c r="BA20" s="14" t="s">
        <v>22</v>
      </c>
      <c r="BC20" s="14" t="s">
        <v>25</v>
      </c>
      <c r="BR20" s="106"/>
    </row>
    <row r="21" spans="1:78" ht="7.5" customHeight="1" x14ac:dyDescent="0.15">
      <c r="A21" s="98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1"/>
      <c r="AH21" s="101"/>
      <c r="AI21" s="101"/>
      <c r="AJ21" s="104"/>
      <c r="AN21" s="105"/>
      <c r="BR21" s="106"/>
      <c r="BU21" s="149">
        <f>X22</f>
        <v>389</v>
      </c>
    </row>
    <row r="22" spans="1:78" ht="14" customHeight="1" x14ac:dyDescent="0.15">
      <c r="A22" s="98"/>
      <c r="B22" s="150" t="s">
        <v>26</v>
      </c>
      <c r="C22" s="101"/>
      <c r="D22" s="103"/>
      <c r="E22" s="103"/>
      <c r="F22" s="103"/>
      <c r="G22" s="103"/>
      <c r="H22" s="103"/>
      <c r="I22" s="103"/>
      <c r="J22" s="151" t="s">
        <v>24</v>
      </c>
      <c r="K22" s="152">
        <f>IF(AB12="kVA","N/A",IF(AB12="Amps","N/A",IF(X15=415,VLOOKUP(X12,Motor_415V,2,TRUE),IF(X15=690,VLOOKUP(X12,Motor_690V,2,TRUE),IF(X15=3300,VLOOKUP(X12,Motor_3300V,2,TRUE),IF(X15=6600,VLOOKUP(X12,Motor_6600V,2,TRUE),IF(X15=11000,VLOOKUP(X12,Motor_11000V,2,TRUE),"N/A")))))))</f>
        <v>389</v>
      </c>
      <c r="L22" s="153"/>
      <c r="M22" s="154"/>
      <c r="N22" s="155" t="str">
        <f>IF(K22="N/A"," ","Amps")</f>
        <v>Amps</v>
      </c>
      <c r="O22" s="156"/>
      <c r="P22" s="157"/>
      <c r="Q22" s="103"/>
      <c r="R22" s="101"/>
      <c r="S22" s="101"/>
      <c r="T22" s="101"/>
      <c r="U22" s="101"/>
      <c r="V22" s="158"/>
      <c r="W22" s="151" t="s">
        <v>24</v>
      </c>
      <c r="X22" s="152">
        <f>IF(K22="N/A",IF(AB11="TNF",(X12/(SQRT(3)*(X15/1000)*(X14/100)*(X13/100))),IF(AB11="EDB",X12, (X12/(0.96*0.9))/(SQRT(3)*(X15/1000)))),K22)</f>
        <v>389</v>
      </c>
      <c r="Y22" s="153"/>
      <c r="Z22" s="153"/>
      <c r="AA22" s="154"/>
      <c r="AB22" s="155" t="s">
        <v>27</v>
      </c>
      <c r="AC22" s="156"/>
      <c r="AD22" s="157"/>
      <c r="AE22" s="157"/>
      <c r="AF22" s="157"/>
      <c r="AG22" s="157"/>
      <c r="AH22" s="101"/>
      <c r="AI22" s="101"/>
      <c r="AJ22" s="104"/>
      <c r="AN22" s="105"/>
      <c r="BR22" s="106"/>
    </row>
    <row r="23" spans="1:78" ht="14" customHeight="1" x14ac:dyDescent="0.15">
      <c r="A23" s="98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04"/>
      <c r="AN23" s="105"/>
      <c r="BR23" s="106"/>
    </row>
    <row r="24" spans="1:78" x14ac:dyDescent="0.15">
      <c r="A24" s="98"/>
      <c r="B24" s="159" t="str">
        <f>CONCATENATE("3. "&amp; IF(AB11="TNF","Transformer",IF(AB11="EDB","Elect Distribution Board",IF(AB11="FDR","Feeder","Motor")))&amp;" Cable Selection")</f>
        <v>3. Motor Cable Selection</v>
      </c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4"/>
      <c r="AN24" s="105"/>
      <c r="BR24" s="106"/>
    </row>
    <row r="25" spans="1:78" ht="6" customHeight="1" x14ac:dyDescent="0.15">
      <c r="A25" s="98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4"/>
      <c r="AN25" s="105"/>
      <c r="BR25" s="106"/>
    </row>
    <row r="26" spans="1:78" ht="14" customHeight="1" x14ac:dyDescent="0.15">
      <c r="A26" s="98"/>
      <c r="B26" s="162" t="s">
        <v>28</v>
      </c>
      <c r="C26" s="162"/>
      <c r="D26" s="162"/>
      <c r="E26" s="162"/>
      <c r="F26" s="162"/>
      <c r="G26" s="162"/>
      <c r="H26" s="162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4"/>
      <c r="AN26" s="105"/>
      <c r="AP26" s="14" t="str">
        <f>IF(X15&lt;=415,BI27,BI28)</f>
        <v>Cable Ladder - 3 Tier</v>
      </c>
      <c r="BR26" s="106"/>
    </row>
    <row r="27" spans="1:78" ht="14" customHeight="1" x14ac:dyDescent="0.15">
      <c r="A27" s="98"/>
      <c r="B27" s="162" t="s">
        <v>29</v>
      </c>
      <c r="C27" s="162"/>
      <c r="D27" s="162"/>
      <c r="E27" s="162"/>
      <c r="F27" s="162"/>
      <c r="G27" s="162"/>
      <c r="H27" s="162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4"/>
      <c r="AN27" s="105"/>
      <c r="AP27" s="14">
        <f>IF(X15&lt;=415,BR27,BR28)</f>
        <v>45</v>
      </c>
      <c r="BI27" s="14" t="s">
        <v>30</v>
      </c>
      <c r="BP27" s="14" t="s">
        <v>31</v>
      </c>
      <c r="BR27" s="14">
        <v>45</v>
      </c>
      <c r="BT27" s="14" t="s">
        <v>32</v>
      </c>
      <c r="BZ27" s="14" t="s">
        <v>33</v>
      </c>
    </row>
    <row r="28" spans="1:78" ht="14" customHeight="1" x14ac:dyDescent="0.15">
      <c r="A28" s="98"/>
      <c r="B28" s="162" t="s">
        <v>34</v>
      </c>
      <c r="C28" s="162"/>
      <c r="D28" s="162"/>
      <c r="E28" s="162"/>
      <c r="F28" s="162"/>
      <c r="G28" s="162"/>
      <c r="H28" s="162"/>
      <c r="I28" s="101"/>
      <c r="J28" s="101"/>
      <c r="K28" s="101"/>
      <c r="L28" s="101"/>
      <c r="M28" s="101"/>
      <c r="N28" s="101"/>
      <c r="O28" s="101"/>
      <c r="P28" s="101"/>
      <c r="Q28" s="101"/>
      <c r="R28" s="163" t="str">
        <f>AP26</f>
        <v>Cable Ladder - 3 Tier</v>
      </c>
      <c r="S28" s="164"/>
      <c r="T28" s="164"/>
      <c r="U28" s="164"/>
      <c r="V28" s="164"/>
      <c r="W28" s="164"/>
      <c r="X28" s="165"/>
      <c r="Y28" s="165"/>
      <c r="Z28" s="166"/>
      <c r="AA28" s="167"/>
      <c r="AB28" s="107"/>
      <c r="AC28" s="101"/>
      <c r="AD28" s="101"/>
      <c r="AE28" s="101"/>
      <c r="AF28" s="101"/>
      <c r="AG28" s="101"/>
      <c r="AH28" s="101"/>
      <c r="AI28" s="101"/>
      <c r="AJ28" s="168"/>
      <c r="AN28" s="105"/>
      <c r="AP28" s="132" t="str">
        <f>IF(X15&lt;=415,BZ27,BZ28)</f>
        <v>Touching</v>
      </c>
      <c r="BI28" s="14" t="s">
        <v>35</v>
      </c>
      <c r="BP28" s="14" t="s">
        <v>31</v>
      </c>
      <c r="BR28" s="169">
        <v>30</v>
      </c>
      <c r="BT28" s="14" t="s">
        <v>32</v>
      </c>
      <c r="BZ28" s="91">
        <v>0.3</v>
      </c>
    </row>
    <row r="29" spans="1:78" ht="14" customHeight="1" x14ac:dyDescent="0.15">
      <c r="A29" s="98"/>
      <c r="B29" s="162" t="s">
        <v>36</v>
      </c>
      <c r="C29" s="162"/>
      <c r="D29" s="162"/>
      <c r="E29" s="162"/>
      <c r="F29" s="162"/>
      <c r="G29" s="162"/>
      <c r="H29" s="162"/>
      <c r="I29" s="101"/>
      <c r="J29" s="101"/>
      <c r="K29" s="101"/>
      <c r="L29" s="101"/>
      <c r="M29" s="101"/>
      <c r="N29" s="101"/>
      <c r="O29" s="101"/>
      <c r="P29" s="101"/>
      <c r="Q29" s="101"/>
      <c r="R29" s="170" t="str">
        <f>VLOOKUP(R28,Install_Types,2,FALSE)</f>
        <v>Air</v>
      </c>
      <c r="S29" s="171"/>
      <c r="T29" s="171"/>
      <c r="U29" s="171"/>
      <c r="V29" s="155"/>
      <c r="W29" s="156"/>
      <c r="X29" s="157"/>
      <c r="Y29" s="101"/>
      <c r="Z29" s="101"/>
      <c r="AA29" s="101"/>
      <c r="AB29" s="101"/>
      <c r="AC29" s="103"/>
      <c r="AD29" s="103"/>
      <c r="AE29" s="103"/>
      <c r="AF29" s="103"/>
      <c r="AG29" s="103"/>
      <c r="AH29" s="103"/>
      <c r="AI29" s="103"/>
      <c r="AJ29" s="168"/>
      <c r="AN29" s="105"/>
      <c r="BR29" s="106"/>
    </row>
    <row r="30" spans="1:78" ht="14" customHeight="1" x14ac:dyDescent="0.15">
      <c r="A30" s="98"/>
      <c r="B30" s="162" t="s">
        <v>37</v>
      </c>
      <c r="C30" s="162"/>
      <c r="D30" s="162"/>
      <c r="E30" s="162"/>
      <c r="F30" s="162"/>
      <c r="G30" s="162"/>
      <c r="H30" s="162"/>
      <c r="I30" s="101"/>
      <c r="J30" s="101"/>
      <c r="K30" s="101"/>
      <c r="L30" s="101"/>
      <c r="N30" s="101"/>
      <c r="O30" s="101"/>
      <c r="P30" s="101"/>
      <c r="Q30" s="101"/>
      <c r="R30" s="111" t="s">
        <v>38</v>
      </c>
      <c r="S30" s="112"/>
      <c r="T30" s="112"/>
      <c r="U30" s="113"/>
      <c r="V30" s="155"/>
      <c r="W30" s="156"/>
      <c r="X30" s="157"/>
      <c r="Y30" s="101"/>
      <c r="Z30" s="101"/>
      <c r="AA30" s="101"/>
      <c r="AB30" s="101"/>
      <c r="AC30" s="103"/>
      <c r="AD30" s="103"/>
      <c r="AE30" s="103"/>
      <c r="AF30" s="103"/>
      <c r="AG30" s="103"/>
      <c r="AH30" s="103"/>
      <c r="AI30" s="103"/>
      <c r="AJ30" s="168"/>
      <c r="AN30" s="172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J30" s="169"/>
      <c r="BK30" s="169"/>
      <c r="BL30" s="169"/>
      <c r="BM30" s="169"/>
      <c r="BN30" s="169"/>
      <c r="BO30" s="169"/>
      <c r="BP30" s="169"/>
      <c r="BQ30" s="169"/>
      <c r="BR30" s="173"/>
    </row>
    <row r="31" spans="1:78" ht="14" customHeight="1" x14ac:dyDescent="0.15">
      <c r="A31" s="98"/>
      <c r="B31" s="162" t="str">
        <f>IF(R29="Air", "Ambient Temperature","Soil Temperature")</f>
        <v>Ambient Temperature</v>
      </c>
      <c r="C31" s="162"/>
      <c r="D31" s="162"/>
      <c r="E31" s="162"/>
      <c r="F31" s="162"/>
      <c r="G31" s="162"/>
      <c r="H31" s="162"/>
      <c r="I31" s="101"/>
      <c r="J31" s="101"/>
      <c r="K31" s="101"/>
      <c r="L31" s="101"/>
      <c r="N31" s="101"/>
      <c r="O31" s="101"/>
      <c r="P31" s="101"/>
      <c r="Q31" s="101"/>
      <c r="R31" s="111">
        <f>AP27</f>
        <v>45</v>
      </c>
      <c r="S31" s="112"/>
      <c r="T31" s="112"/>
      <c r="U31" s="113"/>
      <c r="V31" s="174" t="s">
        <v>39</v>
      </c>
      <c r="W31" s="175"/>
      <c r="X31" s="157"/>
      <c r="Y31" s="176" t="str">
        <f>IF(ISERROR(R32), "Soil Temperature is Too High!","")</f>
        <v/>
      </c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4"/>
    </row>
    <row r="32" spans="1:78" ht="14" customHeight="1" x14ac:dyDescent="0.15">
      <c r="A32" s="98"/>
      <c r="B32" s="162" t="str">
        <f>IF(R29="Air","Derating Factor (DF) - Ambient","Derating Factor (DF) - Soil Temp")</f>
        <v>Derating Factor (DF) - Ambient</v>
      </c>
      <c r="C32" s="162"/>
      <c r="D32" s="162"/>
      <c r="E32" s="162"/>
      <c r="F32" s="162"/>
      <c r="G32" s="162"/>
      <c r="H32" s="162"/>
      <c r="I32" s="101"/>
      <c r="J32" s="101"/>
      <c r="K32" s="101"/>
      <c r="L32" s="101"/>
      <c r="M32" s="101"/>
      <c r="N32" s="101"/>
      <c r="O32" s="101"/>
      <c r="P32" s="101"/>
      <c r="Q32" s="101"/>
      <c r="R32" s="177">
        <f>HLOOKUP(CONCATENATE(R28," - ",R46),Temperature_Derating,VLOOKUP(R31,Temperature_Derating,2,FALSE),FALSE)</f>
        <v>0.94</v>
      </c>
      <c r="S32" s="178"/>
      <c r="T32" s="178"/>
      <c r="U32" s="179"/>
      <c r="V32" s="155"/>
      <c r="W32" s="156"/>
      <c r="X32" s="157"/>
      <c r="Y32" s="101" t="s">
        <v>40</v>
      </c>
      <c r="Z32" s="101"/>
      <c r="AA32" s="101"/>
      <c r="AB32" s="101" t="str">
        <f>HLOOKUP(CONCATENATE(R28," - ",R46),Temperature_Derating,18,FALSE)</f>
        <v>Table 27(1)</v>
      </c>
      <c r="AC32" s="101"/>
      <c r="AD32" s="101"/>
      <c r="AE32" s="101"/>
      <c r="AF32" s="101"/>
      <c r="AG32" s="101"/>
      <c r="AH32" s="101"/>
      <c r="AI32" s="101"/>
      <c r="AJ32" s="104"/>
      <c r="AL32" s="39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1"/>
    </row>
    <row r="33" spans="1:72" ht="14" customHeight="1" x14ac:dyDescent="0.15">
      <c r="A33" s="98"/>
      <c r="B33" s="162" t="s">
        <v>41</v>
      </c>
      <c r="C33" s="162"/>
      <c r="D33" s="162"/>
      <c r="E33" s="162"/>
      <c r="F33" s="162"/>
      <c r="G33" s="162"/>
      <c r="H33" s="162"/>
      <c r="I33" s="101"/>
      <c r="J33" s="101"/>
      <c r="K33" s="101"/>
      <c r="L33" s="101"/>
      <c r="M33" s="101"/>
      <c r="N33" s="101"/>
      <c r="O33" s="101"/>
      <c r="P33" s="101"/>
      <c r="Q33" s="101"/>
      <c r="R33" s="111">
        <v>3</v>
      </c>
      <c r="S33" s="112"/>
      <c r="T33" s="112"/>
      <c r="U33" s="113"/>
      <c r="V33" s="180"/>
      <c r="W33" s="181"/>
      <c r="X33" s="182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4"/>
      <c r="AL33" s="105"/>
      <c r="AO33" s="183" t="s">
        <v>42</v>
      </c>
      <c r="BT33" s="106"/>
    </row>
    <row r="34" spans="1:72" ht="14" customHeight="1" x14ac:dyDescent="0.15">
      <c r="A34" s="98"/>
      <c r="B34" s="162" t="s">
        <v>43</v>
      </c>
      <c r="C34" s="162"/>
      <c r="D34" s="162"/>
      <c r="E34" s="162"/>
      <c r="F34" s="162"/>
      <c r="G34" s="162"/>
      <c r="H34" s="162"/>
      <c r="I34" s="101"/>
      <c r="J34" s="101"/>
      <c r="K34" s="101"/>
      <c r="L34" s="101"/>
      <c r="M34" s="101"/>
      <c r="N34" s="101"/>
      <c r="O34" s="101"/>
      <c r="P34" s="101"/>
      <c r="Q34" s="101"/>
      <c r="R34" s="184" t="str">
        <f>AP28</f>
        <v>Touching</v>
      </c>
      <c r="S34" s="112"/>
      <c r="T34" s="112"/>
      <c r="U34" s="113"/>
      <c r="V34" s="185" t="str">
        <f>IF(R34="Touching","",IF(R34="Spaced"," by 1 'D'","metres"))</f>
        <v/>
      </c>
      <c r="W34" s="186"/>
      <c r="X34" s="187"/>
      <c r="Y34" s="188" t="str">
        <f>IF(ISERROR(R32),"",IF(ISERROR(AB35),"Check Cable Spacing Selection!",IF((R29="Air")*AND(R41="1c")*AND(R33&gt;3),"Too Many Cables on Ladder","")))</f>
        <v/>
      </c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4"/>
      <c r="AL34" s="105"/>
      <c r="BT34" s="106"/>
    </row>
    <row r="35" spans="1:72" ht="14" customHeight="1" x14ac:dyDescent="0.15">
      <c r="A35" s="98"/>
      <c r="B35" s="162" t="s">
        <v>44</v>
      </c>
      <c r="C35" s="162"/>
      <c r="D35" s="162"/>
      <c r="E35" s="162"/>
      <c r="F35" s="162"/>
      <c r="G35" s="162"/>
      <c r="H35" s="162"/>
      <c r="I35" s="101"/>
      <c r="J35" s="101"/>
      <c r="K35" s="101"/>
      <c r="L35" s="101"/>
      <c r="M35" s="101"/>
      <c r="N35" s="101"/>
      <c r="O35" s="101"/>
      <c r="P35" s="101"/>
      <c r="Q35" s="101"/>
      <c r="R35" s="124">
        <f>HLOOKUP(CONCATENATE(R28," - ",R34," - ",IF(R41="1c","1c","3c")),Installation_Derating,IF(R29="Air",R33+1,R33*R51+1),FALSE)</f>
        <v>0.79</v>
      </c>
      <c r="S35" s="125"/>
      <c r="T35" s="125"/>
      <c r="U35" s="126"/>
      <c r="V35" s="180"/>
      <c r="W35" s="181"/>
      <c r="X35" s="182"/>
      <c r="Y35" s="189" t="s">
        <v>40</v>
      </c>
      <c r="Z35" s="189"/>
      <c r="AA35" s="189"/>
      <c r="AB35" s="14" t="str">
        <f>HLOOKUP(CONCATENATE(R28," - ",R34," - ",IF(R41="1c","1c","3c")),Installation_Derating,14,FALSE)</f>
        <v>Table 24, Item 15</v>
      </c>
      <c r="AC35" s="189"/>
      <c r="AD35" s="189"/>
      <c r="AE35" s="189"/>
      <c r="AF35" s="189"/>
      <c r="AG35" s="189"/>
      <c r="AH35" s="189"/>
      <c r="AI35" s="189"/>
      <c r="AJ35" s="104"/>
      <c r="AL35" s="105"/>
      <c r="AU35" s="14" t="str">
        <f>IF(R30="Standard","Std","Flex")</f>
        <v>Std</v>
      </c>
      <c r="BS35" s="190">
        <v>1</v>
      </c>
      <c r="BT35" s="106"/>
    </row>
    <row r="36" spans="1:72" ht="14" customHeight="1" x14ac:dyDescent="0.15">
      <c r="A36" s="98"/>
      <c r="B36" s="162" t="s">
        <v>45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11">
        <v>2</v>
      </c>
      <c r="S36" s="112"/>
      <c r="T36" s="112"/>
      <c r="U36" s="113"/>
      <c r="V36" s="180"/>
      <c r="W36" s="181"/>
      <c r="X36" s="182"/>
      <c r="Z36" s="101"/>
      <c r="AA36" s="101"/>
      <c r="AB36" s="189"/>
      <c r="AC36" s="101"/>
      <c r="AD36" s="101"/>
      <c r="AE36" s="101"/>
      <c r="AF36" s="101"/>
      <c r="AG36" s="101"/>
      <c r="AH36" s="101"/>
      <c r="AI36" s="101"/>
      <c r="AJ36" s="104"/>
      <c r="AL36" s="105"/>
      <c r="AU36" s="14" t="str">
        <f>CONCATENATE("Current"," - ",R29," - ",R41," - ",R46," - ",AU35)</f>
        <v>Current - Air - 3c - XLPE - Std</v>
      </c>
      <c r="BS36" s="190">
        <v>1.5</v>
      </c>
      <c r="BT36" s="106"/>
    </row>
    <row r="37" spans="1:72" ht="14" customHeight="1" x14ac:dyDescent="0.15">
      <c r="A37" s="98"/>
      <c r="B37" s="162" t="s">
        <v>46</v>
      </c>
      <c r="C37" s="162"/>
      <c r="D37" s="162"/>
      <c r="E37" s="162"/>
      <c r="F37" s="162"/>
      <c r="G37" s="162"/>
      <c r="H37" s="162"/>
      <c r="I37" s="101"/>
      <c r="J37" s="101"/>
      <c r="K37" s="101"/>
      <c r="L37" s="101"/>
      <c r="M37" s="101"/>
      <c r="N37" s="101"/>
      <c r="O37" s="101"/>
      <c r="P37" s="101"/>
      <c r="Q37" s="101"/>
      <c r="R37" s="191">
        <f>IF(R29="Air",IF(R36=2,0.936,1),"N/A")</f>
        <v>0.93600000000000005</v>
      </c>
      <c r="S37" s="192"/>
      <c r="T37" s="192"/>
      <c r="U37" s="193"/>
      <c r="V37" s="180"/>
      <c r="W37" s="181"/>
      <c r="X37" s="182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4"/>
      <c r="AL37" s="105"/>
      <c r="AQ37" s="14" t="s">
        <v>9</v>
      </c>
      <c r="AU37" s="14">
        <f>R32*R35</f>
        <v>0.74260000000000004</v>
      </c>
      <c r="BS37" s="190">
        <v>2.5</v>
      </c>
      <c r="BT37" s="106"/>
    </row>
    <row r="38" spans="1:72" ht="14" customHeight="1" x14ac:dyDescent="0.15">
      <c r="A38" s="98"/>
      <c r="B38" s="162" t="s">
        <v>47</v>
      </c>
      <c r="C38" s="162"/>
      <c r="D38" s="162"/>
      <c r="E38" s="162"/>
      <c r="F38" s="162"/>
      <c r="G38" s="162"/>
      <c r="H38" s="162"/>
      <c r="I38" s="101"/>
      <c r="J38" s="101"/>
      <c r="K38" s="101"/>
      <c r="L38" s="101"/>
      <c r="M38" s="101"/>
      <c r="N38" s="101"/>
      <c r="O38" s="101"/>
      <c r="P38" s="101"/>
      <c r="Q38" s="101"/>
      <c r="R38" s="111">
        <v>0.5</v>
      </c>
      <c r="S38" s="112"/>
      <c r="T38" s="112"/>
      <c r="U38" s="113"/>
      <c r="V38" s="194" t="s">
        <v>48</v>
      </c>
      <c r="W38" s="195"/>
      <c r="X38" s="157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4"/>
      <c r="AL38" s="105"/>
      <c r="AQ38" s="14" t="s">
        <v>11</v>
      </c>
      <c r="AU38" s="14">
        <f>X22/AU37</f>
        <v>523.83517371397784</v>
      </c>
      <c r="BS38" s="190">
        <v>4</v>
      </c>
      <c r="BT38" s="106"/>
    </row>
    <row r="39" spans="1:72" ht="14" customHeight="1" x14ac:dyDescent="0.15">
      <c r="A39" s="98"/>
      <c r="B39" s="162" t="s">
        <v>49</v>
      </c>
      <c r="C39" s="162"/>
      <c r="D39" s="162"/>
      <c r="E39" s="162"/>
      <c r="F39" s="162"/>
      <c r="G39" s="162"/>
      <c r="H39" s="162"/>
      <c r="I39" s="101"/>
      <c r="J39" s="101"/>
      <c r="K39" s="101"/>
      <c r="L39" s="101"/>
      <c r="M39" s="101"/>
      <c r="N39" s="101"/>
      <c r="O39" s="101"/>
      <c r="P39" s="101"/>
      <c r="Q39" s="101"/>
      <c r="R39" s="124" t="str">
        <f>IF(R29="Air","N/A",VLOOKUP(R38,Depth_Derating,R48,FALSE))</f>
        <v>N/A</v>
      </c>
      <c r="S39" s="125"/>
      <c r="T39" s="125"/>
      <c r="U39" s="126"/>
      <c r="V39" s="180"/>
      <c r="W39" s="181"/>
      <c r="X39" s="182"/>
      <c r="Y39" s="101" t="s">
        <v>50</v>
      </c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4"/>
      <c r="AL39" s="105"/>
      <c r="AQ39" s="14" t="s">
        <v>13</v>
      </c>
      <c r="AU39" s="14">
        <f>AU38</f>
        <v>523.83517371397784</v>
      </c>
      <c r="BS39" s="190">
        <v>6</v>
      </c>
      <c r="BT39" s="106"/>
    </row>
    <row r="40" spans="1:72" ht="14" customHeight="1" x14ac:dyDescent="0.15">
      <c r="A40" s="98"/>
      <c r="B40" s="162" t="s">
        <v>51</v>
      </c>
      <c r="C40" s="162"/>
      <c r="D40" s="162"/>
      <c r="E40" s="162"/>
      <c r="F40" s="162"/>
      <c r="G40" s="162"/>
      <c r="H40" s="162"/>
      <c r="I40" s="101"/>
      <c r="J40" s="101"/>
      <c r="K40" s="101"/>
      <c r="L40" s="101"/>
      <c r="M40" s="101"/>
      <c r="N40" s="101"/>
      <c r="O40" s="101"/>
      <c r="P40" s="101"/>
      <c r="Q40" s="101"/>
      <c r="R40" s="196" t="str">
        <f>VLOOKUP(X15,Cable_Voltage,2,FALSE)</f>
        <v>0.6/1.0</v>
      </c>
      <c r="S40" s="171"/>
      <c r="T40" s="171"/>
      <c r="U40" s="197"/>
      <c r="V40" s="120" t="s">
        <v>52</v>
      </c>
      <c r="W40" s="121"/>
      <c r="X40" s="122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4"/>
      <c r="AL40" s="105"/>
      <c r="BS40" s="190">
        <v>10</v>
      </c>
      <c r="BT40" s="106"/>
    </row>
    <row r="41" spans="1:72" ht="14" customHeight="1" x14ac:dyDescent="0.15">
      <c r="A41" s="98"/>
      <c r="B41" s="162" t="s">
        <v>53</v>
      </c>
      <c r="C41" s="162"/>
      <c r="D41" s="162"/>
      <c r="E41" s="162"/>
      <c r="F41" s="162"/>
      <c r="G41" s="162"/>
      <c r="H41" s="162"/>
      <c r="I41" s="101"/>
      <c r="J41" s="101"/>
      <c r="K41" s="101"/>
      <c r="L41" s="101"/>
      <c r="M41" s="101"/>
      <c r="N41" s="101"/>
      <c r="O41" s="101"/>
      <c r="P41" s="101"/>
      <c r="Q41" s="101"/>
      <c r="R41" s="111" t="s">
        <v>54</v>
      </c>
      <c r="S41" s="198"/>
      <c r="T41" s="198"/>
      <c r="U41" s="199"/>
      <c r="V41" s="180"/>
      <c r="W41" s="181"/>
      <c r="X41" s="182"/>
      <c r="Y41" s="14" t="s">
        <v>55</v>
      </c>
      <c r="Z41" s="101"/>
      <c r="AA41" s="101"/>
      <c r="AB41" s="101"/>
      <c r="AC41" s="101"/>
      <c r="AD41" s="107" t="str">
        <f>IF(R41="1c","3 x 1c",IF(R41="3c","1 x 3c",IF(R41="4c","1 x 4c","error")))</f>
        <v>1 x 3c</v>
      </c>
      <c r="AE41" s="101"/>
      <c r="AG41" s="101"/>
      <c r="AH41" s="101"/>
      <c r="AI41" s="101"/>
      <c r="AJ41" s="104"/>
      <c r="AL41" s="105"/>
      <c r="AM41" s="14" t="s">
        <v>16</v>
      </c>
      <c r="AQ41" s="14" t="s">
        <v>17</v>
      </c>
      <c r="AV41" s="14">
        <f>'[2]Cable Lookup'!A31</f>
        <v>300</v>
      </c>
      <c r="AW41" s="14" t="s">
        <v>18</v>
      </c>
      <c r="BS41" s="190">
        <v>16</v>
      </c>
      <c r="BT41" s="106"/>
    </row>
    <row r="42" spans="1:72" ht="14.25" customHeight="1" x14ac:dyDescent="0.15">
      <c r="A42" s="98"/>
      <c r="B42" s="162" t="s">
        <v>56</v>
      </c>
      <c r="C42" s="162"/>
      <c r="D42" s="162"/>
      <c r="E42" s="162"/>
      <c r="F42" s="162"/>
      <c r="G42" s="162"/>
      <c r="H42" s="162"/>
      <c r="I42" s="101"/>
      <c r="J42" s="101"/>
      <c r="K42" s="101"/>
      <c r="L42" s="101"/>
      <c r="M42" s="101"/>
      <c r="N42" s="101"/>
      <c r="O42" s="101"/>
      <c r="P42" s="101"/>
      <c r="Q42" s="101"/>
      <c r="R42" s="200" t="s">
        <v>57</v>
      </c>
      <c r="S42" s="201"/>
      <c r="T42" s="201"/>
      <c r="U42" s="201"/>
      <c r="V42" s="201"/>
      <c r="W42" s="201"/>
      <c r="X42" s="202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4"/>
      <c r="AL42" s="105"/>
      <c r="BS42" s="190">
        <v>25</v>
      </c>
      <c r="BT42" s="106"/>
    </row>
    <row r="43" spans="1:72" ht="13.5" customHeight="1" x14ac:dyDescent="0.15">
      <c r="A43" s="98"/>
      <c r="B43" s="162" t="s">
        <v>58</v>
      </c>
      <c r="C43" s="162"/>
      <c r="D43" s="162"/>
      <c r="E43" s="162"/>
      <c r="F43" s="162"/>
      <c r="G43" s="162"/>
      <c r="H43" s="162"/>
      <c r="I43" s="101"/>
      <c r="J43" s="101"/>
      <c r="K43" s="101"/>
      <c r="L43" s="101"/>
      <c r="M43" s="101"/>
      <c r="N43" s="101"/>
      <c r="O43" s="101"/>
      <c r="P43" s="101"/>
      <c r="Q43" s="101"/>
      <c r="R43" s="203"/>
      <c r="S43" s="204"/>
      <c r="T43" s="204"/>
      <c r="U43" s="204"/>
      <c r="V43" s="204"/>
      <c r="W43" s="204"/>
      <c r="X43" s="205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4"/>
      <c r="AL43" s="105"/>
      <c r="BS43" s="190">
        <v>35</v>
      </c>
      <c r="BT43" s="106"/>
    </row>
    <row r="44" spans="1:72" ht="14" customHeight="1" x14ac:dyDescent="0.15">
      <c r="A44" s="98"/>
      <c r="B44" s="162" t="s">
        <v>59</v>
      </c>
      <c r="C44" s="162"/>
      <c r="D44" s="162"/>
      <c r="E44" s="162"/>
      <c r="F44" s="162"/>
      <c r="G44" s="162"/>
      <c r="H44" s="162"/>
      <c r="I44" s="101"/>
      <c r="J44" s="101"/>
      <c r="K44" s="101"/>
      <c r="L44" s="101"/>
      <c r="M44" s="101"/>
      <c r="N44" s="101"/>
      <c r="O44" s="101"/>
      <c r="P44" s="101"/>
      <c r="Q44" s="101"/>
      <c r="R44" s="177">
        <f>VLOOKUP(R42,Soil_Resistivity,2,FALSE)</f>
        <v>1.2</v>
      </c>
      <c r="S44" s="178"/>
      <c r="T44" s="178"/>
      <c r="U44" s="179"/>
      <c r="V44" s="206" t="s">
        <v>60</v>
      </c>
      <c r="W44" s="207"/>
      <c r="X44" s="208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4"/>
      <c r="AL44" s="105"/>
      <c r="AM44" s="14" t="s">
        <v>21</v>
      </c>
      <c r="AU44" s="14" t="s">
        <v>22</v>
      </c>
      <c r="AV44" s="14">
        <v>185</v>
      </c>
      <c r="AW44" s="14" t="s">
        <v>18</v>
      </c>
      <c r="BG44" s="14">
        <f>MAX(AV41:AV47)</f>
        <v>300</v>
      </c>
      <c r="BS44" s="190">
        <v>50</v>
      </c>
      <c r="BT44" s="106"/>
    </row>
    <row r="45" spans="1:72" ht="14" customHeight="1" x14ac:dyDescent="0.15">
      <c r="A45" s="98"/>
      <c r="B45" s="162" t="s">
        <v>61</v>
      </c>
      <c r="C45" s="162"/>
      <c r="D45" s="162"/>
      <c r="E45" s="162"/>
      <c r="F45" s="162"/>
      <c r="G45" s="162"/>
      <c r="H45" s="162"/>
      <c r="I45" s="101"/>
      <c r="J45" s="101"/>
      <c r="K45" s="101"/>
      <c r="L45" s="101"/>
      <c r="M45" s="101"/>
      <c r="N45" s="101"/>
      <c r="O45" s="101"/>
      <c r="P45" s="101"/>
      <c r="Q45" s="101"/>
      <c r="R45" s="177" t="str">
        <f>IF(R29="air","N/A",VLOOKUP(R44,Soil_Thermal_Res_Factor,IF(R41="3c",IF(R29="Ground",2,4),IF(R29="Ground",3,5)),FALSE))</f>
        <v>N/A</v>
      </c>
      <c r="S45" s="178"/>
      <c r="T45" s="178"/>
      <c r="U45" s="179"/>
      <c r="V45" s="209"/>
      <c r="W45" s="207"/>
      <c r="X45" s="208"/>
      <c r="Y45" s="101" t="s">
        <v>62</v>
      </c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4"/>
      <c r="AL45" s="105"/>
      <c r="AW45" s="14" t="s">
        <v>22</v>
      </c>
      <c r="BS45" s="190">
        <v>70</v>
      </c>
      <c r="BT45" s="106"/>
    </row>
    <row r="46" spans="1:72" ht="14" customHeight="1" x14ac:dyDescent="0.15">
      <c r="A46" s="98"/>
      <c r="B46" s="162" t="s">
        <v>63</v>
      </c>
      <c r="C46" s="162"/>
      <c r="D46" s="162"/>
      <c r="E46" s="162"/>
      <c r="F46" s="162"/>
      <c r="G46" s="162"/>
      <c r="H46" s="162"/>
      <c r="I46" s="101"/>
      <c r="J46" s="101"/>
      <c r="K46" s="101"/>
      <c r="L46" s="101"/>
      <c r="M46" s="101"/>
      <c r="N46" s="101"/>
      <c r="O46" s="101"/>
      <c r="P46" s="101"/>
      <c r="Q46" s="101"/>
      <c r="R46" s="210" t="str">
        <f>AW55</f>
        <v>XLPE</v>
      </c>
      <c r="S46" s="211"/>
      <c r="T46" s="211"/>
      <c r="U46" s="212"/>
      <c r="V46" s="180"/>
      <c r="W46" s="181"/>
      <c r="X46" s="182"/>
      <c r="Y46" s="188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4"/>
      <c r="AL46" s="105"/>
      <c r="BC46" s="14" t="s">
        <v>25</v>
      </c>
      <c r="BS46" s="190">
        <v>95</v>
      </c>
      <c r="BT46" s="106"/>
    </row>
    <row r="47" spans="1:72" ht="14" customHeight="1" x14ac:dyDescent="0.15">
      <c r="A47" s="98"/>
      <c r="B47" s="162" t="s">
        <v>64</v>
      </c>
      <c r="C47" s="162"/>
      <c r="D47" s="162"/>
      <c r="E47" s="162"/>
      <c r="F47" s="162"/>
      <c r="G47" s="162"/>
      <c r="H47" s="162"/>
      <c r="I47" s="101"/>
      <c r="J47" s="101"/>
      <c r="K47" s="101"/>
      <c r="L47" s="101"/>
      <c r="M47" s="101"/>
      <c r="N47" s="101"/>
      <c r="O47" s="101"/>
      <c r="P47" s="101"/>
      <c r="Q47" s="101"/>
      <c r="R47" s="111">
        <v>300</v>
      </c>
      <c r="S47" s="112"/>
      <c r="T47" s="112"/>
      <c r="U47" s="113"/>
      <c r="V47" s="120" t="s">
        <v>65</v>
      </c>
      <c r="W47" s="121"/>
      <c r="X47" s="122"/>
      <c r="Y47" s="213" t="str">
        <f>IF(ISERROR(R50),"Cable Size Not Available!","")</f>
        <v/>
      </c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4"/>
      <c r="AL47" s="105"/>
      <c r="AV47" s="14">
        <v>1</v>
      </c>
      <c r="AY47" s="14" t="s">
        <v>22</v>
      </c>
      <c r="BA47" s="14" t="s">
        <v>25</v>
      </c>
      <c r="BS47" s="190">
        <v>120</v>
      </c>
      <c r="BT47" s="106"/>
    </row>
    <row r="48" spans="1:72" ht="14" customHeight="1" x14ac:dyDescent="0.15">
      <c r="A48" s="98"/>
      <c r="B48" s="162" t="s">
        <v>66</v>
      </c>
      <c r="C48" s="162"/>
      <c r="D48" s="162"/>
      <c r="E48" s="162"/>
      <c r="F48" s="162"/>
      <c r="G48" s="162"/>
      <c r="H48" s="162"/>
      <c r="I48" s="101"/>
      <c r="J48" s="101"/>
      <c r="K48" s="101"/>
      <c r="L48" s="101"/>
      <c r="M48" s="101"/>
      <c r="N48" s="101"/>
      <c r="O48" s="101"/>
      <c r="P48" s="101"/>
      <c r="Q48" s="101"/>
      <c r="R48" s="170" t="str">
        <f>IF(R29="Air","N/A",IF(R29="Ground",IF(AX63&lt;55,2,IF(AX63&gt;300,4,3)),IF(R41="1c",5,6)))</f>
        <v>N/A</v>
      </c>
      <c r="S48" s="171"/>
      <c r="T48" s="171"/>
      <c r="U48" s="197"/>
      <c r="V48" s="180"/>
      <c r="W48" s="181"/>
      <c r="X48" s="182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4"/>
      <c r="AL48" s="105"/>
      <c r="BS48" s="190">
        <v>150</v>
      </c>
      <c r="BT48" s="106"/>
    </row>
    <row r="49" spans="1:72" ht="14" customHeight="1" x14ac:dyDescent="0.15">
      <c r="A49" s="98"/>
      <c r="B49" s="162" t="s">
        <v>67</v>
      </c>
      <c r="C49" s="162"/>
      <c r="D49" s="162"/>
      <c r="E49" s="162"/>
      <c r="F49" s="162"/>
      <c r="G49" s="162"/>
      <c r="H49" s="162"/>
      <c r="I49" s="101"/>
      <c r="J49" s="101"/>
      <c r="K49" s="101"/>
      <c r="L49" s="101"/>
      <c r="M49" s="101"/>
      <c r="N49" s="101"/>
      <c r="O49" s="101"/>
      <c r="P49" s="101"/>
      <c r="Q49" s="101"/>
      <c r="R49" s="111" t="s">
        <v>68</v>
      </c>
      <c r="S49" s="112"/>
      <c r="T49" s="112"/>
      <c r="U49" s="113"/>
      <c r="V49" s="214"/>
      <c r="W49" s="215"/>
      <c r="X49" s="216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4"/>
      <c r="AL49" s="105"/>
      <c r="BS49" s="190">
        <v>185</v>
      </c>
      <c r="BT49" s="106"/>
    </row>
    <row r="50" spans="1:72" ht="14" customHeight="1" x14ac:dyDescent="0.15">
      <c r="A50" s="98"/>
      <c r="B50" s="162" t="s">
        <v>69</v>
      </c>
      <c r="C50" s="162"/>
      <c r="D50" s="162"/>
      <c r="E50" s="162"/>
      <c r="F50" s="162"/>
      <c r="G50" s="162"/>
      <c r="H50" s="162"/>
      <c r="I50" s="101"/>
      <c r="J50" s="101"/>
      <c r="K50" s="101"/>
      <c r="L50" s="101"/>
      <c r="M50" s="101"/>
      <c r="N50" s="101"/>
      <c r="O50" s="101"/>
      <c r="P50" s="101"/>
      <c r="Q50" s="101"/>
      <c r="R50" s="124">
        <f>IF(X15&gt;1000, HLOOKUP( CONCATENATE("Current - ",R29," - ",IF(R41="1c","1c","3c"), " - ", X15),   Cable_Data_HV, VLOOKUP(AX63,Cable_Data_HV,2,FALSE), FALSE), IF(R49="Cu",HLOOKUP( CONCATENATE("Current - ",R29," - ",IF(R41="1c","1c","3c"), " - ", R46, " - ", VLOOKUP(R30, Cable_Type_Code, 2, FALSE)),   Cable_Data, VLOOKUP(AX63,Cable_Data,2,FALSE), FALSE),HLOOKUP( CONCATENATE("Current - ",R29," - ",IF(R41="1c","1c","3c"), " - ", R46, " - ", VLOOKUP(R30, Cable_Type_Code, 2, FALSE)),   Alum_Data, VLOOKUP(AX63,Alum_Data,2,FALSE), FALSE) ))</f>
        <v>594</v>
      </c>
      <c r="S50" s="125"/>
      <c r="T50" s="125"/>
      <c r="U50" s="126"/>
      <c r="V50" s="155" t="s">
        <v>70</v>
      </c>
      <c r="W50" s="156"/>
      <c r="X50" s="157"/>
      <c r="Y50" s="189" t="str">
        <f>IF(X15&lt;1000,"AS3008,","Olex")</f>
        <v>AS3008,</v>
      </c>
      <c r="AA50" s="101"/>
      <c r="AB50" s="101" t="str">
        <f>IF(X15&gt;1000, HLOOKUP( CONCATENATE("Current - ",VLOOKUP(R28,Install_Types,2,FALSE)," - ",IF(R41="1c","1c","3c"), " - ", X15), Cable_Data_HV, 19, FALSE),IF(R49="Cu",HLOOKUP(   CONCATENATE("Current - ",VLOOKUP(R28,Install_Types,2,FALSE)," - ",IF(R41="1c","1c","3c"), " - ", R46, " - ", VLOOKUP(R30, Cable_Type_Code, 2, FALSE)),   Cable_Data, 22, FALSE),HLOOKUP(   CONCATENATE("Current - ",VLOOKUP(R28,Install_Types,2,FALSE)," - ",IF(R41="1c","1c","3c"), " - ", R46, " - ", VLOOKUP(R30, Cable_Type_Code, 2, FALSE)),   Alum_Data, 22, FALSE)))</f>
        <v>Table 14, Column 2</v>
      </c>
      <c r="AD50" s="101"/>
      <c r="AE50" s="101"/>
      <c r="AF50" s="101"/>
      <c r="AG50" s="101"/>
      <c r="AH50" s="101"/>
      <c r="AI50" s="101"/>
      <c r="AJ50" s="104"/>
      <c r="AL50" s="105"/>
      <c r="BC50" s="14" t="s">
        <v>22</v>
      </c>
      <c r="BS50" s="190">
        <v>240</v>
      </c>
      <c r="BT50" s="106"/>
    </row>
    <row r="51" spans="1:72" ht="14" customHeight="1" x14ac:dyDescent="0.15">
      <c r="A51" s="98"/>
      <c r="B51" s="162" t="s">
        <v>71</v>
      </c>
      <c r="C51" s="162"/>
      <c r="D51" s="162"/>
      <c r="E51" s="162"/>
      <c r="F51" s="162"/>
      <c r="G51" s="162"/>
      <c r="H51" s="162"/>
      <c r="I51" s="101"/>
      <c r="J51" s="101"/>
      <c r="K51" s="101"/>
      <c r="L51" s="101"/>
      <c r="M51" s="101"/>
      <c r="N51" s="101"/>
      <c r="O51" s="101"/>
      <c r="P51" s="101"/>
      <c r="Q51" s="101"/>
      <c r="R51" s="217">
        <v>1</v>
      </c>
      <c r="S51" s="218"/>
      <c r="T51" s="218"/>
      <c r="U51" s="219"/>
      <c r="V51" s="180"/>
      <c r="W51" s="181"/>
      <c r="X51" s="182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4"/>
      <c r="AL51" s="105"/>
      <c r="BF51" s="14" t="s">
        <v>22</v>
      </c>
      <c r="BS51" s="190">
        <v>300</v>
      </c>
      <c r="BT51" s="106"/>
    </row>
    <row r="52" spans="1:72" ht="13" x14ac:dyDescent="0.15">
      <c r="A52" s="98"/>
      <c r="B52" s="162"/>
      <c r="C52" s="162"/>
      <c r="D52" s="162"/>
      <c r="E52" s="162"/>
      <c r="F52" s="162"/>
      <c r="G52" s="162"/>
      <c r="H52" s="162"/>
      <c r="I52" s="101"/>
      <c r="J52" s="101"/>
      <c r="K52" s="101"/>
      <c r="L52" s="101"/>
      <c r="M52" s="101"/>
      <c r="N52" s="101"/>
      <c r="O52" s="101"/>
      <c r="P52" s="101"/>
      <c r="Q52" s="101"/>
      <c r="R52" s="220"/>
      <c r="S52" s="221"/>
      <c r="T52" s="222"/>
      <c r="U52" s="223"/>
      <c r="V52" s="224"/>
      <c r="W52" s="225"/>
      <c r="X52" s="226"/>
      <c r="Y52" s="133"/>
      <c r="Z52" s="133"/>
      <c r="AA52" s="133"/>
      <c r="AB52" s="133"/>
      <c r="AC52" s="133"/>
      <c r="AD52" s="133"/>
      <c r="AE52" s="133"/>
      <c r="AF52" s="101"/>
      <c r="AG52" s="133"/>
      <c r="AH52" s="133"/>
      <c r="AI52" s="101"/>
      <c r="AJ52" s="104"/>
      <c r="AL52" s="105"/>
      <c r="BS52" s="190">
        <v>400</v>
      </c>
      <c r="BT52" s="106"/>
    </row>
    <row r="53" spans="1:72" ht="13" x14ac:dyDescent="0.15">
      <c r="A53" s="98"/>
      <c r="B53" s="227" t="s">
        <v>72</v>
      </c>
      <c r="C53" s="162"/>
      <c r="D53" s="162"/>
      <c r="E53" s="162"/>
      <c r="F53" s="162"/>
      <c r="G53" s="162"/>
      <c r="H53" s="162"/>
      <c r="I53" s="101"/>
      <c r="J53" s="101"/>
      <c r="K53" s="101"/>
      <c r="L53" s="101"/>
      <c r="M53" s="101"/>
      <c r="N53" s="101"/>
      <c r="O53" s="101"/>
      <c r="P53" s="101"/>
      <c r="Q53" s="101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01"/>
      <c r="AG53" s="133"/>
      <c r="AH53" s="133"/>
      <c r="AI53" s="101"/>
      <c r="AJ53" s="104"/>
      <c r="AL53" s="105"/>
      <c r="AN53" s="39" t="s">
        <v>73</v>
      </c>
      <c r="AO53" s="40"/>
      <c r="AP53" s="40"/>
      <c r="AQ53" s="40"/>
      <c r="AR53" s="40"/>
      <c r="AS53" s="40"/>
      <c r="AT53" s="40"/>
      <c r="AU53" s="40"/>
      <c r="AV53" s="40"/>
      <c r="AW53" s="40" t="str">
        <f>R94</f>
        <v>VSD</v>
      </c>
      <c r="AX53" s="40"/>
      <c r="AY53" s="40"/>
      <c r="AZ53" s="41"/>
      <c r="BS53" s="190">
        <v>500</v>
      </c>
      <c r="BT53" s="106"/>
    </row>
    <row r="54" spans="1:72" thickBot="1" x14ac:dyDescent="0.2">
      <c r="A54" s="98"/>
      <c r="B54" s="162" t="str">
        <f>IF(R41="4c","Neutral  50Hz Current as % of Phase Current","")</f>
        <v/>
      </c>
      <c r="C54" s="162"/>
      <c r="D54" s="162"/>
      <c r="E54" s="162"/>
      <c r="F54" s="162"/>
      <c r="G54" s="162"/>
      <c r="H54" s="162"/>
      <c r="I54" s="101"/>
      <c r="J54" s="101"/>
      <c r="K54" s="101"/>
      <c r="L54" s="101"/>
      <c r="M54" s="101"/>
      <c r="N54" s="101"/>
      <c r="O54" s="101"/>
      <c r="P54" s="101"/>
      <c r="Q54" s="101"/>
      <c r="R54" s="217">
        <v>20</v>
      </c>
      <c r="S54" s="218"/>
      <c r="T54" s="218"/>
      <c r="U54" s="219"/>
      <c r="V54" s="228" t="s">
        <v>14</v>
      </c>
      <c r="W54" s="229"/>
      <c r="X54" s="230"/>
      <c r="Y54" s="133" t="str">
        <f>IF(R41="4c"," ","&lt;== Not used")</f>
        <v>&lt;== Not used</v>
      </c>
      <c r="Z54" s="133"/>
      <c r="AA54" s="133"/>
      <c r="AB54" s="133"/>
      <c r="AC54" s="133"/>
      <c r="AD54" s="133"/>
      <c r="AE54" s="133"/>
      <c r="AF54" s="101"/>
      <c r="AG54" s="133"/>
      <c r="AH54" s="133"/>
      <c r="AI54" s="101"/>
      <c r="AJ54" s="104"/>
      <c r="AL54" s="105"/>
      <c r="AN54" s="105"/>
      <c r="AZ54" s="106"/>
      <c r="BS54" s="231">
        <v>630</v>
      </c>
      <c r="BT54" s="106"/>
    </row>
    <row r="55" spans="1:72" ht="13" x14ac:dyDescent="0.15">
      <c r="A55" s="98"/>
      <c r="B55" s="162" t="s">
        <v>74</v>
      </c>
      <c r="C55" s="162"/>
      <c r="D55" s="162"/>
      <c r="E55" s="162"/>
      <c r="F55" s="162"/>
      <c r="G55" s="162"/>
      <c r="H55" s="162"/>
      <c r="I55" s="101"/>
      <c r="J55" s="101"/>
      <c r="K55" s="101"/>
      <c r="L55" s="101"/>
      <c r="M55" s="101"/>
      <c r="N55" s="101"/>
      <c r="O55" s="101"/>
      <c r="P55" s="101"/>
      <c r="Q55" s="101"/>
      <c r="R55" s="232">
        <f>IF(R41="4c",X22*R54/100,0)</f>
        <v>0</v>
      </c>
      <c r="S55" s="233"/>
      <c r="T55" s="233"/>
      <c r="U55" s="234"/>
      <c r="V55" s="120" t="s">
        <v>70</v>
      </c>
      <c r="W55" s="121"/>
      <c r="X55" s="122"/>
      <c r="Y55" s="133" t="str">
        <f>IF(R41="4c"," ","&lt;== Not used")</f>
        <v>&lt;== Not used</v>
      </c>
      <c r="Z55" s="133"/>
      <c r="AA55" s="133"/>
      <c r="AB55" s="133"/>
      <c r="AC55" s="133"/>
      <c r="AD55" s="133"/>
      <c r="AE55" s="133"/>
      <c r="AF55" s="101"/>
      <c r="AG55" s="133"/>
      <c r="AH55" s="133"/>
      <c r="AI55" s="101"/>
      <c r="AJ55" s="104"/>
      <c r="AL55" s="105"/>
      <c r="AN55" s="172"/>
      <c r="AO55" s="169"/>
      <c r="AP55" s="169"/>
      <c r="AQ55" s="169"/>
      <c r="AR55" s="169"/>
      <c r="AS55" s="169"/>
      <c r="AT55" s="169"/>
      <c r="AU55" s="169"/>
      <c r="AV55" s="169"/>
      <c r="AW55" s="169" t="str">
        <f>IF(AW53="VSD","XLPE","PVC-V90")</f>
        <v>XLPE</v>
      </c>
      <c r="AX55" s="169"/>
      <c r="AY55" s="169"/>
      <c r="AZ55" s="173"/>
      <c r="BT55" s="106"/>
    </row>
    <row r="56" spans="1:72" ht="13" x14ac:dyDescent="0.15">
      <c r="A56" s="98"/>
      <c r="B56" s="162" t="str">
        <f>CONCATENATE("Are ",IF(R41="4c","3rd ","") &amp;"Harmonics Present")</f>
        <v>Are Harmonics Present</v>
      </c>
      <c r="C56" s="162"/>
      <c r="D56" s="162"/>
      <c r="E56" s="162"/>
      <c r="F56" s="162"/>
      <c r="G56" s="162"/>
      <c r="H56" s="162"/>
      <c r="I56" s="101"/>
      <c r="J56" s="101"/>
      <c r="K56" s="101"/>
      <c r="L56" s="101"/>
      <c r="M56" s="101"/>
      <c r="N56" s="101"/>
      <c r="O56" s="101"/>
      <c r="P56" s="101"/>
      <c r="Q56" s="101"/>
      <c r="R56" s="111" t="s">
        <v>75</v>
      </c>
      <c r="S56" s="112"/>
      <c r="T56" s="112"/>
      <c r="U56" s="113"/>
      <c r="V56" s="120"/>
      <c r="W56" s="121"/>
      <c r="X56" s="122"/>
      <c r="Y56" s="133" t="s">
        <v>76</v>
      </c>
      <c r="Z56" s="133"/>
      <c r="AA56" s="133"/>
      <c r="AB56" s="133"/>
      <c r="AC56" s="133"/>
      <c r="AD56" s="133"/>
      <c r="AE56" s="133"/>
      <c r="AF56" s="101"/>
      <c r="AG56" s="133"/>
      <c r="AH56" s="133"/>
      <c r="AI56" s="101"/>
      <c r="AJ56" s="104"/>
      <c r="AL56" s="105"/>
      <c r="BT56" s="106"/>
    </row>
    <row r="57" spans="1:72" ht="14" customHeight="1" x14ac:dyDescent="0.15">
      <c r="A57" s="98"/>
      <c r="B57" s="162" t="str">
        <f>CONCATENATE(IF(R41="4c","3rd Harmonic","Harmonics")&amp;" as % of Phase Current")</f>
        <v>Harmonics as % of Phase Current</v>
      </c>
      <c r="C57" s="162"/>
      <c r="D57" s="162"/>
      <c r="E57" s="162"/>
      <c r="F57" s="162"/>
      <c r="G57" s="162"/>
      <c r="H57" s="162"/>
      <c r="I57" s="101"/>
      <c r="J57" s="101"/>
      <c r="K57" s="101"/>
      <c r="L57" s="101"/>
      <c r="M57" s="101"/>
      <c r="N57" s="101"/>
      <c r="O57" s="101"/>
      <c r="P57" s="101"/>
      <c r="Q57" s="101"/>
      <c r="R57" s="217">
        <v>46</v>
      </c>
      <c r="S57" s="218"/>
      <c r="T57" s="218"/>
      <c r="U57" s="219"/>
      <c r="V57" s="228" t="s">
        <v>14</v>
      </c>
      <c r="W57" s="229"/>
      <c r="X57" s="230"/>
      <c r="Y57" s="133" t="str">
        <f>IF(R41="4c","Fluoro Lights and PC Pwr Supplies","VSD Drives, etc")</f>
        <v>VSD Drives, etc</v>
      </c>
      <c r="Z57" s="133"/>
      <c r="AA57" s="133"/>
      <c r="AB57" s="133"/>
      <c r="AC57" s="133"/>
      <c r="AD57" s="133"/>
      <c r="AE57" s="133"/>
      <c r="AF57" s="101"/>
      <c r="AG57" s="133"/>
      <c r="AH57" s="133"/>
      <c r="AI57" s="101"/>
      <c r="AJ57" s="104"/>
      <c r="AL57" s="172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73"/>
    </row>
    <row r="58" spans="1:72" ht="14" customHeight="1" x14ac:dyDescent="0.15">
      <c r="A58" s="98"/>
      <c r="B58" s="162" t="s">
        <v>77</v>
      </c>
      <c r="C58" s="162"/>
      <c r="D58" s="162"/>
      <c r="E58" s="162"/>
      <c r="F58" s="162"/>
      <c r="G58" s="162"/>
      <c r="H58" s="162"/>
      <c r="I58" s="101"/>
      <c r="J58" s="101"/>
      <c r="K58" s="101"/>
      <c r="L58" s="101"/>
      <c r="M58" s="101"/>
      <c r="N58" s="101"/>
      <c r="O58" s="101"/>
      <c r="P58" s="101"/>
      <c r="Q58" s="101"/>
      <c r="R58" s="170">
        <f>IF(R56="Yes",(100-R57)/100,1)</f>
        <v>1</v>
      </c>
      <c r="S58" s="171"/>
      <c r="T58" s="171"/>
      <c r="U58" s="197"/>
      <c r="V58" s="235"/>
      <c r="W58" s="236"/>
      <c r="X58" s="237"/>
      <c r="Y58" s="133" t="s">
        <v>78</v>
      </c>
      <c r="Z58" s="133"/>
      <c r="AA58" s="133"/>
      <c r="AB58" s="133"/>
      <c r="AC58" s="133"/>
      <c r="AD58" s="133"/>
      <c r="AE58" s="133"/>
      <c r="AF58" s="101"/>
      <c r="AG58" s="133"/>
      <c r="AH58" s="133"/>
      <c r="AI58" s="101"/>
      <c r="AJ58" s="104"/>
    </row>
    <row r="59" spans="1:72" ht="14" customHeight="1" x14ac:dyDescent="0.15">
      <c r="A59" s="98"/>
      <c r="B59" s="162" t="s">
        <v>79</v>
      </c>
      <c r="C59" s="162"/>
      <c r="D59" s="162"/>
      <c r="E59" s="162"/>
      <c r="F59" s="162"/>
      <c r="G59" s="162"/>
      <c r="H59" s="162"/>
      <c r="I59" s="101"/>
      <c r="J59" s="101"/>
      <c r="K59" s="101"/>
      <c r="L59" s="101"/>
      <c r="M59" s="101"/>
      <c r="N59" s="101"/>
      <c r="O59" s="101"/>
      <c r="P59" s="101"/>
      <c r="Q59" s="101"/>
      <c r="R59" s="170">
        <f>IF(R56="Yes",IF(R41="4c",VLOOKUP(R57,Harmonic_Reduction,2,TRUE),1),1)</f>
        <v>1</v>
      </c>
      <c r="S59" s="171"/>
      <c r="T59" s="171"/>
      <c r="U59" s="197"/>
      <c r="V59" s="120"/>
      <c r="W59" s="121"/>
      <c r="X59" s="122"/>
      <c r="Y59" s="133" t="str">
        <f>IF(R41="4c","AS3008, Table 2","")</f>
        <v/>
      </c>
      <c r="Z59" s="133"/>
      <c r="AA59" s="133"/>
      <c r="AB59" s="133"/>
      <c r="AC59" s="133"/>
      <c r="AD59" s="133"/>
      <c r="AE59" s="133"/>
      <c r="AF59" s="101"/>
      <c r="AG59" s="133"/>
      <c r="AH59" s="133"/>
      <c r="AI59" s="101"/>
      <c r="AJ59" s="104"/>
    </row>
    <row r="60" spans="1:72" ht="6" customHeight="1" x14ac:dyDescent="0.15">
      <c r="A60" s="134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  <c r="AA60" s="238"/>
      <c r="AB60" s="238"/>
      <c r="AC60" s="238"/>
      <c r="AD60" s="238"/>
      <c r="AE60" s="238"/>
      <c r="AF60" s="238"/>
      <c r="AG60" s="238"/>
      <c r="AH60" s="238"/>
      <c r="AI60" s="238"/>
      <c r="AJ60" s="168"/>
    </row>
    <row r="61" spans="1:72" ht="14" customHeight="1" x14ac:dyDescent="0.15">
      <c r="A61" s="98"/>
      <c r="B61" s="239" t="s">
        <v>80</v>
      </c>
      <c r="C61" s="162"/>
      <c r="D61" s="162"/>
      <c r="E61" s="162"/>
      <c r="F61" s="162"/>
      <c r="G61" s="162"/>
      <c r="H61" s="162"/>
      <c r="I61" s="101"/>
      <c r="J61" s="101"/>
      <c r="K61" s="101"/>
      <c r="L61" s="101"/>
      <c r="M61" s="101"/>
      <c r="N61" s="101"/>
      <c r="O61" s="101"/>
      <c r="P61" s="101"/>
      <c r="Q61" s="101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01"/>
      <c r="AG61" s="133"/>
      <c r="AH61" s="133"/>
      <c r="AI61" s="101"/>
      <c r="AJ61" s="104"/>
    </row>
    <row r="62" spans="1:72" ht="6.75" customHeight="1" x14ac:dyDescent="0.15">
      <c r="A62" s="98"/>
      <c r="B62" s="162"/>
      <c r="C62" s="162"/>
      <c r="D62" s="162"/>
      <c r="E62" s="162"/>
      <c r="F62" s="162"/>
      <c r="G62" s="162"/>
      <c r="H62" s="162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01"/>
      <c r="AG62" s="133"/>
      <c r="AH62" s="133"/>
      <c r="AI62" s="101"/>
      <c r="AJ62" s="104"/>
    </row>
    <row r="63" spans="1:72" ht="14" customHeight="1" x14ac:dyDescent="0.15">
      <c r="A63" s="98"/>
      <c r="B63" s="240" t="s">
        <v>81</v>
      </c>
      <c r="C63" s="241"/>
      <c r="D63" s="241"/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41"/>
      <c r="S63" s="242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01"/>
      <c r="AG63" s="133"/>
      <c r="AH63" s="133"/>
      <c r="AI63" s="133"/>
      <c r="AJ63" s="243"/>
      <c r="AU63" s="14" t="s">
        <v>17</v>
      </c>
      <c r="AX63" s="14">
        <f>IF(X15=415,AV41,AX14)</f>
        <v>300</v>
      </c>
      <c r="BG63" s="14">
        <f>MAX(AX63,AV44)</f>
        <v>300</v>
      </c>
    </row>
    <row r="64" spans="1:72" ht="14" customHeight="1" x14ac:dyDescent="0.15">
      <c r="A64" s="98"/>
      <c r="B64" s="240"/>
      <c r="C64" s="241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2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01"/>
      <c r="AG64" s="133"/>
      <c r="AH64" s="133"/>
      <c r="AI64" s="133"/>
      <c r="AJ64" s="243"/>
    </row>
    <row r="65" spans="1:36" ht="14" customHeight="1" x14ac:dyDescent="0.15">
      <c r="A65" s="98"/>
      <c r="B65" s="240"/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2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01"/>
      <c r="AG65" s="133"/>
      <c r="AH65" s="133"/>
      <c r="AI65" s="133"/>
      <c r="AJ65" s="243"/>
    </row>
    <row r="66" spans="1:36" ht="14" customHeight="1" x14ac:dyDescent="0.15">
      <c r="A66" s="98"/>
      <c r="B66" s="240"/>
      <c r="C66" s="241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2"/>
      <c r="T66" s="101"/>
      <c r="U66" s="101" t="s">
        <v>82</v>
      </c>
      <c r="V66" s="101"/>
      <c r="W66" s="101"/>
      <c r="X66" s="101"/>
      <c r="Y66" s="101"/>
      <c r="Z66" s="101"/>
      <c r="AA66" s="101"/>
      <c r="AB66" s="101" t="s">
        <v>83</v>
      </c>
      <c r="AC66" s="101"/>
      <c r="AD66" s="101"/>
      <c r="AE66" s="101"/>
      <c r="AF66" s="101"/>
      <c r="AG66" s="101" t="s">
        <v>84</v>
      </c>
      <c r="AH66" s="101"/>
      <c r="AI66" s="101"/>
      <c r="AJ66" s="104"/>
    </row>
    <row r="67" spans="1:36" ht="6.75" customHeight="1" x14ac:dyDescent="0.15">
      <c r="A67" s="98"/>
      <c r="B67" s="244"/>
      <c r="C67" s="244"/>
      <c r="D67" s="245"/>
      <c r="E67" s="244"/>
      <c r="F67" s="244"/>
      <c r="G67" s="244"/>
      <c r="H67" s="245"/>
      <c r="I67" s="244"/>
      <c r="J67" s="244"/>
      <c r="K67" s="244"/>
      <c r="L67" s="245"/>
      <c r="M67" s="244"/>
      <c r="N67" s="244"/>
      <c r="O67" s="244"/>
      <c r="P67" s="245"/>
      <c r="Q67" s="244"/>
      <c r="R67" s="244"/>
      <c r="S67" s="244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4"/>
    </row>
    <row r="68" spans="1:36" x14ac:dyDescent="0.15">
      <c r="A68" s="98"/>
      <c r="B68" s="246" t="s">
        <v>85</v>
      </c>
      <c r="C68" s="244"/>
      <c r="D68" s="245"/>
      <c r="E68" s="244"/>
      <c r="F68" s="244"/>
      <c r="G68" s="244"/>
      <c r="H68" s="245"/>
      <c r="I68" s="244"/>
      <c r="J68" s="244"/>
      <c r="K68" s="244"/>
      <c r="L68" s="245"/>
      <c r="M68" s="244"/>
      <c r="N68" s="244"/>
      <c r="O68" s="244"/>
      <c r="P68" s="245"/>
      <c r="Q68" s="244"/>
      <c r="R68" s="244"/>
      <c r="S68" s="244"/>
      <c r="T68" s="245"/>
      <c r="U68" s="244"/>
      <c r="V68" s="244"/>
      <c r="W68" s="244"/>
      <c r="X68" s="245"/>
      <c r="Y68" s="245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4"/>
    </row>
    <row r="69" spans="1:36" ht="6" customHeight="1" x14ac:dyDescent="0.15">
      <c r="A69" s="98"/>
      <c r="B69" s="246"/>
      <c r="C69" s="244"/>
      <c r="D69" s="245"/>
      <c r="E69" s="244"/>
      <c r="F69" s="244"/>
      <c r="G69" s="244"/>
      <c r="H69" s="245"/>
      <c r="I69" s="244"/>
      <c r="J69" s="244"/>
      <c r="K69" s="244"/>
      <c r="L69" s="245"/>
      <c r="M69" s="244"/>
      <c r="N69" s="244"/>
      <c r="O69" s="244"/>
      <c r="P69" s="245"/>
      <c r="Q69" s="244"/>
      <c r="R69" s="244"/>
      <c r="S69" s="244"/>
      <c r="T69" s="245"/>
      <c r="U69" s="244"/>
      <c r="V69" s="244"/>
      <c r="W69" s="244"/>
      <c r="X69" s="245"/>
      <c r="Y69" s="245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4"/>
    </row>
    <row r="70" spans="1:36" ht="13" x14ac:dyDescent="0.15">
      <c r="A70" s="98"/>
      <c r="B70" s="247" t="s">
        <v>86</v>
      </c>
      <c r="C70" s="244"/>
      <c r="D70" s="245"/>
      <c r="E70" s="244"/>
      <c r="F70" s="244"/>
      <c r="G70" s="244"/>
      <c r="H70" s="245"/>
      <c r="J70" s="244"/>
      <c r="K70" s="244"/>
      <c r="L70" s="244"/>
      <c r="M70" s="244"/>
      <c r="N70" s="245"/>
      <c r="O70" s="244"/>
      <c r="P70" s="244"/>
      <c r="Q70" s="248" t="s">
        <v>24</v>
      </c>
      <c r="R70" s="152">
        <f>X22+IF(R56="YES",X22*R57/100,0)</f>
        <v>389</v>
      </c>
      <c r="S70" s="153"/>
      <c r="T70" s="153"/>
      <c r="U70" s="154"/>
      <c r="V70" s="249" t="s">
        <v>70</v>
      </c>
      <c r="W70" s="250"/>
      <c r="X70" s="251"/>
      <c r="Y70" s="245"/>
      <c r="Z70" s="101"/>
      <c r="AA70" s="245"/>
      <c r="AB70" s="101"/>
      <c r="AC70" s="101"/>
      <c r="AD70" s="101"/>
      <c r="AE70" s="101"/>
      <c r="AF70" s="101"/>
      <c r="AG70" s="101"/>
      <c r="AH70" s="101"/>
      <c r="AI70" s="102"/>
      <c r="AJ70" s="104"/>
    </row>
    <row r="71" spans="1:36" ht="7.5" customHeight="1" x14ac:dyDescent="0.15">
      <c r="A71" s="98"/>
      <c r="B71" s="246"/>
      <c r="C71" s="244"/>
      <c r="D71" s="245"/>
      <c r="E71" s="244"/>
      <c r="F71" s="244"/>
      <c r="G71" s="244"/>
      <c r="H71" s="245"/>
      <c r="I71" s="244"/>
      <c r="J71" s="158"/>
      <c r="K71" s="101"/>
      <c r="L71" s="101"/>
      <c r="M71" s="101"/>
      <c r="N71" s="101"/>
      <c r="O71" s="101"/>
      <c r="P71" s="101"/>
      <c r="Q71" s="101"/>
      <c r="R71" s="244"/>
      <c r="S71" s="244"/>
      <c r="T71" s="244"/>
      <c r="U71" s="244"/>
      <c r="V71" s="245"/>
      <c r="W71" s="245"/>
      <c r="X71" s="101"/>
      <c r="Y71" s="245"/>
      <c r="Z71" s="101"/>
      <c r="AA71" s="245"/>
      <c r="AB71" s="101"/>
      <c r="AC71" s="101"/>
      <c r="AD71" s="101"/>
      <c r="AE71" s="101"/>
      <c r="AF71" s="101"/>
      <c r="AG71" s="101"/>
      <c r="AH71" s="101"/>
      <c r="AI71" s="102"/>
      <c r="AJ71" s="104"/>
    </row>
    <row r="72" spans="1:36" ht="13" x14ac:dyDescent="0.15">
      <c r="A72" s="98"/>
      <c r="B72" s="247" t="s">
        <v>87</v>
      </c>
      <c r="C72" s="244"/>
      <c r="D72" s="245"/>
      <c r="E72" s="244"/>
      <c r="F72" s="244"/>
      <c r="G72" s="244"/>
      <c r="H72" s="245"/>
      <c r="J72" s="244"/>
      <c r="K72" s="244"/>
      <c r="L72" s="244"/>
      <c r="M72" s="244"/>
      <c r="N72" s="245"/>
      <c r="O72" s="244"/>
      <c r="P72" s="244"/>
      <c r="Q72" s="248" t="s">
        <v>24</v>
      </c>
      <c r="R72" s="152" t="str">
        <f>IF(R41="4c",R55+IF(R56="Yes",X22*3*R57/100,0),"No Neutral")</f>
        <v>No Neutral</v>
      </c>
      <c r="S72" s="153"/>
      <c r="T72" s="153"/>
      <c r="U72" s="154"/>
      <c r="V72" s="249" t="str">
        <f>IF(R41="4c","Amps","")</f>
        <v/>
      </c>
      <c r="W72" s="250"/>
      <c r="X72" s="251"/>
      <c r="Y72" s="245"/>
      <c r="Z72" s="101"/>
      <c r="AA72" s="245"/>
      <c r="AB72" s="101"/>
      <c r="AC72" s="101"/>
      <c r="AD72" s="101"/>
      <c r="AE72" s="101"/>
      <c r="AF72" s="101"/>
      <c r="AG72" s="101"/>
      <c r="AH72" s="101"/>
      <c r="AI72" s="102"/>
      <c r="AJ72" s="104"/>
    </row>
    <row r="73" spans="1:36" ht="6" customHeight="1" x14ac:dyDescent="0.15">
      <c r="A73" s="98"/>
      <c r="B73" s="246"/>
      <c r="C73" s="244"/>
      <c r="D73" s="245"/>
      <c r="E73" s="244"/>
      <c r="F73" s="244"/>
      <c r="G73" s="244"/>
      <c r="H73" s="245"/>
      <c r="I73" s="244"/>
      <c r="J73" s="158"/>
      <c r="K73" s="101"/>
      <c r="L73" s="101"/>
      <c r="M73" s="101"/>
      <c r="N73" s="101"/>
      <c r="O73" s="101"/>
      <c r="P73" s="101"/>
      <c r="Q73" s="101"/>
      <c r="R73" s="244"/>
      <c r="S73" s="244"/>
      <c r="T73" s="244"/>
      <c r="U73" s="244"/>
      <c r="V73" s="245"/>
      <c r="W73" s="245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4"/>
    </row>
    <row r="74" spans="1:36" ht="13" x14ac:dyDescent="0.15">
      <c r="A74" s="98"/>
      <c r="B74" s="247" t="str">
        <f>CONCATENATE("Minimum Cable Rating "&amp;IF(R41="4c",IF(R56="Yes","to AS3008 Clause 3.5.9"," must be"),"must be"))</f>
        <v>Minimum Cable Rating must be</v>
      </c>
      <c r="C74" s="244"/>
      <c r="D74" s="245"/>
      <c r="E74" s="244"/>
      <c r="F74" s="244"/>
      <c r="G74" s="244"/>
      <c r="H74" s="245"/>
      <c r="I74" s="244"/>
      <c r="J74" s="158"/>
      <c r="K74" s="101"/>
      <c r="L74" s="101"/>
      <c r="M74" s="101"/>
      <c r="N74" s="101"/>
      <c r="O74" s="101"/>
      <c r="P74" s="101"/>
      <c r="Q74" s="248" t="s">
        <v>24</v>
      </c>
      <c r="R74" s="152">
        <f>IF(R41="4c",IF(R56="Yes",IF(R57&lt;34,R70/R59,R72/R59),MAX(R70,R72)),R70)</f>
        <v>389</v>
      </c>
      <c r="S74" s="153"/>
      <c r="T74" s="153"/>
      <c r="U74" s="154"/>
      <c r="V74" s="249" t="s">
        <v>70</v>
      </c>
      <c r="W74" s="250"/>
      <c r="X74" s="25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4"/>
    </row>
    <row r="75" spans="1:36" ht="5.25" customHeight="1" x14ac:dyDescent="0.15">
      <c r="A75" s="98"/>
      <c r="B75" s="246"/>
      <c r="C75" s="244"/>
      <c r="D75" s="245"/>
      <c r="E75" s="244"/>
      <c r="F75" s="244"/>
      <c r="G75" s="244"/>
      <c r="H75" s="245"/>
      <c r="I75" s="244"/>
      <c r="J75" s="158"/>
      <c r="K75" s="101"/>
      <c r="L75" s="101"/>
      <c r="M75" s="101"/>
      <c r="N75" s="101"/>
      <c r="O75" s="101"/>
      <c r="P75" s="101"/>
      <c r="Q75" s="101"/>
      <c r="R75" s="244"/>
      <c r="S75" s="244"/>
      <c r="T75" s="244"/>
      <c r="U75" s="244"/>
      <c r="V75" s="245"/>
      <c r="W75" s="245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4"/>
    </row>
    <row r="76" spans="1:36" ht="14" customHeight="1" x14ac:dyDescent="0.15">
      <c r="A76" s="98"/>
      <c r="B76" s="245"/>
      <c r="C76" s="101"/>
      <c r="D76" s="101"/>
      <c r="E76" s="101"/>
      <c r="F76" s="101"/>
      <c r="G76" s="101"/>
      <c r="H76" s="101"/>
      <c r="I76" s="252" t="s">
        <v>88</v>
      </c>
      <c r="J76" s="253" t="s">
        <v>24</v>
      </c>
      <c r="K76" s="254" t="str">
        <f>IF(R29="Air","# of Cores/Ph x Nominal Current Rating x Ambient DF x Spacing DF x Layers DF * Harmonic RF","# of Cores/Ph x Nominal Current Rating x Soil Temp DF x Spacing DF x Depth DF * Harmonic RF")</f>
        <v># of Cores/Ph x Nominal Current Rating x Ambient DF x Spacing DF x Layers DF * Harmonic RF</v>
      </c>
      <c r="L76" s="255"/>
      <c r="M76" s="255"/>
      <c r="N76" s="255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  <c r="AA76" s="255"/>
      <c r="AB76" s="255"/>
      <c r="AC76" s="255"/>
      <c r="AD76" s="255"/>
      <c r="AE76" s="255"/>
      <c r="AF76" s="255"/>
      <c r="AG76" s="255"/>
      <c r="AH76" s="255"/>
      <c r="AI76" s="102"/>
      <c r="AJ76" s="104"/>
    </row>
    <row r="77" spans="1:36" ht="14" customHeight="1" x14ac:dyDescent="0.15">
      <c r="A77" s="98"/>
      <c r="B77" s="101"/>
      <c r="C77" s="101"/>
      <c r="D77" s="101"/>
      <c r="E77" s="101"/>
      <c r="F77" s="101"/>
      <c r="G77" s="101"/>
      <c r="H77" s="101"/>
      <c r="I77" s="101"/>
      <c r="J77" s="158" t="s">
        <v>24</v>
      </c>
      <c r="K77" s="101"/>
      <c r="L77" s="101"/>
      <c r="M77" s="101"/>
      <c r="N77" s="101"/>
      <c r="O77" s="101"/>
      <c r="P77" s="101"/>
      <c r="Q77" s="101"/>
      <c r="R77" s="256">
        <f>IF(R29="Air",(R51*R50*R32*R35*R37*R59), (R51*R50*R32*R35*R39*R45*R59 ))</f>
        <v>412.87371840000009</v>
      </c>
      <c r="S77" s="257"/>
      <c r="T77" s="257"/>
      <c r="U77" s="258"/>
      <c r="V77" s="249" t="s">
        <v>70</v>
      </c>
      <c r="W77" s="250"/>
      <c r="X77" s="25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4"/>
    </row>
    <row r="78" spans="1:36" ht="13" x14ac:dyDescent="0.15">
      <c r="A78" s="98"/>
      <c r="B78" s="101"/>
      <c r="C78" s="101"/>
      <c r="D78" s="101"/>
      <c r="E78" s="101"/>
      <c r="F78" s="101"/>
      <c r="G78" s="101"/>
      <c r="H78" s="101"/>
      <c r="I78" s="101"/>
      <c r="J78" s="158"/>
      <c r="K78" s="101"/>
      <c r="L78" s="101"/>
      <c r="M78" s="101"/>
      <c r="N78" s="101"/>
      <c r="O78" s="101"/>
      <c r="P78" s="101"/>
      <c r="Q78" s="101"/>
      <c r="R78" s="244"/>
      <c r="S78" s="244"/>
      <c r="T78" s="244"/>
      <c r="U78" s="244"/>
      <c r="V78" s="245"/>
      <c r="W78" s="245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4"/>
    </row>
    <row r="79" spans="1:36" ht="14" customHeight="1" x14ac:dyDescent="0.15">
      <c r="A79" s="98"/>
      <c r="B79" s="245"/>
      <c r="C79" s="101"/>
      <c r="D79" s="101"/>
      <c r="E79" s="101"/>
      <c r="F79" s="101"/>
      <c r="G79" s="101"/>
      <c r="H79" s="101"/>
      <c r="I79" s="259" t="s">
        <v>89</v>
      </c>
      <c r="J79" s="158" t="s">
        <v>24</v>
      </c>
      <c r="K79" s="101" t="s">
        <v>90</v>
      </c>
      <c r="L79" s="101"/>
      <c r="M79" s="101"/>
      <c r="N79" s="101"/>
      <c r="O79" s="101"/>
      <c r="P79" s="101"/>
      <c r="Q79" s="101"/>
      <c r="R79" s="260"/>
      <c r="S79" s="261"/>
      <c r="T79" s="261"/>
      <c r="U79" s="262"/>
      <c r="V79" s="245"/>
      <c r="W79" s="245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4"/>
    </row>
    <row r="80" spans="1:36" ht="14" customHeight="1" x14ac:dyDescent="0.15">
      <c r="A80" s="98"/>
      <c r="B80" s="245"/>
      <c r="C80" s="101"/>
      <c r="D80" s="101"/>
      <c r="E80" s="101"/>
      <c r="F80" s="101"/>
      <c r="G80" s="101"/>
      <c r="H80" s="101"/>
      <c r="I80" s="101"/>
      <c r="J80" s="158" t="s">
        <v>24</v>
      </c>
      <c r="K80" s="101"/>
      <c r="L80" s="101"/>
      <c r="M80" s="101"/>
      <c r="N80" s="101"/>
      <c r="O80" s="101"/>
      <c r="P80" s="101"/>
      <c r="Q80" s="101"/>
      <c r="R80" s="152">
        <f>R77-MAX(R70,R72)</f>
        <v>23.873718400000087</v>
      </c>
      <c r="S80" s="153"/>
      <c r="T80" s="153"/>
      <c r="U80" s="154"/>
      <c r="V80" s="155" t="s">
        <v>70</v>
      </c>
      <c r="W80" s="156"/>
      <c r="X80" s="157"/>
      <c r="Y80" s="263" t="s">
        <v>24</v>
      </c>
      <c r="Z80" s="264">
        <f>R80/R77</f>
        <v>5.7823293990514467E-2</v>
      </c>
      <c r="AA80" s="265"/>
      <c r="AB80" s="266"/>
      <c r="AC80" s="267" t="s">
        <v>91</v>
      </c>
      <c r="AD80" s="268"/>
      <c r="AE80" s="268"/>
      <c r="AF80" s="268"/>
      <c r="AG80" s="268"/>
      <c r="AH80" s="268"/>
      <c r="AJ80" s="104"/>
    </row>
    <row r="81" spans="1:36" ht="7.5" customHeight="1" x14ac:dyDescent="0.15">
      <c r="A81" s="98"/>
      <c r="B81" s="245"/>
      <c r="C81" s="101"/>
      <c r="D81" s="101"/>
      <c r="E81" s="101"/>
      <c r="F81" s="101"/>
      <c r="G81" s="101"/>
      <c r="H81" s="101"/>
      <c r="I81" s="101"/>
      <c r="J81" s="245"/>
      <c r="K81" s="101"/>
      <c r="L81" s="101"/>
      <c r="M81" s="101"/>
      <c r="N81" s="101"/>
      <c r="O81" s="101"/>
      <c r="P81" s="101"/>
      <c r="Q81" s="101"/>
      <c r="R81" s="245"/>
      <c r="S81" s="101"/>
      <c r="T81" s="101"/>
      <c r="U81" s="101"/>
      <c r="V81" s="101"/>
      <c r="W81" s="101"/>
      <c r="X81" s="101"/>
      <c r="Y81" s="245"/>
      <c r="Z81" s="101"/>
      <c r="AA81" s="101"/>
      <c r="AB81" s="101"/>
      <c r="AC81" s="245"/>
      <c r="AD81" s="101"/>
      <c r="AE81" s="101"/>
      <c r="AF81" s="101"/>
      <c r="AG81" s="101"/>
      <c r="AH81" s="101"/>
      <c r="AI81" s="101"/>
      <c r="AJ81" s="104"/>
    </row>
    <row r="82" spans="1:36" x14ac:dyDescent="0.15">
      <c r="A82" s="98"/>
      <c r="B82" s="269" t="s">
        <v>92</v>
      </c>
      <c r="C82" s="270"/>
      <c r="D82" s="270"/>
      <c r="E82" s="270"/>
      <c r="F82" s="270"/>
      <c r="G82" s="270"/>
      <c r="H82" s="270"/>
      <c r="I82" s="271"/>
      <c r="J82" s="272" t="s">
        <v>24</v>
      </c>
      <c r="K82" s="273" t="str">
        <f>IF((R80&gt;0), "Cable Selection is Satisfactory for Current Rating", "Revise cable selection !")</f>
        <v>Cable Selection is Satisfactory for Current Rating</v>
      </c>
      <c r="L82" s="274"/>
      <c r="M82" s="274"/>
      <c r="N82" s="274"/>
      <c r="O82" s="274"/>
      <c r="P82" s="274"/>
      <c r="Q82" s="274"/>
      <c r="R82" s="274"/>
      <c r="S82" s="274"/>
      <c r="T82" s="274"/>
      <c r="U82" s="274"/>
      <c r="V82" s="274"/>
      <c r="W82" s="274"/>
      <c r="X82" s="274"/>
      <c r="Y82" s="274"/>
      <c r="Z82" s="274"/>
      <c r="AA82" s="274"/>
      <c r="AB82" s="274"/>
      <c r="AC82" s="274"/>
      <c r="AD82" s="156"/>
      <c r="AE82" s="156"/>
      <c r="AF82" s="156"/>
      <c r="AG82" s="156"/>
      <c r="AH82" s="156"/>
      <c r="AI82" s="101"/>
      <c r="AJ82" s="104"/>
    </row>
    <row r="83" spans="1:36" ht="7.5" customHeight="1" x14ac:dyDescent="0.15">
      <c r="A83" s="98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4"/>
    </row>
    <row r="84" spans="1:36" ht="16" x14ac:dyDescent="0.2">
      <c r="A84" s="98"/>
      <c r="B84" s="275" t="str">
        <f>IF(R80&gt;0,CONCATENATE("Use ",R51," off  ",AD41," ",AV41,"mm2 ",R49," ",R46," ",R40,"kV"),"")</f>
        <v>Use 1 off  1 x 3c 300mm2 Cu XLPE 0.6/1.0kV</v>
      </c>
      <c r="C84" s="276"/>
      <c r="D84" s="276"/>
      <c r="E84" s="276"/>
      <c r="F84" s="276"/>
      <c r="G84" s="276"/>
      <c r="H84" s="276"/>
      <c r="I84" s="276"/>
      <c r="J84" s="276"/>
      <c r="K84" s="276"/>
      <c r="L84" s="276"/>
      <c r="M84" s="276"/>
      <c r="N84" s="276"/>
      <c r="O84" s="276"/>
      <c r="P84" s="276"/>
      <c r="Q84" s="276"/>
      <c r="R84" s="276"/>
      <c r="S84" s="276"/>
      <c r="T84" s="276"/>
      <c r="U84" s="277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4"/>
    </row>
    <row r="85" spans="1:36" ht="9" customHeight="1" x14ac:dyDescent="0.15">
      <c r="A85" s="98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04"/>
    </row>
    <row r="86" spans="1:36" ht="7.5" customHeight="1" thickBot="1" x14ac:dyDescent="0.2">
      <c r="A86" s="98"/>
      <c r="B86" s="101"/>
      <c r="C86" s="101"/>
      <c r="D86" s="101"/>
      <c r="E86" s="98"/>
      <c r="F86" s="101"/>
      <c r="G86" s="98"/>
      <c r="H86" s="101"/>
      <c r="I86" s="101"/>
      <c r="J86" s="98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278"/>
    </row>
    <row r="87" spans="1:36" ht="13" x14ac:dyDescent="0.15">
      <c r="A87" s="98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7"/>
      <c r="AC87" s="279" t="s">
        <v>93</v>
      </c>
      <c r="AD87" s="280"/>
      <c r="AE87" s="280"/>
      <c r="AF87" s="280"/>
      <c r="AG87" s="280"/>
      <c r="AH87" s="280"/>
      <c r="AI87" s="281"/>
      <c r="AJ87" s="168"/>
    </row>
    <row r="88" spans="1:36" ht="14" customHeight="1" thickBot="1" x14ac:dyDescent="0.2">
      <c r="A88" s="98"/>
      <c r="B88" s="239" t="s">
        <v>94</v>
      </c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7"/>
      <c r="AC88" s="282">
        <f>IF(R94="VSD",(AF102*2*X15*10)/(R91*R95*X22/R51),(AF112*X15*10)/(R91*R95*X22/R51))</f>
        <v>123.5719744717174</v>
      </c>
      <c r="AD88" s="283"/>
      <c r="AE88" s="283"/>
      <c r="AF88" s="283"/>
      <c r="AG88" s="284" t="s">
        <v>48</v>
      </c>
      <c r="AH88" s="285"/>
      <c r="AI88" s="286"/>
      <c r="AJ88" s="168"/>
    </row>
    <row r="89" spans="1:36" ht="14" customHeight="1" x14ac:dyDescent="0.15">
      <c r="A89" s="98"/>
      <c r="B89" s="101" t="str">
        <f>IF(AB11="TNF","Transformer Cable Route Length","Motor Cable Route Length")</f>
        <v>Motor Cable Route Length</v>
      </c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87">
        <v>150</v>
      </c>
      <c r="S89" s="288"/>
      <c r="T89" s="288"/>
      <c r="U89" s="289"/>
      <c r="V89" s="206" t="s">
        <v>48</v>
      </c>
      <c r="W89" s="290"/>
      <c r="X89" s="291"/>
      <c r="Y89" s="101"/>
      <c r="Z89" s="101"/>
      <c r="AA89" s="101"/>
      <c r="AB89" s="101"/>
      <c r="AC89" s="103"/>
      <c r="AD89" s="103"/>
      <c r="AE89" s="103"/>
      <c r="AF89" s="103"/>
      <c r="AG89" s="103"/>
      <c r="AH89" s="103"/>
      <c r="AI89" s="103"/>
      <c r="AJ89" s="104"/>
    </row>
    <row r="90" spans="1:36" ht="14" customHeight="1" x14ac:dyDescent="0.15">
      <c r="A90" s="98"/>
      <c r="B90" s="292" t="str">
        <f>IF(AB11="TNF","Transformer Inrush Power Factor (pf)","Motor Starting Power Factor (pf)")</f>
        <v>Motor Starting Power Factor (pf)</v>
      </c>
      <c r="C90" s="293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94">
        <v>0.2</v>
      </c>
      <c r="S90" s="295"/>
      <c r="T90" s="295"/>
      <c r="U90" s="296"/>
      <c r="V90" s="120"/>
      <c r="W90" s="121"/>
      <c r="X90" s="122"/>
      <c r="Y90" s="101" t="s">
        <v>95</v>
      </c>
      <c r="Z90" s="101"/>
      <c r="AA90" s="101"/>
      <c r="AB90" s="101"/>
      <c r="AC90" s="101"/>
      <c r="AD90" s="101"/>
      <c r="AE90" s="101"/>
      <c r="AF90" s="101"/>
      <c r="AG90" s="101"/>
      <c r="AH90" s="101" t="s">
        <v>96</v>
      </c>
      <c r="AI90" s="101"/>
      <c r="AJ90" s="104"/>
    </row>
    <row r="91" spans="1:36" ht="14" customHeight="1" x14ac:dyDescent="0.15">
      <c r="A91" s="98"/>
      <c r="B91" s="162" t="s">
        <v>97</v>
      </c>
      <c r="C91" s="162"/>
      <c r="D91" s="162"/>
      <c r="E91" s="162"/>
      <c r="F91" s="162"/>
      <c r="G91" s="162"/>
      <c r="H91" s="162"/>
      <c r="I91" s="101"/>
      <c r="J91" s="101"/>
      <c r="K91" s="101"/>
      <c r="L91" s="101"/>
      <c r="M91" s="101"/>
      <c r="N91" s="101"/>
      <c r="O91" s="101"/>
      <c r="P91" s="101"/>
      <c r="Q91" s="101"/>
      <c r="R91" s="124">
        <f>IF(X15&gt;1000, HLOOKUP( CONCATENATE("mV/Am - ",IF(R41="1c","1c","3c"), " - ", R46), Cable_Data_HV, VLOOKUP(AV44, Cable_Data_HV, 2,FALSE), FALSE),IF(R49="Cu",HLOOKUP( CONCATENATE("mV/Am - ",IF(R41="1c","1c","3c"), " - ", R46), Cable_Data, VLOOKUP(AV44, Cable_Data, 2,FALSE), FALSE),HLOOKUP( CONCATENATE("mV/Am - ",IF(R41="1c","1c","3c"), " - ", R46), Alum_Data, VLOOKUP(AV44, Alum_Data, 2,FALSE), FALSE)))</f>
        <v>0.25900000000000001</v>
      </c>
      <c r="S91" s="125"/>
      <c r="T91" s="125"/>
      <c r="U91" s="126"/>
      <c r="V91" s="155" t="s">
        <v>98</v>
      </c>
      <c r="W91" s="156"/>
      <c r="X91" s="157"/>
      <c r="Y91" s="189" t="s">
        <v>40</v>
      </c>
      <c r="AA91" s="101"/>
      <c r="AB91" s="101" t="str">
        <f>IF(R49="CU",HLOOKUP(   CONCATENATE("mV/Am - ",IF(R41="1c","1c","3c"), " - ", R46),   Cable_Data,22, FALSE),HLOOKUP(   CONCATENATE("mV/Am - ",IF(R41="1c","1c","3c"), " - ", R46),   Alum_Data,22, FALSE))</f>
        <v>Table 42 &amp; 90°C</v>
      </c>
      <c r="AD91" s="101"/>
      <c r="AE91" s="101"/>
      <c r="AF91" s="101"/>
      <c r="AG91" s="101"/>
      <c r="AH91" s="101"/>
      <c r="AI91" s="101"/>
      <c r="AJ91" s="104"/>
    </row>
    <row r="92" spans="1:36" ht="14" customHeight="1" x14ac:dyDescent="0.2">
      <c r="A92" s="98"/>
      <c r="B92" s="101" t="s">
        <v>99</v>
      </c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24">
        <f>IF(X15&gt;1000, HLOOKUP( CONCATENATE("R - ",IF(R41="1c","1c","3c"), " - ", R46), Cable_Data_HV, VLOOKUP(AV44,Cable_Data_HV,2,FALSE), FALSE),
IF(R49="Cu", HLOOKUP(CONCATENATE("R - ",IF(R41="1c","1c","3c"), " - ", R46), Cable_Data, VLOOKUP(AV44,Cable_Data,2,FALSE), FALSE),HLOOKUP(CONCATENATE("R - ",IF(R41="1c","1c","3c"), " - ", R46), Alum_Data, VLOOKUP(AV44,Alum_Data,2,FALSE), FALSE)))</f>
        <v>0.129</v>
      </c>
      <c r="S92" s="125"/>
      <c r="T92" s="125"/>
      <c r="U92" s="126"/>
      <c r="V92" s="297" t="s">
        <v>100</v>
      </c>
      <c r="W92" s="298"/>
      <c r="X92" s="299"/>
      <c r="Y92" s="101" t="str">
        <f>IF(X15&gt;1000,"Olex","AS3008,")</f>
        <v>AS3008,</v>
      </c>
      <c r="Z92" s="101"/>
      <c r="AA92" s="101"/>
      <c r="AB92" s="107" t="str">
        <f>IF(X15&gt;1000,HLOOKUP( CONCATENATE("R - ",IF(R41="1c","1c","3c"), " - ", R46),   Cable_Data_HV, 19, FALSE),IF(R49="Cu",HLOOKUP( CONCATENATE("R - ",IF(R41="1c","1c","3c"), " - ", R46), Cable_Data, 22, FALSE),HLOOKUP( CONCATENATE("R - ",IF(R41="1c","1c","3c"), " - ", R46), Alum_Data, 22, FALSE) ))</f>
        <v>Table 35</v>
      </c>
      <c r="AC92" s="238"/>
      <c r="AD92" s="238"/>
      <c r="AE92" s="101"/>
      <c r="AF92" s="101"/>
      <c r="AG92" s="101"/>
      <c r="AH92" s="101" t="s">
        <v>96</v>
      </c>
      <c r="AI92" s="101"/>
      <c r="AJ92" s="104"/>
    </row>
    <row r="93" spans="1:36" ht="14" customHeight="1" x14ac:dyDescent="0.2">
      <c r="A93" s="98"/>
      <c r="B93" s="101" t="s">
        <v>101</v>
      </c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24">
        <f>IF(X15&gt;1000,HLOOKUP(CONCATENATE("X - ",IF(R41="1c","1c","3c")," - ",R46),Cable_Data_HV,VLOOKUP(AX63,Cable_Data_HV,2,FALSE),FALSE),IF(R49="Cu",HLOOKUP(CONCATENATE("X - ",IF(R41="1c","1c","3c")," - ",R46), Cable_Data, VLOOKUP(AX63,Cable_Data,2,FALSE),FALSE),HLOOKUP(CONCATENATE("X - ",IF(R41="1c","1c","3c")," - ",R46), Alum_Data, VLOOKUP(AX63,Alum_Data,2,FALSE),FALSE)))</f>
        <v>7.0400000000000004E-2</v>
      </c>
      <c r="S93" s="125"/>
      <c r="T93" s="125"/>
      <c r="U93" s="126"/>
      <c r="V93" s="297" t="s">
        <v>100</v>
      </c>
      <c r="W93" s="298"/>
      <c r="X93" s="299"/>
      <c r="Y93" s="101" t="str">
        <f>IF(X15&gt;1000,"Olex","AS3008,")</f>
        <v>AS3008,</v>
      </c>
      <c r="Z93" s="101"/>
      <c r="AA93" s="101"/>
      <c r="AB93" s="107" t="str">
        <f>IF(X15&gt;1000,HLOOKUP( CONCATENATE("X - ",IF(R41="1c","1c","3c"), " - ", R46),   Cable_Data_HV, 19, FALSE),IF(R49="Cu",HLOOKUP( CONCATENATE("X - ",IF(R41="1c","1c","3c"), " - ", R46), Cable_Data, 22, FALSE),HLOOKUP( CONCATENATE("X - ",IF(R41="1c","1c","3c"), " - ", R46), Alum_Data, 22, FALSE)) )</f>
        <v>Table 30</v>
      </c>
      <c r="AC93" s="101"/>
      <c r="AD93" s="101"/>
      <c r="AE93" s="101"/>
      <c r="AF93" s="101"/>
      <c r="AG93" s="101"/>
      <c r="AH93" s="101"/>
      <c r="AI93" s="101"/>
      <c r="AJ93" s="104"/>
    </row>
    <row r="94" spans="1:36" ht="14" customHeight="1" x14ac:dyDescent="0.15">
      <c r="A94" s="98"/>
      <c r="B94" s="101" t="s">
        <v>102</v>
      </c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17" t="s">
        <v>103</v>
      </c>
      <c r="S94" s="118"/>
      <c r="T94" s="118"/>
      <c r="U94" s="119"/>
      <c r="V94" s="297"/>
      <c r="W94" s="298"/>
      <c r="X94" s="299"/>
      <c r="Y94" s="227" t="str">
        <f>IF(AB12&lt;&gt;"kW","Not Applicable for this circuit","")</f>
        <v/>
      </c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4"/>
    </row>
    <row r="95" spans="1:36" ht="14" customHeight="1" x14ac:dyDescent="0.15">
      <c r="A95" s="98"/>
      <c r="B95" s="101" t="str">
        <f>IF(AB11="TNF","Transformer Inrush Current (x FLC)",IF(AB11="EDB","Dist Board Max Current (x FLC)",IF(AB11="MCC","MCC Max Current (x FLC)", "Motor Starting Current (x FLC)")))</f>
        <v>Motor Starting Current (x FLC)</v>
      </c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52">
        <f>IF(AB11="TNF",7,IF(AB11="EDB",2,IF(AB11="MCC",2,IF(R94="N/A","error",LOOKUP(R94,'[1]AS3008 Look_Up_Tables'!AK54:AK57,'[1]AS3008 Look_Up_Tables'!AL54:AL57)))))</f>
        <v>2</v>
      </c>
      <c r="S95" s="153"/>
      <c r="T95" s="153"/>
      <c r="U95" s="154"/>
      <c r="V95" s="120" t="s">
        <v>15</v>
      </c>
      <c r="W95" s="121"/>
      <c r="X95" s="122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4"/>
    </row>
    <row r="96" spans="1:36" ht="8.25" customHeight="1" x14ac:dyDescent="0.15">
      <c r="A96" s="98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01"/>
      <c r="AH96" s="101"/>
      <c r="AI96" s="101"/>
      <c r="AJ96" s="104"/>
    </row>
    <row r="97" spans="1:36" ht="14" customHeight="1" x14ac:dyDescent="0.15">
      <c r="A97" s="134"/>
      <c r="B97" s="135" t="s">
        <v>104</v>
      </c>
      <c r="C97" s="136"/>
      <c r="D97" s="136"/>
      <c r="E97" s="136"/>
      <c r="F97" s="136"/>
      <c r="G97" s="136"/>
      <c r="H97" s="137"/>
      <c r="I97" s="300" t="s">
        <v>24</v>
      </c>
      <c r="J97" s="139" t="s">
        <v>105</v>
      </c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1"/>
      <c r="AG97" s="102"/>
      <c r="AH97" s="101"/>
      <c r="AI97" s="101"/>
      <c r="AJ97" s="104"/>
    </row>
    <row r="98" spans="1:36" ht="14" customHeight="1" x14ac:dyDescent="0.15">
      <c r="A98" s="134"/>
      <c r="B98" s="142"/>
      <c r="C98" s="143"/>
      <c r="D98" s="143"/>
      <c r="E98" s="143"/>
      <c r="F98" s="143"/>
      <c r="G98" s="143"/>
      <c r="H98" s="144"/>
      <c r="I98" s="301"/>
      <c r="J98" s="146" t="s">
        <v>106</v>
      </c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8"/>
      <c r="AG98" s="102"/>
      <c r="AH98" s="101"/>
      <c r="AI98" s="101"/>
      <c r="AJ98" s="104"/>
    </row>
    <row r="99" spans="1:36" ht="9" customHeight="1" x14ac:dyDescent="0.15">
      <c r="A99" s="302"/>
      <c r="B99" s="303"/>
      <c r="C99" s="303"/>
      <c r="D99" s="303"/>
      <c r="E99" s="303"/>
      <c r="F99" s="303"/>
      <c r="G99" s="303"/>
      <c r="H99" s="303"/>
      <c r="I99" s="303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304"/>
      <c r="AB99" s="304"/>
      <c r="AC99" s="304"/>
      <c r="AD99" s="304"/>
      <c r="AE99" s="304"/>
      <c r="AF99" s="305"/>
      <c r="AG99" s="133"/>
      <c r="AH99" s="133"/>
      <c r="AI99" s="133"/>
      <c r="AJ99" s="243"/>
    </row>
    <row r="100" spans="1:36" ht="14" customHeight="1" x14ac:dyDescent="0.15">
      <c r="A100" s="302"/>
      <c r="B100" s="306"/>
      <c r="C100" s="306"/>
      <c r="D100" s="306"/>
      <c r="E100" s="307"/>
      <c r="F100" s="307"/>
      <c r="G100" s="307"/>
      <c r="H100" s="252" t="s">
        <v>107</v>
      </c>
      <c r="I100" s="308" t="s">
        <v>24</v>
      </c>
      <c r="J100" s="177">
        <f>(X22*R89*R91)/(1000*R51)</f>
        <v>15.11265</v>
      </c>
      <c r="K100" s="178"/>
      <c r="L100" s="178"/>
      <c r="M100" s="120" t="s">
        <v>20</v>
      </c>
      <c r="N100" s="121"/>
      <c r="O100" s="122"/>
      <c r="P100" s="304"/>
      <c r="Q100" s="304"/>
      <c r="R100" s="304"/>
      <c r="S100" s="304"/>
      <c r="T100" s="304"/>
      <c r="U100" s="304"/>
      <c r="V100" s="304"/>
      <c r="W100" s="304"/>
      <c r="X100" s="252" t="s">
        <v>108</v>
      </c>
      <c r="Y100" s="309" t="s">
        <v>24</v>
      </c>
      <c r="Z100" s="177">
        <f>SQRT(3)*X22*(R89*SQRT(R92^2+R93^2)/1000)/R51</f>
        <v>14.852508534395797</v>
      </c>
      <c r="AA100" s="178"/>
      <c r="AB100" s="179"/>
      <c r="AC100" s="120" t="s">
        <v>20</v>
      </c>
      <c r="AD100" s="121"/>
      <c r="AE100" s="122"/>
      <c r="AF100" s="133"/>
      <c r="AG100" s="133"/>
      <c r="AH100" s="133"/>
      <c r="AI100" s="133"/>
      <c r="AJ100" s="243"/>
    </row>
    <row r="101" spans="1:36" ht="10.5" customHeight="1" thickBot="1" x14ac:dyDescent="0.2">
      <c r="A101" s="302"/>
      <c r="B101" s="310"/>
      <c r="C101" s="310"/>
      <c r="D101" s="310"/>
      <c r="E101" s="310"/>
      <c r="F101" s="310"/>
      <c r="G101" s="310"/>
      <c r="H101" s="310"/>
      <c r="I101" s="310"/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11"/>
      <c r="W101" s="311"/>
      <c r="X101" s="311"/>
      <c r="Y101" s="311"/>
      <c r="Z101" s="101"/>
      <c r="AA101" s="101"/>
      <c r="AB101" s="311"/>
      <c r="AC101" s="311"/>
      <c r="AD101" s="311"/>
      <c r="AE101" s="311"/>
      <c r="AF101" s="133"/>
      <c r="AG101" s="133"/>
      <c r="AH101" s="133"/>
      <c r="AI101" s="133"/>
      <c r="AJ101" s="243"/>
    </row>
    <row r="102" spans="1:36" ht="14" customHeight="1" thickBot="1" x14ac:dyDescent="0.2">
      <c r="A102" s="312"/>
      <c r="B102" s="313" t="s">
        <v>109</v>
      </c>
      <c r="C102" s="314"/>
      <c r="D102" s="314"/>
      <c r="E102" s="314"/>
      <c r="F102" s="314"/>
      <c r="G102" s="314"/>
      <c r="H102" s="315"/>
      <c r="I102" s="300" t="s">
        <v>24</v>
      </c>
      <c r="J102" s="139" t="s">
        <v>110</v>
      </c>
      <c r="K102" s="140"/>
      <c r="L102" s="140"/>
      <c r="M102" s="140"/>
      <c r="N102" s="140"/>
      <c r="O102" s="140"/>
      <c r="P102" s="140"/>
      <c r="Q102" s="140"/>
      <c r="R102" s="140"/>
      <c r="S102" s="316"/>
      <c r="T102" s="317"/>
      <c r="U102" s="317"/>
      <c r="V102" s="317"/>
      <c r="W102" s="317"/>
      <c r="X102" s="318"/>
      <c r="Y102" s="101"/>
      <c r="Z102" s="101"/>
      <c r="AA102" s="101"/>
      <c r="AB102" s="319"/>
      <c r="AC102" s="320"/>
      <c r="AD102" s="320"/>
      <c r="AE102" s="321" t="s">
        <v>111</v>
      </c>
      <c r="AF102" s="322">
        <v>3</v>
      </c>
      <c r="AG102" s="323"/>
      <c r="AH102" s="324" t="s">
        <v>14</v>
      </c>
      <c r="AI102" s="133"/>
      <c r="AJ102" s="243"/>
    </row>
    <row r="103" spans="1:36" ht="14" customHeight="1" x14ac:dyDescent="0.15">
      <c r="A103" s="312"/>
      <c r="B103" s="325"/>
      <c r="C103" s="326"/>
      <c r="D103" s="326"/>
      <c r="E103" s="326"/>
      <c r="F103" s="326"/>
      <c r="G103" s="326"/>
      <c r="H103" s="327"/>
      <c r="I103" s="301"/>
      <c r="J103" s="139" t="s">
        <v>112</v>
      </c>
      <c r="K103" s="140"/>
      <c r="L103" s="140"/>
      <c r="M103" s="140"/>
      <c r="N103" s="140"/>
      <c r="O103" s="140"/>
      <c r="P103" s="140"/>
      <c r="Q103" s="140"/>
      <c r="R103" s="140"/>
      <c r="S103" s="316"/>
      <c r="T103" s="328"/>
      <c r="U103" s="328"/>
      <c r="V103" s="328"/>
      <c r="W103" s="328"/>
      <c r="X103" s="329"/>
      <c r="Y103" s="101"/>
      <c r="Z103" s="101"/>
      <c r="AA103" s="101"/>
      <c r="AB103" s="304"/>
      <c r="AC103" s="304"/>
      <c r="AD103" s="304"/>
      <c r="AE103" s="304"/>
      <c r="AF103" s="304"/>
      <c r="AG103" s="133"/>
      <c r="AH103" s="133"/>
      <c r="AI103" s="133"/>
      <c r="AJ103" s="243"/>
    </row>
    <row r="104" spans="1:36" s="13" customFormat="1" ht="12.75" customHeight="1" x14ac:dyDescent="0.15">
      <c r="A104" s="330"/>
      <c r="B104" s="331"/>
      <c r="C104" s="331"/>
      <c r="D104" s="331"/>
      <c r="E104" s="331"/>
      <c r="F104" s="331"/>
      <c r="G104" s="331"/>
      <c r="H104" s="331"/>
      <c r="I104" s="331"/>
      <c r="J104" s="332"/>
      <c r="K104" s="332"/>
      <c r="L104" s="332"/>
      <c r="M104" s="332"/>
      <c r="N104" s="332"/>
      <c r="O104" s="332"/>
      <c r="P104" s="332"/>
      <c r="Q104" s="332"/>
      <c r="R104" s="332"/>
      <c r="S104" s="332"/>
      <c r="T104" s="332"/>
      <c r="U104" s="332"/>
      <c r="V104" s="332"/>
      <c r="W104" s="332"/>
      <c r="X104" s="332"/>
      <c r="Y104" s="304"/>
      <c r="Z104" s="304"/>
      <c r="AA104" s="304"/>
      <c r="AB104" s="101"/>
      <c r="AC104" s="101"/>
      <c r="AD104" s="101"/>
      <c r="AE104" s="101"/>
      <c r="AF104" s="101"/>
      <c r="AG104" s="101"/>
      <c r="AH104" s="101"/>
      <c r="AI104" s="101"/>
      <c r="AJ104" s="333"/>
    </row>
    <row r="105" spans="1:36" s="13" customFormat="1" ht="14" customHeight="1" x14ac:dyDescent="0.15">
      <c r="A105" s="334"/>
      <c r="B105" s="335"/>
      <c r="C105" s="335"/>
      <c r="D105" s="335"/>
      <c r="E105" s="307"/>
      <c r="F105" s="307"/>
      <c r="G105" s="307"/>
      <c r="H105" s="252" t="s">
        <v>107</v>
      </c>
      <c r="I105" s="308" t="s">
        <v>24</v>
      </c>
      <c r="J105" s="336">
        <f>(J100/X15)*100</f>
        <v>3.6416024096385544</v>
      </c>
      <c r="K105" s="337"/>
      <c r="L105" s="337"/>
      <c r="M105" s="120" t="s">
        <v>14</v>
      </c>
      <c r="N105" s="121"/>
      <c r="O105" s="122"/>
      <c r="P105" s="131"/>
      <c r="Q105" s="131"/>
      <c r="R105" s="332"/>
      <c r="S105" s="332"/>
      <c r="T105" s="332"/>
      <c r="U105" s="332"/>
      <c r="V105" s="332"/>
      <c r="W105" s="332"/>
      <c r="X105" s="252" t="s">
        <v>108</v>
      </c>
      <c r="Y105" s="309" t="s">
        <v>24</v>
      </c>
      <c r="Z105" s="177">
        <f>(Z100/X15)*100</f>
        <v>3.5789177191315176</v>
      </c>
      <c r="AA105" s="178"/>
      <c r="AB105" s="178"/>
      <c r="AC105" s="120" t="s">
        <v>14</v>
      </c>
      <c r="AD105" s="122"/>
      <c r="AE105" s="157"/>
      <c r="AF105" s="101"/>
      <c r="AG105" s="101"/>
      <c r="AH105" s="101"/>
      <c r="AI105" s="101"/>
      <c r="AJ105" s="338"/>
    </row>
    <row r="106" spans="1:36" ht="9" customHeight="1" x14ac:dyDescent="0.15">
      <c r="A106" s="302"/>
      <c r="B106" s="339"/>
      <c r="C106" s="339"/>
      <c r="D106" s="339"/>
      <c r="E106" s="339"/>
      <c r="F106" s="339"/>
      <c r="G106" s="339"/>
      <c r="H106" s="339"/>
      <c r="I106" s="339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305"/>
      <c r="AC106" s="305"/>
      <c r="AD106" s="305"/>
      <c r="AE106" s="305"/>
      <c r="AF106" s="305"/>
      <c r="AG106" s="305"/>
      <c r="AH106" s="305"/>
      <c r="AI106" s="133"/>
      <c r="AJ106" s="243"/>
    </row>
    <row r="107" spans="1:36" ht="14" customHeight="1" x14ac:dyDescent="0.15">
      <c r="A107" s="312"/>
      <c r="B107" s="340" t="s">
        <v>113</v>
      </c>
      <c r="C107" s="341"/>
      <c r="D107" s="341"/>
      <c r="E107" s="341"/>
      <c r="F107" s="341"/>
      <c r="G107" s="341"/>
      <c r="H107" s="342"/>
      <c r="I107" s="343" t="s">
        <v>24</v>
      </c>
      <c r="J107" s="139" t="s">
        <v>114</v>
      </c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1"/>
      <c r="AJ107" s="278"/>
    </row>
    <row r="108" spans="1:36" ht="14" customHeight="1" x14ac:dyDescent="0.15">
      <c r="A108" s="312"/>
      <c r="B108" s="344"/>
      <c r="C108" s="345"/>
      <c r="D108" s="345"/>
      <c r="E108" s="345"/>
      <c r="F108" s="345"/>
      <c r="G108" s="345"/>
      <c r="H108" s="346"/>
      <c r="I108" s="347"/>
      <c r="J108" s="139" t="s">
        <v>106</v>
      </c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1"/>
      <c r="AJ108" s="278"/>
    </row>
    <row r="109" spans="1:36" ht="11.25" customHeight="1" x14ac:dyDescent="0.15">
      <c r="A109" s="302"/>
      <c r="B109" s="348"/>
      <c r="C109" s="348"/>
      <c r="D109" s="348"/>
      <c r="E109" s="348"/>
      <c r="F109" s="348"/>
      <c r="G109" s="348"/>
      <c r="H109" s="348"/>
      <c r="I109" s="348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305"/>
      <c r="AG109" s="305"/>
      <c r="AH109" s="305"/>
      <c r="AI109" s="305"/>
      <c r="AJ109" s="243"/>
    </row>
    <row r="110" spans="1:36" ht="14" customHeight="1" x14ac:dyDescent="0.15">
      <c r="A110" s="302"/>
      <c r="B110" s="349"/>
      <c r="C110" s="349"/>
      <c r="D110" s="349"/>
      <c r="E110" s="307"/>
      <c r="F110" s="307"/>
      <c r="G110" s="307"/>
      <c r="H110" s="252" t="s">
        <v>107</v>
      </c>
      <c r="I110" s="308" t="s">
        <v>24</v>
      </c>
      <c r="J110" s="177">
        <f>((X22*R95*R89*R91)/1000)/R51</f>
        <v>30.225300000000001</v>
      </c>
      <c r="K110" s="178"/>
      <c r="L110" s="178"/>
      <c r="M110" s="120" t="s">
        <v>20</v>
      </c>
      <c r="N110" s="121"/>
      <c r="O110" s="122"/>
      <c r="P110" s="131"/>
      <c r="Q110" s="131"/>
      <c r="R110" s="332"/>
      <c r="S110" s="332"/>
      <c r="T110" s="332"/>
      <c r="U110" s="332"/>
      <c r="V110" s="103"/>
      <c r="W110" s="103"/>
      <c r="X110" s="252" t="s">
        <v>108</v>
      </c>
      <c r="Y110" s="309" t="s">
        <v>24</v>
      </c>
      <c r="Z110" s="177">
        <f>SQRT(3)*X22*R95*(R89*SQRT(R92^2+R93^2)/1000)/R51</f>
        <v>29.705017068791594</v>
      </c>
      <c r="AA110" s="178"/>
      <c r="AB110" s="179"/>
      <c r="AC110" s="120" t="s">
        <v>20</v>
      </c>
      <c r="AD110" s="121"/>
      <c r="AE110" s="122"/>
      <c r="AF110" s="101"/>
      <c r="AG110" s="101"/>
      <c r="AH110" s="101"/>
      <c r="AI110" s="101"/>
      <c r="AJ110" s="338"/>
    </row>
    <row r="111" spans="1:36" ht="12" customHeight="1" thickBot="1" x14ac:dyDescent="0.2">
      <c r="A111" s="302"/>
      <c r="B111" s="339"/>
      <c r="C111" s="339"/>
      <c r="D111" s="339"/>
      <c r="E111" s="339"/>
      <c r="F111" s="339"/>
      <c r="G111" s="339"/>
      <c r="H111" s="339"/>
      <c r="I111" s="339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243"/>
    </row>
    <row r="112" spans="1:36" ht="14" customHeight="1" thickBot="1" x14ac:dyDescent="0.2">
      <c r="A112" s="312"/>
      <c r="B112" s="313" t="s">
        <v>115</v>
      </c>
      <c r="C112" s="314"/>
      <c r="D112" s="314"/>
      <c r="E112" s="314"/>
      <c r="F112" s="314"/>
      <c r="G112" s="314"/>
      <c r="H112" s="315"/>
      <c r="I112" s="343" t="s">
        <v>24</v>
      </c>
      <c r="J112" s="139" t="s">
        <v>116</v>
      </c>
      <c r="K112" s="140"/>
      <c r="L112" s="140"/>
      <c r="M112" s="140"/>
      <c r="N112" s="140"/>
      <c r="O112" s="140"/>
      <c r="P112" s="140"/>
      <c r="Q112" s="140"/>
      <c r="R112" s="140"/>
      <c r="S112" s="316"/>
      <c r="T112" s="317"/>
      <c r="U112" s="317"/>
      <c r="V112" s="317"/>
      <c r="W112" s="317"/>
      <c r="X112" s="318"/>
      <c r="Y112" s="350"/>
      <c r="Z112" s="133"/>
      <c r="AA112" s="133"/>
      <c r="AB112" s="319"/>
      <c r="AC112" s="320"/>
      <c r="AD112" s="320"/>
      <c r="AE112" s="321" t="s">
        <v>111</v>
      </c>
      <c r="AF112" s="322">
        <v>15</v>
      </c>
      <c r="AG112" s="323"/>
      <c r="AH112" s="324" t="s">
        <v>14</v>
      </c>
      <c r="AI112" s="133"/>
      <c r="AJ112" s="243"/>
    </row>
    <row r="113" spans="1:36" ht="14" customHeight="1" x14ac:dyDescent="0.15">
      <c r="A113" s="312"/>
      <c r="B113" s="325"/>
      <c r="C113" s="326"/>
      <c r="D113" s="326"/>
      <c r="E113" s="326"/>
      <c r="F113" s="326"/>
      <c r="G113" s="326"/>
      <c r="H113" s="327"/>
      <c r="I113" s="347"/>
      <c r="J113" s="139" t="s">
        <v>112</v>
      </c>
      <c r="K113" s="140"/>
      <c r="L113" s="140"/>
      <c r="M113" s="140"/>
      <c r="N113" s="140"/>
      <c r="O113" s="140"/>
      <c r="P113" s="140"/>
      <c r="Q113" s="140"/>
      <c r="R113" s="140"/>
      <c r="S113" s="316"/>
      <c r="T113" s="328"/>
      <c r="U113" s="328"/>
      <c r="V113" s="328"/>
      <c r="W113" s="328"/>
      <c r="X113" s="351"/>
      <c r="Y113" s="101"/>
      <c r="Z113" s="101"/>
      <c r="AA113" s="101"/>
      <c r="AB113" s="304"/>
      <c r="AC113" s="304"/>
      <c r="AD113" s="304"/>
      <c r="AE113" s="304"/>
      <c r="AF113" s="304"/>
      <c r="AG113" s="133"/>
      <c r="AH113" s="133"/>
      <c r="AI113" s="133"/>
      <c r="AJ113" s="243"/>
    </row>
    <row r="114" spans="1:36" ht="9.75" customHeight="1" x14ac:dyDescent="0.15">
      <c r="A114" s="302"/>
      <c r="B114" s="331"/>
      <c r="C114" s="331"/>
      <c r="D114" s="331"/>
      <c r="E114" s="331"/>
      <c r="F114" s="331"/>
      <c r="G114" s="331"/>
      <c r="H114" s="331"/>
      <c r="I114" s="331"/>
      <c r="J114" s="33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103"/>
      <c r="Y114" s="304"/>
      <c r="Z114" s="304"/>
      <c r="AA114" s="304"/>
      <c r="AB114" s="101"/>
      <c r="AC114" s="101"/>
      <c r="AD114" s="101"/>
      <c r="AE114" s="101"/>
      <c r="AF114" s="101"/>
      <c r="AG114" s="101"/>
      <c r="AH114" s="101"/>
      <c r="AI114" s="101"/>
      <c r="AJ114" s="243"/>
    </row>
    <row r="115" spans="1:36" ht="14" customHeight="1" x14ac:dyDescent="0.15">
      <c r="A115" s="302"/>
      <c r="B115" s="335"/>
      <c r="C115" s="335"/>
      <c r="D115" s="335"/>
      <c r="E115" s="307"/>
      <c r="F115" s="307"/>
      <c r="G115" s="307"/>
      <c r="H115" s="252" t="s">
        <v>107</v>
      </c>
      <c r="I115" s="308" t="s">
        <v>24</v>
      </c>
      <c r="J115" s="336">
        <f>(J110/X15)*100</f>
        <v>7.2832048192771088</v>
      </c>
      <c r="K115" s="337"/>
      <c r="L115" s="337"/>
      <c r="M115" s="228" t="s">
        <v>14</v>
      </c>
      <c r="N115" s="229"/>
      <c r="O115" s="230"/>
      <c r="P115" s="131"/>
      <c r="Q115" s="131"/>
      <c r="R115" s="332"/>
      <c r="S115" s="332"/>
      <c r="T115" s="332"/>
      <c r="U115" s="332"/>
      <c r="V115" s="332"/>
      <c r="W115" s="332"/>
      <c r="X115" s="252" t="s">
        <v>108</v>
      </c>
      <c r="Y115" s="309" t="s">
        <v>24</v>
      </c>
      <c r="Z115" s="177">
        <f>(Z110/X15)*100</f>
        <v>7.1578354382630351</v>
      </c>
      <c r="AA115" s="178"/>
      <c r="AB115" s="178"/>
      <c r="AC115" s="120" t="s">
        <v>14</v>
      </c>
      <c r="AD115" s="122"/>
      <c r="AE115" s="157"/>
      <c r="AF115" s="101"/>
      <c r="AG115" s="101"/>
      <c r="AH115" s="101"/>
      <c r="AI115" s="101"/>
      <c r="AJ115" s="338"/>
    </row>
    <row r="116" spans="1:36" ht="10.5" customHeight="1" x14ac:dyDescent="0.15">
      <c r="A116" s="302"/>
      <c r="B116" s="349"/>
      <c r="C116" s="349"/>
      <c r="D116" s="349"/>
      <c r="E116" s="349"/>
      <c r="F116" s="349"/>
      <c r="G116" s="349"/>
      <c r="H116" s="349"/>
      <c r="I116" s="349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33"/>
      <c r="Z116" s="133"/>
      <c r="AA116" s="133"/>
      <c r="AB116" s="305"/>
      <c r="AC116" s="305"/>
      <c r="AD116" s="305"/>
      <c r="AE116" s="305"/>
      <c r="AF116" s="305"/>
      <c r="AG116" s="305"/>
      <c r="AH116" s="305"/>
      <c r="AI116" s="133"/>
      <c r="AJ116" s="243"/>
    </row>
    <row r="117" spans="1:36" ht="14" customHeight="1" x14ac:dyDescent="0.15">
      <c r="A117" s="302"/>
      <c r="B117" s="269" t="s">
        <v>92</v>
      </c>
      <c r="C117" s="270"/>
      <c r="D117" s="270"/>
      <c r="E117" s="270"/>
      <c r="F117" s="270"/>
      <c r="G117" s="270"/>
      <c r="H117" s="271"/>
      <c r="I117" s="272" t="s">
        <v>24</v>
      </c>
      <c r="J117" s="352" t="str">
        <f>IF((J105&lt;AF102)*AND(J115&lt;AF112),"Volt drop capacity on motor cable during running &amp; starting is satisfactory","Please revise cable selection")</f>
        <v>Please revise cable selection</v>
      </c>
      <c r="K117" s="352"/>
      <c r="L117" s="352"/>
      <c r="M117" s="352"/>
      <c r="N117" s="352"/>
      <c r="O117" s="352"/>
      <c r="P117" s="352"/>
      <c r="Q117" s="352"/>
      <c r="R117" s="352"/>
      <c r="S117" s="352"/>
      <c r="T117" s="352"/>
      <c r="U117" s="352"/>
      <c r="V117" s="352"/>
      <c r="W117" s="352"/>
      <c r="X117" s="352"/>
      <c r="Y117" s="352"/>
      <c r="Z117" s="352"/>
      <c r="AA117" s="352"/>
      <c r="AB117" s="352"/>
      <c r="AC117" s="352"/>
      <c r="AD117" s="353"/>
      <c r="AE117" s="354"/>
      <c r="AF117" s="354"/>
      <c r="AG117" s="354"/>
      <c r="AH117" s="354"/>
      <c r="AI117" s="355"/>
      <c r="AJ117" s="106"/>
    </row>
    <row r="118" spans="1:36" ht="10.5" customHeight="1" x14ac:dyDescent="0.15">
      <c r="A118" s="302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243"/>
    </row>
    <row r="119" spans="1:36" ht="9" customHeight="1" x14ac:dyDescent="0.15">
      <c r="A119" s="356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57"/>
      <c r="P119" s="357"/>
      <c r="Q119" s="357"/>
      <c r="R119" s="357"/>
      <c r="S119" s="357"/>
      <c r="T119" s="357"/>
      <c r="U119" s="357"/>
      <c r="V119" s="357"/>
      <c r="W119" s="357"/>
      <c r="X119" s="357"/>
      <c r="Y119" s="357"/>
      <c r="Z119" s="357"/>
      <c r="AA119" s="357"/>
      <c r="AB119" s="357"/>
      <c r="AC119" s="357"/>
      <c r="AD119" s="357"/>
      <c r="AE119" s="357"/>
      <c r="AF119" s="357"/>
      <c r="AG119" s="357"/>
      <c r="AH119" s="357"/>
      <c r="AI119" s="357"/>
      <c r="AJ119" s="358"/>
    </row>
    <row r="120" spans="1:36" ht="14" customHeight="1" x14ac:dyDescent="0.15">
      <c r="A120" s="98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4"/>
    </row>
    <row r="121" spans="1:36" ht="14" customHeight="1" x14ac:dyDescent="0.15">
      <c r="A121" s="98"/>
      <c r="B121" s="239" t="s">
        <v>117</v>
      </c>
      <c r="C121" s="359"/>
      <c r="D121" s="359"/>
      <c r="E121" s="359"/>
      <c r="F121" s="359"/>
      <c r="G121" s="359"/>
      <c r="H121" s="359"/>
      <c r="I121" s="359"/>
      <c r="J121" s="359"/>
      <c r="K121" s="359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4"/>
    </row>
    <row r="122" spans="1:36" ht="14" customHeight="1" thickBot="1" x14ac:dyDescent="0.2">
      <c r="A122" s="98"/>
      <c r="B122" s="101"/>
      <c r="C122" s="101"/>
      <c r="D122" s="101"/>
      <c r="E122" s="101"/>
      <c r="F122" s="101"/>
      <c r="G122" s="101"/>
      <c r="H122" s="101"/>
      <c r="I122" s="101"/>
      <c r="J122" s="133"/>
      <c r="K122" s="101"/>
      <c r="L122" s="101"/>
      <c r="M122" s="101"/>
      <c r="N122" s="101"/>
      <c r="O122" s="101"/>
      <c r="P122" s="101"/>
      <c r="Q122" s="101"/>
      <c r="R122" s="133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360"/>
      <c r="AE122" s="101"/>
      <c r="AF122" s="101"/>
      <c r="AG122" s="101"/>
      <c r="AH122" s="101"/>
      <c r="AI122" s="101"/>
      <c r="AJ122" s="104"/>
    </row>
    <row r="123" spans="1:36" ht="14" customHeight="1" thickBot="1" x14ac:dyDescent="0.2">
      <c r="A123" s="98"/>
      <c r="B123" s="135" t="s">
        <v>118</v>
      </c>
      <c r="C123" s="136"/>
      <c r="D123" s="136"/>
      <c r="E123" s="136"/>
      <c r="F123" s="136"/>
      <c r="G123" s="136"/>
      <c r="H123" s="137"/>
      <c r="I123" s="361" t="s">
        <v>24</v>
      </c>
      <c r="J123" s="362"/>
      <c r="K123" s="363"/>
      <c r="L123" s="363"/>
      <c r="M123" s="363"/>
      <c r="N123" s="364" t="s">
        <v>119</v>
      </c>
      <c r="O123" s="363"/>
      <c r="P123" s="363"/>
      <c r="Q123" s="363"/>
      <c r="R123" s="365"/>
      <c r="S123" s="366">
        <v>2</v>
      </c>
      <c r="T123" s="317"/>
      <c r="U123" s="317"/>
      <c r="V123" s="317"/>
      <c r="W123" s="317"/>
      <c r="X123" s="318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4"/>
    </row>
    <row r="124" spans="1:36" ht="14" customHeight="1" thickBot="1" x14ac:dyDescent="0.2">
      <c r="A124" s="98"/>
      <c r="B124" s="142"/>
      <c r="C124" s="143"/>
      <c r="D124" s="143"/>
      <c r="E124" s="143"/>
      <c r="F124" s="143"/>
      <c r="G124" s="143"/>
      <c r="H124" s="144"/>
      <c r="I124" s="367"/>
      <c r="J124" s="368"/>
      <c r="K124" s="369"/>
      <c r="L124" s="369"/>
      <c r="M124" s="370"/>
      <c r="N124" s="370" t="s">
        <v>120</v>
      </c>
      <c r="O124" s="369"/>
      <c r="P124" s="369"/>
      <c r="Q124" s="369"/>
      <c r="R124" s="371"/>
      <c r="S124" s="372"/>
      <c r="T124" s="328"/>
      <c r="U124" s="328"/>
      <c r="V124" s="328"/>
      <c r="W124" s="328"/>
      <c r="X124" s="35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4"/>
    </row>
    <row r="125" spans="1:36" ht="14" customHeight="1" x14ac:dyDescent="0.15">
      <c r="A125" s="98"/>
      <c r="B125" s="101"/>
      <c r="C125" s="101"/>
      <c r="D125" s="101"/>
      <c r="E125" s="101"/>
      <c r="F125" s="101"/>
      <c r="G125" s="101"/>
      <c r="H125" s="101"/>
      <c r="I125" s="101"/>
      <c r="J125" s="103"/>
      <c r="K125" s="101"/>
      <c r="L125" s="101"/>
      <c r="M125" s="101"/>
      <c r="N125" s="101"/>
      <c r="O125" s="101"/>
      <c r="P125" s="101"/>
      <c r="Q125" s="101"/>
      <c r="R125" s="103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4"/>
    </row>
    <row r="126" spans="1:36" ht="14" customHeight="1" x14ac:dyDescent="0.15">
      <c r="A126" s="98"/>
      <c r="B126" s="101"/>
      <c r="C126" s="101"/>
      <c r="D126" s="101"/>
      <c r="E126" s="101"/>
      <c r="F126" s="101"/>
      <c r="G126" s="101"/>
      <c r="H126" s="101"/>
      <c r="I126" s="373" t="s">
        <v>24</v>
      </c>
      <c r="J126" s="177">
        <f>(X22/R77)^2*100</f>
        <v>88.769694534688455</v>
      </c>
      <c r="K126" s="178"/>
      <c r="L126" s="178"/>
      <c r="M126" s="228" t="s">
        <v>14</v>
      </c>
      <c r="N126" s="229"/>
      <c r="O126" s="230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4"/>
    </row>
    <row r="127" spans="1:36" ht="14" customHeight="1" x14ac:dyDescent="0.15">
      <c r="A127" s="98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4"/>
    </row>
    <row r="128" spans="1:36" ht="14" customHeight="1" x14ac:dyDescent="0.15">
      <c r="A128" s="98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04"/>
    </row>
    <row r="129" spans="1:36" ht="14" customHeight="1" x14ac:dyDescent="0.15">
      <c r="A129" s="98"/>
      <c r="B129" s="245"/>
      <c r="C129" s="245"/>
      <c r="D129" s="245"/>
      <c r="E129" s="245"/>
      <c r="F129" s="245"/>
      <c r="G129" s="245"/>
      <c r="H129" s="245"/>
      <c r="I129" s="245"/>
      <c r="J129" s="245"/>
      <c r="K129" s="245"/>
      <c r="L129" s="245"/>
      <c r="M129" s="245"/>
      <c r="N129" s="245"/>
      <c r="O129" s="245"/>
      <c r="P129" s="245"/>
      <c r="Q129" s="245"/>
      <c r="R129" s="245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33"/>
      <c r="AD129" s="133"/>
      <c r="AE129" s="133"/>
      <c r="AF129" s="133"/>
      <c r="AG129" s="133"/>
      <c r="AH129" s="133"/>
      <c r="AI129" s="133"/>
      <c r="AJ129" s="104"/>
    </row>
    <row r="130" spans="1:36" ht="14" customHeight="1" x14ac:dyDescent="0.15">
      <c r="A130" s="98"/>
      <c r="B130" s="239" t="s">
        <v>121</v>
      </c>
      <c r="C130" s="359"/>
      <c r="D130" s="359"/>
      <c r="E130" s="359"/>
      <c r="F130" s="359"/>
      <c r="G130" s="359"/>
      <c r="H130" s="359"/>
      <c r="I130" s="359"/>
      <c r="J130" s="101"/>
      <c r="K130" s="101"/>
      <c r="L130" s="101"/>
      <c r="M130" s="101"/>
      <c r="N130" s="245"/>
      <c r="O130" s="245"/>
      <c r="P130" s="245"/>
      <c r="Q130" s="245"/>
      <c r="R130" s="245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33"/>
      <c r="AD130" s="133"/>
      <c r="AE130" s="133"/>
      <c r="AF130" s="133"/>
      <c r="AG130" s="133"/>
      <c r="AH130" s="101"/>
      <c r="AI130" s="101"/>
      <c r="AJ130" s="104"/>
    </row>
    <row r="131" spans="1:36" ht="14" customHeight="1" x14ac:dyDescent="0.15">
      <c r="A131" s="98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245"/>
      <c r="O131" s="245"/>
      <c r="P131" s="245"/>
      <c r="Q131" s="245"/>
      <c r="R131" s="245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4"/>
    </row>
    <row r="132" spans="1:36" ht="14" customHeight="1" x14ac:dyDescent="0.15">
      <c r="A132" s="98"/>
      <c r="B132" s="101" t="s">
        <v>122</v>
      </c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245"/>
      <c r="O132" s="245"/>
      <c r="P132" s="245"/>
      <c r="Q132" s="245"/>
      <c r="R132" s="217">
        <v>70</v>
      </c>
      <c r="S132" s="218"/>
      <c r="T132" s="218"/>
      <c r="U132" s="219"/>
      <c r="V132" s="120" t="s">
        <v>123</v>
      </c>
      <c r="W132" s="121"/>
      <c r="X132" s="122"/>
      <c r="Y132" s="101"/>
      <c r="Z132" s="101"/>
      <c r="AA132" s="101"/>
      <c r="AB132" s="101"/>
      <c r="AC132" s="103"/>
      <c r="AD132" s="101"/>
      <c r="AE132" s="101"/>
      <c r="AF132" s="101"/>
      <c r="AG132" s="101"/>
      <c r="AH132" s="101" t="s">
        <v>96</v>
      </c>
      <c r="AI132" s="101"/>
      <c r="AJ132" s="104"/>
    </row>
    <row r="133" spans="1:36" ht="14" customHeight="1" x14ac:dyDescent="0.15">
      <c r="A133" s="98"/>
      <c r="B133" s="101" t="s">
        <v>124</v>
      </c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245"/>
      <c r="O133" s="245"/>
      <c r="P133" s="245"/>
      <c r="Q133" s="245"/>
      <c r="R133" s="217">
        <v>0.2</v>
      </c>
      <c r="S133" s="218"/>
      <c r="T133" s="218"/>
      <c r="U133" s="219"/>
      <c r="V133" s="206" t="s">
        <v>125</v>
      </c>
      <c r="W133" s="374"/>
      <c r="X133" s="290"/>
      <c r="Y133" s="101"/>
      <c r="Z133" s="101"/>
      <c r="AA133" s="101"/>
      <c r="AB133" s="101"/>
      <c r="AC133" s="103"/>
      <c r="AD133" s="101"/>
      <c r="AE133" s="101"/>
      <c r="AF133" s="101"/>
      <c r="AG133" s="101"/>
      <c r="AH133" s="101"/>
      <c r="AI133" s="101"/>
      <c r="AJ133" s="104"/>
    </row>
    <row r="134" spans="1:36" ht="14" customHeight="1" x14ac:dyDescent="0.15">
      <c r="A134" s="98"/>
      <c r="B134" s="101" t="s">
        <v>126</v>
      </c>
      <c r="C134" s="162"/>
      <c r="D134" s="162"/>
      <c r="E134" s="162"/>
      <c r="F134" s="162"/>
      <c r="G134" s="162"/>
      <c r="H134" s="162"/>
      <c r="I134" s="101"/>
      <c r="J134" s="101"/>
      <c r="K134" s="101"/>
      <c r="L134" s="101"/>
      <c r="M134" s="101"/>
      <c r="N134" s="245"/>
      <c r="O134" s="245"/>
      <c r="P134" s="245"/>
      <c r="Q134" s="245"/>
      <c r="R134" s="170">
        <f>R47</f>
        <v>300</v>
      </c>
      <c r="S134" s="171"/>
      <c r="T134" s="171"/>
      <c r="U134" s="197"/>
      <c r="V134" s="120" t="s">
        <v>65</v>
      </c>
      <c r="W134" s="121"/>
      <c r="X134" s="122"/>
      <c r="Y134" s="101"/>
      <c r="Z134" s="101"/>
      <c r="AA134" s="101"/>
      <c r="AB134" s="101"/>
      <c r="AC134" s="103"/>
      <c r="AD134" s="101"/>
      <c r="AE134" s="101"/>
      <c r="AF134" s="101"/>
      <c r="AG134" s="101"/>
      <c r="AH134" s="101"/>
      <c r="AI134" s="101"/>
      <c r="AJ134" s="104"/>
    </row>
    <row r="135" spans="1:36" ht="14" customHeight="1" x14ac:dyDescent="0.15">
      <c r="A135" s="98"/>
      <c r="B135" s="162" t="s">
        <v>63</v>
      </c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245"/>
      <c r="O135" s="245"/>
      <c r="P135" s="245"/>
      <c r="Q135" s="245"/>
      <c r="R135" s="170" t="str">
        <f>R46</f>
        <v>XLPE</v>
      </c>
      <c r="S135" s="171"/>
      <c r="T135" s="171"/>
      <c r="U135" s="197"/>
      <c r="V135" s="180"/>
      <c r="W135" s="181"/>
      <c r="X135" s="182"/>
      <c r="Y135" s="101"/>
      <c r="Z135" s="101"/>
      <c r="AA135" s="101"/>
      <c r="AB135" s="101"/>
      <c r="AC135" s="103"/>
      <c r="AD135" s="101"/>
      <c r="AE135" s="101"/>
      <c r="AF135" s="101"/>
      <c r="AG135" s="101"/>
      <c r="AH135" s="101" t="s">
        <v>96</v>
      </c>
      <c r="AI135" s="101"/>
      <c r="AJ135" s="104"/>
    </row>
    <row r="136" spans="1:36" ht="14" customHeight="1" x14ac:dyDescent="0.15">
      <c r="A136" s="98"/>
      <c r="B136" s="162" t="s">
        <v>127</v>
      </c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245"/>
      <c r="O136" s="245"/>
      <c r="P136" s="245"/>
      <c r="Q136" s="245"/>
      <c r="R136" s="170" t="str">
        <f>R49</f>
        <v>Cu</v>
      </c>
      <c r="S136" s="171"/>
      <c r="T136" s="171"/>
      <c r="U136" s="197"/>
      <c r="V136" s="209"/>
      <c r="W136" s="207"/>
      <c r="X136" s="208"/>
      <c r="Y136" s="101"/>
      <c r="Z136" s="101"/>
      <c r="AA136" s="101"/>
      <c r="AB136" s="101"/>
      <c r="AC136" s="103"/>
      <c r="AD136" s="101"/>
      <c r="AE136" s="101"/>
      <c r="AF136" s="101"/>
      <c r="AG136" s="101"/>
      <c r="AH136" s="101"/>
      <c r="AI136" s="101"/>
      <c r="AJ136" s="104"/>
    </row>
    <row r="137" spans="1:36" ht="14" customHeight="1" x14ac:dyDescent="0.15">
      <c r="A137" s="98"/>
      <c r="B137" s="162" t="s">
        <v>128</v>
      </c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245"/>
      <c r="O137" s="245"/>
      <c r="P137" s="245"/>
      <c r="Q137" s="245"/>
      <c r="R137" s="170">
        <f>R51</f>
        <v>1</v>
      </c>
      <c r="S137" s="171"/>
      <c r="T137" s="171"/>
      <c r="U137" s="197"/>
      <c r="V137" s="209"/>
      <c r="W137" s="207"/>
      <c r="X137" s="208"/>
      <c r="Y137" s="101"/>
      <c r="Z137" s="101"/>
      <c r="AA137" s="101"/>
      <c r="AB137" s="101"/>
      <c r="AC137" s="103"/>
      <c r="AD137" s="101"/>
      <c r="AE137" s="101"/>
      <c r="AF137" s="101"/>
      <c r="AG137" s="101"/>
      <c r="AH137" s="101"/>
      <c r="AI137" s="101"/>
      <c r="AJ137" s="104"/>
    </row>
    <row r="138" spans="1:36" ht="14" customHeight="1" x14ac:dyDescent="0.15">
      <c r="A138" s="98"/>
      <c r="B138" s="162" t="s">
        <v>129</v>
      </c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245"/>
      <c r="O138" s="245"/>
      <c r="P138" s="245"/>
      <c r="Q138" s="245"/>
      <c r="R138" s="170">
        <v>90</v>
      </c>
      <c r="S138" s="171"/>
      <c r="T138" s="171"/>
      <c r="U138" s="197"/>
      <c r="V138" s="209" t="s">
        <v>130</v>
      </c>
      <c r="W138" s="207"/>
      <c r="X138" s="208"/>
      <c r="Y138" s="101"/>
      <c r="Z138" s="101"/>
      <c r="AA138" s="101"/>
      <c r="AB138" s="101"/>
      <c r="AC138" s="103"/>
      <c r="AD138" s="101"/>
      <c r="AE138" s="101"/>
      <c r="AF138" s="101"/>
      <c r="AG138" s="101"/>
      <c r="AH138" s="101"/>
      <c r="AI138" s="101"/>
      <c r="AJ138" s="104"/>
    </row>
    <row r="139" spans="1:36" ht="14" customHeight="1" x14ac:dyDescent="0.15">
      <c r="A139" s="98"/>
      <c r="B139" s="162" t="s">
        <v>131</v>
      </c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245"/>
      <c r="O139" s="245"/>
      <c r="P139" s="245"/>
      <c r="Q139" s="245"/>
      <c r="R139" s="170">
        <f>IF(R135="PVC-V90",IF(R134&lt;301,160,140),IF(R135="XLPE",250,"False"))</f>
        <v>250</v>
      </c>
      <c r="S139" s="171"/>
      <c r="T139" s="171"/>
      <c r="U139" s="197"/>
      <c r="V139" s="209" t="s">
        <v>130</v>
      </c>
      <c r="W139" s="207"/>
      <c r="X139" s="208"/>
      <c r="Y139" s="101" t="s">
        <v>40</v>
      </c>
      <c r="Z139" s="101"/>
      <c r="AA139" s="101"/>
      <c r="AB139" s="101" t="s">
        <v>132</v>
      </c>
      <c r="AC139" s="103"/>
      <c r="AD139" s="101"/>
      <c r="AE139" s="101"/>
      <c r="AF139" s="101"/>
      <c r="AG139" s="101"/>
      <c r="AH139" s="101"/>
      <c r="AI139" s="101"/>
      <c r="AJ139" s="104"/>
    </row>
    <row r="140" spans="1:36" ht="14" customHeight="1" x14ac:dyDescent="0.15">
      <c r="A140" s="98"/>
      <c r="B140" s="101" t="s">
        <v>133</v>
      </c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245"/>
      <c r="O140" s="245"/>
      <c r="P140" s="245"/>
      <c r="Q140" s="245"/>
      <c r="R140" s="375">
        <f>IF(R136="Cu",VLOOKUP(R139,K_Factor,5,FALSE),VLOOKUP(R139,K_Factor,6,FALSE))</f>
        <v>143</v>
      </c>
      <c r="S140" s="376"/>
      <c r="T140" s="376"/>
      <c r="U140" s="377"/>
      <c r="V140" s="180"/>
      <c r="W140" s="181"/>
      <c r="X140" s="182"/>
      <c r="Y140" s="101" t="s">
        <v>40</v>
      </c>
      <c r="Z140" s="101"/>
      <c r="AA140" s="101"/>
      <c r="AB140" s="101" t="s">
        <v>134</v>
      </c>
      <c r="AC140" s="103"/>
      <c r="AD140" s="101"/>
      <c r="AE140" s="101"/>
      <c r="AF140" s="101"/>
      <c r="AG140" s="101"/>
      <c r="AH140" s="101"/>
      <c r="AI140" s="101"/>
      <c r="AJ140" s="104"/>
    </row>
    <row r="141" spans="1:36" ht="14" customHeight="1" x14ac:dyDescent="0.15">
      <c r="A141" s="98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245"/>
      <c r="O141" s="245"/>
      <c r="P141" s="245"/>
      <c r="Q141" s="245"/>
      <c r="R141" s="245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4"/>
    </row>
    <row r="142" spans="1:36" ht="10.5" customHeight="1" x14ac:dyDescent="0.15">
      <c r="A142" s="98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245"/>
      <c r="O142" s="245"/>
      <c r="P142" s="245"/>
      <c r="Q142" s="378"/>
      <c r="R142" s="245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4"/>
    </row>
    <row r="143" spans="1:36" ht="18.75" customHeight="1" thickBot="1" x14ac:dyDescent="0.2">
      <c r="A143" s="98"/>
      <c r="B143" s="379" t="s">
        <v>135</v>
      </c>
      <c r="C143" s="380"/>
      <c r="D143" s="380"/>
      <c r="E143" s="380"/>
      <c r="F143" s="380"/>
      <c r="G143" s="380"/>
      <c r="H143" s="381"/>
      <c r="I143" s="300" t="s">
        <v>24</v>
      </c>
      <c r="J143" s="317"/>
      <c r="K143" s="317"/>
      <c r="L143" s="382"/>
      <c r="M143" s="383"/>
      <c r="N143" s="383"/>
      <c r="O143" s="383"/>
      <c r="P143" s="384" t="s">
        <v>136</v>
      </c>
      <c r="Q143" s="385">
        <v>2</v>
      </c>
      <c r="R143" s="383" t="s">
        <v>137</v>
      </c>
      <c r="S143" s="383" t="s">
        <v>138</v>
      </c>
      <c r="T143" s="383"/>
      <c r="U143" s="383"/>
      <c r="V143" s="383"/>
      <c r="W143" s="383"/>
      <c r="X143" s="386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4"/>
    </row>
    <row r="144" spans="1:36" ht="15.75" customHeight="1" x14ac:dyDescent="0.15">
      <c r="A144" s="98"/>
      <c r="B144" s="387"/>
      <c r="C144" s="388"/>
      <c r="D144" s="388"/>
      <c r="E144" s="388"/>
      <c r="F144" s="388"/>
      <c r="G144" s="388"/>
      <c r="H144" s="389"/>
      <c r="I144" s="301"/>
      <c r="J144" s="328"/>
      <c r="K144" s="328"/>
      <c r="L144" s="390"/>
      <c r="M144" s="390"/>
      <c r="N144" s="390"/>
      <c r="O144" s="390"/>
      <c r="P144" s="390"/>
      <c r="Q144" s="390"/>
      <c r="R144" s="391" t="s">
        <v>139</v>
      </c>
      <c r="S144" s="392">
        <v>2</v>
      </c>
      <c r="T144" s="390"/>
      <c r="U144" s="390"/>
      <c r="V144" s="390"/>
      <c r="W144" s="390"/>
      <c r="X144" s="329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4"/>
    </row>
    <row r="145" spans="1:36" ht="14" customHeight="1" x14ac:dyDescent="0.15">
      <c r="A145" s="98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245"/>
      <c r="O145" s="245"/>
      <c r="P145" s="245"/>
      <c r="Q145" s="245"/>
      <c r="R145" s="245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4"/>
    </row>
    <row r="146" spans="1:36" ht="14" customHeight="1" x14ac:dyDescent="0.15">
      <c r="A146" s="98"/>
      <c r="B146" s="101"/>
      <c r="C146" s="101"/>
      <c r="D146" s="101"/>
      <c r="E146" s="101"/>
      <c r="F146" s="101"/>
      <c r="G146" s="101"/>
      <c r="H146" s="101"/>
      <c r="I146" s="309" t="s">
        <v>24</v>
      </c>
      <c r="J146" s="101"/>
      <c r="K146" s="101"/>
      <c r="L146" s="101"/>
      <c r="M146" s="101"/>
      <c r="N146" s="245"/>
      <c r="O146" s="245"/>
      <c r="P146" s="245"/>
      <c r="Q146" s="245"/>
      <c r="R146" s="393">
        <f>SQRT((R132*1000)^2*R133/R140^2)</f>
        <v>218.91574604893046</v>
      </c>
      <c r="S146" s="394"/>
      <c r="T146" s="394"/>
      <c r="U146" s="395"/>
      <c r="V146" s="120" t="s">
        <v>65</v>
      </c>
      <c r="W146" s="121"/>
      <c r="X146" s="122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4"/>
    </row>
    <row r="147" spans="1:36" ht="14" customHeight="1" x14ac:dyDescent="0.15">
      <c r="A147" s="98"/>
      <c r="B147" s="101"/>
      <c r="C147" s="101"/>
      <c r="D147" s="101"/>
      <c r="E147" s="101"/>
      <c r="F147" s="101"/>
      <c r="G147" s="101"/>
      <c r="H147" s="101"/>
      <c r="J147" s="101"/>
      <c r="K147" s="101"/>
      <c r="L147" s="101"/>
      <c r="M147" s="101"/>
      <c r="N147" s="245"/>
      <c r="O147" s="245"/>
      <c r="P147" s="245"/>
      <c r="Q147" s="245"/>
      <c r="R147" s="245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4"/>
    </row>
    <row r="148" spans="1:36" ht="14" customHeight="1" thickBot="1" x14ac:dyDescent="0.2">
      <c r="A148" s="98"/>
      <c r="B148" s="379" t="s">
        <v>140</v>
      </c>
      <c r="C148" s="380"/>
      <c r="D148" s="380"/>
      <c r="E148" s="380"/>
      <c r="F148" s="380"/>
      <c r="G148" s="380"/>
      <c r="H148" s="381"/>
      <c r="I148" s="300" t="s">
        <v>24</v>
      </c>
      <c r="J148" s="396"/>
      <c r="K148" s="396"/>
      <c r="L148" s="363" t="s">
        <v>141</v>
      </c>
      <c r="M148" s="363"/>
      <c r="N148" s="397"/>
      <c r="O148" s="397"/>
      <c r="P148" s="397"/>
      <c r="Q148" s="397"/>
      <c r="R148" s="397"/>
      <c r="S148" s="363"/>
      <c r="T148" s="363"/>
      <c r="U148" s="396"/>
      <c r="V148" s="396"/>
      <c r="W148" s="396"/>
      <c r="X148" s="396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4"/>
    </row>
    <row r="149" spans="1:36" ht="14" customHeight="1" x14ac:dyDescent="0.15">
      <c r="A149" s="98"/>
      <c r="B149" s="387"/>
      <c r="C149" s="388"/>
      <c r="D149" s="388"/>
      <c r="E149" s="388"/>
      <c r="F149" s="388"/>
      <c r="G149" s="388"/>
      <c r="H149" s="389"/>
      <c r="I149" s="301"/>
      <c r="J149" s="396"/>
      <c r="K149" s="396"/>
      <c r="L149" s="369" t="s">
        <v>142</v>
      </c>
      <c r="M149" s="369"/>
      <c r="N149" s="398"/>
      <c r="O149" s="398"/>
      <c r="P149" s="398"/>
      <c r="Q149" s="398"/>
      <c r="R149" s="398"/>
      <c r="S149" s="369"/>
      <c r="T149" s="369"/>
      <c r="U149" s="396"/>
      <c r="V149" s="396"/>
      <c r="W149" s="396"/>
      <c r="X149" s="396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4"/>
    </row>
    <row r="150" spans="1:36" ht="14" customHeight="1" x14ac:dyDescent="0.15">
      <c r="A150" s="98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245"/>
      <c r="O150" s="245"/>
      <c r="P150" s="245"/>
      <c r="Q150" s="245"/>
      <c r="R150" s="245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4"/>
    </row>
    <row r="151" spans="1:36" ht="14" customHeight="1" x14ac:dyDescent="0.15">
      <c r="A151" s="98"/>
      <c r="B151" s="101"/>
      <c r="C151" s="101"/>
      <c r="D151" s="101"/>
      <c r="E151" s="101"/>
      <c r="F151" s="101"/>
      <c r="G151" s="101"/>
      <c r="H151" s="101"/>
      <c r="I151" s="309" t="s">
        <v>24</v>
      </c>
      <c r="J151" s="101"/>
      <c r="K151" s="101"/>
      <c r="L151" s="101"/>
      <c r="M151" s="101"/>
      <c r="N151" s="245"/>
      <c r="O151" s="245"/>
      <c r="P151" s="245"/>
      <c r="Q151" s="245"/>
      <c r="R151" s="393">
        <f>R146/R137</f>
        <v>218.91574604893046</v>
      </c>
      <c r="S151" s="394"/>
      <c r="T151" s="394"/>
      <c r="U151" s="395"/>
      <c r="V151" s="120" t="s">
        <v>65</v>
      </c>
      <c r="W151" s="121"/>
      <c r="X151" s="122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4"/>
    </row>
    <row r="152" spans="1:36" ht="14" customHeight="1" x14ac:dyDescent="0.15">
      <c r="A152" s="98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245"/>
      <c r="O152" s="245"/>
      <c r="P152" s="245"/>
      <c r="Q152" s="245"/>
      <c r="R152" s="245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4"/>
    </row>
    <row r="153" spans="1:36" ht="14" customHeight="1" x14ac:dyDescent="0.15">
      <c r="A153" s="98"/>
      <c r="B153" s="269" t="s">
        <v>92</v>
      </c>
      <c r="C153" s="270"/>
      <c r="D153" s="270"/>
      <c r="E153" s="270"/>
      <c r="F153" s="270"/>
      <c r="G153" s="270"/>
      <c r="H153" s="271"/>
      <c r="I153" s="272" t="s">
        <v>24</v>
      </c>
      <c r="J153" s="352" t="str">
        <f>IF(R134&gt;=R151,"Cable selection is satisfactory for fault level","Please revise cable selection")</f>
        <v>Cable selection is satisfactory for fault level</v>
      </c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  <c r="AA153" s="352"/>
      <c r="AB153" s="352"/>
      <c r="AC153" s="352"/>
      <c r="AD153" s="353"/>
      <c r="AE153" s="354"/>
      <c r="AF153" s="354"/>
      <c r="AG153" s="354"/>
      <c r="AH153" s="354"/>
      <c r="AI153" s="157"/>
      <c r="AJ153" s="104"/>
    </row>
    <row r="154" spans="1:36" ht="14" customHeight="1" x14ac:dyDescent="0.15">
      <c r="A154" s="98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04"/>
    </row>
    <row r="155" spans="1:36" ht="14" customHeight="1" x14ac:dyDescent="0.15">
      <c r="A155" s="98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245"/>
      <c r="O155" s="245"/>
      <c r="P155" s="245"/>
      <c r="Q155" s="245"/>
      <c r="R155" s="245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4"/>
    </row>
    <row r="156" spans="1:36" ht="14" customHeight="1" x14ac:dyDescent="0.15">
      <c r="A156" s="98"/>
      <c r="B156" s="107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245"/>
      <c r="O156" s="245"/>
      <c r="P156" s="245"/>
      <c r="Q156" s="245"/>
      <c r="R156" s="245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4"/>
    </row>
    <row r="157" spans="1:36" ht="14" customHeight="1" x14ac:dyDescent="0.15">
      <c r="A157" s="98"/>
      <c r="B157" s="239" t="s">
        <v>143</v>
      </c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245"/>
      <c r="O157" s="245" t="s">
        <v>144</v>
      </c>
      <c r="P157" s="245"/>
      <c r="Q157" s="245"/>
      <c r="R157" s="245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4"/>
    </row>
    <row r="158" spans="1:36" ht="14" customHeight="1" x14ac:dyDescent="0.15">
      <c r="A158" s="98"/>
      <c r="B158" s="399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245"/>
      <c r="O158" s="245"/>
      <c r="P158" s="245"/>
      <c r="Q158" s="245"/>
      <c r="R158" s="245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4"/>
    </row>
    <row r="159" spans="1:36" ht="14" customHeight="1" x14ac:dyDescent="0.15">
      <c r="A159" s="98"/>
      <c r="B159" s="101" t="s">
        <v>145</v>
      </c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245"/>
      <c r="O159" s="245"/>
      <c r="P159" s="245"/>
      <c r="Q159" s="245"/>
      <c r="R159" s="245"/>
      <c r="S159" s="101"/>
      <c r="T159" s="101"/>
      <c r="U159" s="101"/>
      <c r="V159" s="101"/>
      <c r="W159" s="400" t="s">
        <v>146</v>
      </c>
      <c r="X159" s="401"/>
      <c r="Y159" s="401"/>
      <c r="Z159" s="402"/>
      <c r="AA159" s="120"/>
      <c r="AB159" s="121"/>
      <c r="AC159" s="122"/>
      <c r="AD159" s="101"/>
      <c r="AE159" s="101"/>
      <c r="AF159" s="101"/>
      <c r="AG159" s="101"/>
      <c r="AH159" s="101"/>
      <c r="AI159" s="101"/>
      <c r="AJ159" s="104"/>
    </row>
    <row r="160" spans="1:36" ht="14" customHeight="1" x14ac:dyDescent="0.15">
      <c r="A160" s="98"/>
      <c r="B160" s="107" t="s">
        <v>147</v>
      </c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245"/>
      <c r="O160" s="245"/>
      <c r="P160" s="245"/>
      <c r="Q160" s="245"/>
      <c r="R160" s="245"/>
      <c r="S160" s="101"/>
      <c r="T160" s="101"/>
      <c r="U160" s="101"/>
      <c r="V160" s="101"/>
      <c r="W160" s="400" t="s">
        <v>75</v>
      </c>
      <c r="X160" s="401"/>
      <c r="Y160" s="401"/>
      <c r="Z160" s="402"/>
      <c r="AA160" s="206"/>
      <c r="AB160" s="374"/>
      <c r="AC160" s="290"/>
      <c r="AD160" s="101"/>
      <c r="AE160" s="101"/>
      <c r="AF160" s="101"/>
      <c r="AG160" s="101"/>
      <c r="AH160" s="101"/>
      <c r="AI160" s="101"/>
      <c r="AJ160" s="104"/>
    </row>
    <row r="161" spans="1:36" ht="14" customHeight="1" x14ac:dyDescent="0.15">
      <c r="A161" s="98"/>
      <c r="B161" s="399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245"/>
      <c r="O161" s="245"/>
      <c r="P161" s="245"/>
      <c r="Q161" s="245"/>
      <c r="R161" s="245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4"/>
    </row>
    <row r="162" spans="1:36" ht="14" customHeight="1" x14ac:dyDescent="0.15">
      <c r="A162" s="98"/>
      <c r="B162" s="101" t="s">
        <v>148</v>
      </c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245"/>
      <c r="O162" s="245"/>
      <c r="P162" s="245"/>
      <c r="Q162" s="245"/>
      <c r="R162" s="245"/>
      <c r="S162" s="101"/>
      <c r="T162" s="101"/>
      <c r="U162" s="101"/>
      <c r="V162" s="101"/>
      <c r="W162" s="393">
        <f>R47</f>
        <v>300</v>
      </c>
      <c r="X162" s="394"/>
      <c r="Y162" s="394"/>
      <c r="Z162" s="395"/>
      <c r="AA162" s="120" t="s">
        <v>65</v>
      </c>
      <c r="AB162" s="121"/>
      <c r="AC162" s="122"/>
      <c r="AD162" s="101"/>
      <c r="AE162" s="101"/>
      <c r="AF162" s="101"/>
      <c r="AG162" s="101"/>
      <c r="AH162" s="101"/>
      <c r="AI162" s="101"/>
      <c r="AJ162" s="104"/>
    </row>
    <row r="163" spans="1:36" ht="14" customHeight="1" x14ac:dyDescent="0.15">
      <c r="A163" s="98"/>
      <c r="B163" s="101" t="s">
        <v>149</v>
      </c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245"/>
      <c r="O163" s="245"/>
      <c r="P163" s="245"/>
      <c r="Q163" s="245"/>
      <c r="R163" s="245"/>
      <c r="S163" s="101"/>
      <c r="T163" s="101"/>
      <c r="U163" s="101"/>
      <c r="V163" s="101"/>
      <c r="W163" s="403">
        <f>R51</f>
        <v>1</v>
      </c>
      <c r="X163" s="404"/>
      <c r="Y163" s="404"/>
      <c r="Z163" s="405"/>
      <c r="AA163" s="120"/>
      <c r="AB163" s="121"/>
      <c r="AC163" s="122"/>
      <c r="AD163" s="101"/>
      <c r="AE163" s="101"/>
      <c r="AF163" s="101"/>
      <c r="AG163" s="101"/>
      <c r="AH163" s="101"/>
      <c r="AI163" s="101"/>
      <c r="AJ163" s="104"/>
    </row>
    <row r="164" spans="1:36" ht="14" customHeight="1" x14ac:dyDescent="0.15">
      <c r="A164" s="98"/>
      <c r="B164" s="101" t="s">
        <v>150</v>
      </c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245"/>
      <c r="O164" s="245"/>
      <c r="P164" s="245"/>
      <c r="Q164" s="245"/>
      <c r="R164" s="245"/>
      <c r="S164" s="101"/>
      <c r="T164" s="101"/>
      <c r="U164" s="101"/>
      <c r="V164" s="101"/>
      <c r="W164" s="393">
        <f>W162*W163</f>
        <v>300</v>
      </c>
      <c r="X164" s="394"/>
      <c r="Y164" s="394"/>
      <c r="Z164" s="395"/>
      <c r="AA164" s="120" t="s">
        <v>65</v>
      </c>
      <c r="AB164" s="121"/>
      <c r="AC164" s="122"/>
      <c r="AD164" s="101"/>
      <c r="AE164" s="101"/>
      <c r="AF164" s="101"/>
      <c r="AG164" s="101"/>
      <c r="AH164" s="101"/>
      <c r="AI164" s="101"/>
      <c r="AJ164" s="104"/>
    </row>
    <row r="165" spans="1:36" ht="14" customHeight="1" x14ac:dyDescent="0.15">
      <c r="A165" s="98"/>
      <c r="B165" s="399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245"/>
      <c r="O165" s="245"/>
      <c r="P165" s="245"/>
      <c r="Q165" s="245"/>
      <c r="R165" s="245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406" t="s">
        <v>151</v>
      </c>
      <c r="AF165" s="101"/>
      <c r="AG165" s="101"/>
      <c r="AH165" s="101"/>
      <c r="AI165" s="101"/>
      <c r="AJ165" s="104"/>
    </row>
    <row r="166" spans="1:36" ht="14" customHeight="1" x14ac:dyDescent="0.15">
      <c r="A166" s="98"/>
      <c r="B166" s="107" t="str">
        <f>IF(R41="1c","For Single Core Cables, You Must Select an Earth Cable","Cable Internal Earth Conductor Size")</f>
        <v>Cable Internal Earth Conductor Size</v>
      </c>
      <c r="C166" s="238"/>
      <c r="D166" s="238"/>
      <c r="E166" s="238"/>
      <c r="F166" s="238"/>
      <c r="G166" s="238"/>
      <c r="H166" s="238"/>
      <c r="I166" s="238"/>
      <c r="J166" s="238"/>
      <c r="K166" s="238"/>
      <c r="L166" s="238"/>
      <c r="M166" s="238"/>
      <c r="N166" s="245"/>
      <c r="O166" s="245"/>
      <c r="P166" s="245"/>
      <c r="Q166" s="245"/>
      <c r="R166" s="245"/>
      <c r="S166" s="101"/>
      <c r="T166" s="101"/>
      <c r="U166" s="101"/>
      <c r="V166" s="101"/>
      <c r="W166" s="407">
        <f>IF(R41="1c","Select",VLOOKUP(W162,Min_Earth_Size,IF(W186="Cu",2,3),TRUE))</f>
        <v>120</v>
      </c>
      <c r="X166" s="408"/>
      <c r="Y166" s="408"/>
      <c r="Z166" s="409"/>
      <c r="AA166" s="101"/>
      <c r="AB166" s="245"/>
      <c r="AC166" s="245"/>
      <c r="AD166" s="410" t="str">
        <f>IF(R41="1c","Suggestion:","")</f>
        <v/>
      </c>
      <c r="AE166" s="406"/>
      <c r="AF166" s="101"/>
      <c r="AG166" s="101"/>
      <c r="AH166" s="101"/>
      <c r="AI166" s="101"/>
      <c r="AJ166" s="104"/>
    </row>
    <row r="167" spans="1:36" ht="14" customHeight="1" x14ac:dyDescent="0.15">
      <c r="A167" s="98"/>
      <c r="B167" s="101" t="str">
        <f>IF(R41="1c","Select the Earth Conductor Size Here  ====&gt;","")</f>
        <v/>
      </c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245"/>
      <c r="O167" s="245"/>
      <c r="P167" s="245"/>
      <c r="Q167" s="245"/>
      <c r="R167" s="245"/>
      <c r="S167" s="101"/>
      <c r="T167" s="101"/>
      <c r="U167" s="101"/>
      <c r="V167" s="101"/>
      <c r="W167" s="184">
        <v>95</v>
      </c>
      <c r="X167" s="411"/>
      <c r="Y167" s="411"/>
      <c r="Z167" s="412"/>
      <c r="AA167" s="206" t="str">
        <f>IF(R41="1C","mm2","&lt;====")</f>
        <v>&lt;====</v>
      </c>
      <c r="AB167" s="374"/>
      <c r="AC167" s="290"/>
      <c r="AD167" s="413" t="str">
        <f>IF(R41="1c",CONCATENATE(VLOOKUP(W162,Min_Earth_Size,2)&amp;"mm2"),"Ignored")</f>
        <v>Ignored</v>
      </c>
      <c r="AE167" s="406"/>
      <c r="AF167" s="101"/>
      <c r="AG167" s="101"/>
      <c r="AH167" s="101"/>
      <c r="AI167" s="101"/>
      <c r="AJ167" s="104"/>
    </row>
    <row r="168" spans="1:36" ht="14" customHeight="1" x14ac:dyDescent="0.15">
      <c r="A168" s="98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245"/>
      <c r="O168" s="245"/>
      <c r="P168" s="245"/>
      <c r="Q168" s="245"/>
      <c r="R168" s="245"/>
      <c r="S168" s="101"/>
      <c r="T168" s="101"/>
      <c r="U168" s="101"/>
      <c r="V168" s="101"/>
      <c r="W168" s="101"/>
      <c r="X168" s="101"/>
      <c r="Y168" s="101"/>
      <c r="Z168" s="101"/>
      <c r="AA168" s="101"/>
      <c r="AB168" s="245"/>
      <c r="AC168" s="245"/>
      <c r="AD168" s="101"/>
      <c r="AE168" s="406"/>
      <c r="AF168" s="101"/>
      <c r="AG168" s="101"/>
      <c r="AH168" s="101"/>
      <c r="AI168" s="101"/>
      <c r="AJ168" s="104"/>
    </row>
    <row r="169" spans="1:36" ht="14" customHeight="1" x14ac:dyDescent="0.15">
      <c r="A169" s="98"/>
      <c r="B169" s="101" t="str">
        <f>IF(R41="1c","Manually select number of Earth Cores in line below","No of Earth Cores internal to Multi-core Cables")</f>
        <v>No of Earth Cores internal to Multi-core Cables</v>
      </c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245"/>
      <c r="O169" s="245"/>
      <c r="P169" s="245"/>
      <c r="Q169" s="245"/>
      <c r="R169" s="245"/>
      <c r="S169" s="101"/>
      <c r="T169" s="101"/>
      <c r="U169" s="101"/>
      <c r="V169" s="101"/>
      <c r="W169" s="232">
        <f>IF(R41="1c","Select",R51)</f>
        <v>1</v>
      </c>
      <c r="X169" s="233"/>
      <c r="Y169" s="233"/>
      <c r="Z169" s="234"/>
      <c r="AA169" s="101"/>
      <c r="AB169" s="245"/>
      <c r="AC169" s="245"/>
      <c r="AD169" s="101"/>
      <c r="AE169" s="406"/>
      <c r="AF169" s="101"/>
      <c r="AG169" s="101"/>
      <c r="AH169" s="101"/>
      <c r="AI169" s="101"/>
      <c r="AJ169" s="104"/>
    </row>
    <row r="170" spans="1:36" ht="14" customHeight="1" x14ac:dyDescent="0.15">
      <c r="A170" s="98"/>
      <c r="B170" s="101" t="str">
        <f>IF(R41="1c", "Number of Earth Cores in Parallel with Active Conductors","")</f>
        <v/>
      </c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245"/>
      <c r="O170" s="245"/>
      <c r="P170" s="245"/>
      <c r="Q170" s="245"/>
      <c r="R170" s="245"/>
      <c r="S170" s="101"/>
      <c r="T170" s="101"/>
      <c r="U170" s="101"/>
      <c r="V170" s="101"/>
      <c r="W170" s="414">
        <v>4</v>
      </c>
      <c r="X170" s="415"/>
      <c r="Y170" s="415"/>
      <c r="Z170" s="416"/>
      <c r="AA170" s="101"/>
      <c r="AB170" s="245"/>
      <c r="AC170" s="245"/>
      <c r="AD170" s="101" t="str">
        <f>IF(R41="1c","","Ignored")</f>
        <v>Ignored</v>
      </c>
      <c r="AE170" s="406"/>
      <c r="AF170" s="101"/>
      <c r="AG170" s="101"/>
      <c r="AH170" s="101"/>
      <c r="AI170" s="101"/>
      <c r="AJ170" s="104"/>
    </row>
    <row r="171" spans="1:36" ht="14" customHeight="1" x14ac:dyDescent="0.15">
      <c r="A171" s="98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245"/>
      <c r="O171" s="245"/>
      <c r="P171" s="245"/>
      <c r="Q171" s="245"/>
      <c r="R171" s="245"/>
      <c r="S171" s="101"/>
      <c r="T171" s="101"/>
      <c r="U171" s="101"/>
      <c r="V171" s="101"/>
      <c r="W171" s="101"/>
      <c r="X171" s="101"/>
      <c r="Y171" s="101"/>
      <c r="Z171" s="101"/>
      <c r="AA171" s="101"/>
      <c r="AB171" s="245"/>
      <c r="AC171" s="245"/>
      <c r="AD171" s="101"/>
      <c r="AE171" s="406"/>
      <c r="AF171" s="101"/>
      <c r="AG171" s="101"/>
      <c r="AH171" s="101"/>
      <c r="AI171" s="101"/>
      <c r="AJ171" s="104"/>
    </row>
    <row r="172" spans="1:36" ht="14" customHeight="1" x14ac:dyDescent="0.15">
      <c r="A172" s="98"/>
      <c r="B172" s="101" t="s">
        <v>152</v>
      </c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245"/>
      <c r="O172" s="245"/>
      <c r="P172" s="245"/>
      <c r="Q172" s="245"/>
      <c r="R172" s="245"/>
      <c r="S172" s="101"/>
      <c r="T172" s="101"/>
      <c r="U172" s="101"/>
      <c r="V172" s="101"/>
      <c r="W172" s="400" t="s">
        <v>75</v>
      </c>
      <c r="X172" s="401"/>
      <c r="Y172" s="401"/>
      <c r="Z172" s="402"/>
      <c r="AA172" s="101"/>
      <c r="AB172" s="245"/>
      <c r="AC172" s="245"/>
      <c r="AD172" s="410" t="str">
        <f>IF(W172="Yes","Ideally same size as","")</f>
        <v/>
      </c>
      <c r="AE172" s="406"/>
      <c r="AF172" s="101"/>
      <c r="AG172" s="101"/>
      <c r="AH172" s="101"/>
      <c r="AI172" s="101"/>
      <c r="AJ172" s="104"/>
    </row>
    <row r="173" spans="1:36" ht="14" customHeight="1" x14ac:dyDescent="0.15">
      <c r="A173" s="98"/>
      <c r="B173" s="101" t="str">
        <f>IF(W172="Yes","Select Size of Additional Parallel Conductor","")</f>
        <v/>
      </c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245"/>
      <c r="O173" s="245"/>
      <c r="P173" s="245"/>
      <c r="Q173" s="245"/>
      <c r="R173" s="245"/>
      <c r="S173" s="101"/>
      <c r="T173" s="101"/>
      <c r="U173" s="101"/>
      <c r="V173" s="101"/>
      <c r="W173" s="184">
        <v>120</v>
      </c>
      <c r="X173" s="411"/>
      <c r="Y173" s="411"/>
      <c r="Z173" s="412"/>
      <c r="AA173" s="206" t="str">
        <f>IF(W172="Yes","mm2","&lt;====")</f>
        <v>&lt;====</v>
      </c>
      <c r="AB173" s="374"/>
      <c r="AC173" s="290"/>
      <c r="AD173" s="410" t="str">
        <f>IF(W172="Yes","Earth cores with phases","Ignore")</f>
        <v>Ignore</v>
      </c>
      <c r="AE173" s="406"/>
      <c r="AF173" s="101"/>
      <c r="AG173" s="101"/>
      <c r="AH173" s="101"/>
      <c r="AI173" s="101"/>
      <c r="AJ173" s="104"/>
    </row>
    <row r="174" spans="1:36" ht="14" customHeight="1" x14ac:dyDescent="0.15">
      <c r="A174" s="98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245"/>
      <c r="O174" s="245"/>
      <c r="P174" s="245"/>
      <c r="Q174" s="245"/>
      <c r="R174" s="245"/>
      <c r="S174" s="101"/>
      <c r="T174" s="101"/>
      <c r="U174" s="101"/>
      <c r="V174" s="101"/>
      <c r="W174" s="101"/>
      <c r="X174" s="101"/>
      <c r="Y174" s="101"/>
      <c r="Z174" s="101"/>
      <c r="AA174" s="101"/>
      <c r="AB174" s="245"/>
      <c r="AC174" s="245"/>
      <c r="AD174" s="410" t="str">
        <f>IF(W172="Yes","or larger to 120mm2","")</f>
        <v/>
      </c>
      <c r="AE174" s="410"/>
      <c r="AF174" s="410"/>
      <c r="AG174" s="410"/>
      <c r="AH174" s="410"/>
      <c r="AI174" s="410"/>
      <c r="AJ174" s="417"/>
    </row>
    <row r="175" spans="1:36" ht="14" customHeight="1" x14ac:dyDescent="0.15">
      <c r="A175" s="98"/>
      <c r="B175" s="101" t="s">
        <v>153</v>
      </c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245"/>
      <c r="O175" s="245"/>
      <c r="P175" s="245"/>
      <c r="Q175" s="245"/>
      <c r="R175" s="245"/>
      <c r="S175" s="101"/>
      <c r="T175" s="101"/>
      <c r="U175" s="101"/>
      <c r="V175" s="101"/>
      <c r="W175" s="393">
        <f>IF(R41="1c",W167*W170+IF(W172="Yes",W173,0),W163*W166+IF(W172="Yes",W173,0))</f>
        <v>120</v>
      </c>
      <c r="X175" s="394"/>
      <c r="Y175" s="394"/>
      <c r="Z175" s="395"/>
      <c r="AA175" s="120" t="s">
        <v>65</v>
      </c>
      <c r="AB175" s="121"/>
      <c r="AC175" s="122"/>
      <c r="AD175" s="101"/>
      <c r="AE175" s="406"/>
      <c r="AF175" s="101"/>
      <c r="AG175" s="101"/>
      <c r="AH175" s="101"/>
      <c r="AI175" s="101"/>
      <c r="AJ175" s="104"/>
    </row>
    <row r="176" spans="1:36" ht="14" customHeight="1" x14ac:dyDescent="0.15">
      <c r="A176" s="98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245"/>
      <c r="O176" s="245"/>
      <c r="P176" s="245"/>
      <c r="Q176" s="245"/>
      <c r="R176" s="245"/>
      <c r="S176" s="101"/>
      <c r="T176" s="101"/>
      <c r="U176" s="101"/>
      <c r="V176" s="101"/>
      <c r="W176" s="101"/>
      <c r="X176" s="101"/>
      <c r="Y176" s="101"/>
      <c r="Z176" s="101"/>
      <c r="AA176" s="101"/>
      <c r="AB176" s="245"/>
      <c r="AC176" s="245"/>
      <c r="AD176" s="101"/>
      <c r="AE176" s="406"/>
      <c r="AF176" s="101"/>
      <c r="AG176" s="101"/>
      <c r="AH176" s="101"/>
      <c r="AI176" s="101"/>
      <c r="AJ176" s="104"/>
    </row>
    <row r="177" spans="1:36" ht="14" customHeight="1" x14ac:dyDescent="0.15">
      <c r="A177" s="98"/>
      <c r="B177" s="245" t="s">
        <v>154</v>
      </c>
      <c r="AD177" s="245"/>
      <c r="AE177" s="406"/>
      <c r="AF177" s="101"/>
      <c r="AG177" s="101"/>
      <c r="AH177" s="101"/>
      <c r="AI177" s="101"/>
      <c r="AJ177" s="104"/>
    </row>
    <row r="178" spans="1:36" ht="14" customHeight="1" x14ac:dyDescent="0.15">
      <c r="A178" s="98"/>
      <c r="B178" s="101" t="s">
        <v>155</v>
      </c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245"/>
      <c r="O178" s="245"/>
      <c r="P178" s="245"/>
      <c r="Q178" s="245"/>
      <c r="R178" s="245"/>
      <c r="S178" s="101"/>
      <c r="T178" s="101"/>
      <c r="U178" s="101"/>
      <c r="V178" s="101"/>
      <c r="W178" s="418">
        <f>100*W175/W164</f>
        <v>40</v>
      </c>
      <c r="X178" s="419"/>
      <c r="Y178" s="419"/>
      <c r="Z178" s="420"/>
      <c r="AA178" s="120" t="s">
        <v>14</v>
      </c>
      <c r="AB178" s="121"/>
      <c r="AC178" s="122"/>
      <c r="AD178" s="101"/>
      <c r="AE178" s="406"/>
      <c r="AF178" s="101"/>
      <c r="AG178" s="101"/>
      <c r="AH178" s="101"/>
      <c r="AI178" s="101"/>
      <c r="AJ178" s="104"/>
    </row>
    <row r="179" spans="1:36" ht="14" customHeight="1" x14ac:dyDescent="0.15">
      <c r="A179" s="98"/>
      <c r="B179" s="107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245"/>
      <c r="O179" s="245"/>
      <c r="P179" s="245"/>
      <c r="Q179" s="245"/>
      <c r="R179" s="245"/>
      <c r="S179" s="101"/>
      <c r="T179" s="101"/>
      <c r="U179" s="101"/>
      <c r="V179" s="101"/>
      <c r="W179" s="421"/>
      <c r="X179" s="422"/>
      <c r="Y179" s="422"/>
      <c r="Z179" s="423"/>
      <c r="AA179" s="206"/>
      <c r="AB179" s="374"/>
      <c r="AC179" s="290"/>
      <c r="AD179" s="101"/>
      <c r="AE179" s="406"/>
      <c r="AF179" s="101"/>
      <c r="AG179" s="101"/>
      <c r="AH179" s="101"/>
      <c r="AI179" s="101"/>
      <c r="AJ179" s="104"/>
    </row>
    <row r="180" spans="1:36" ht="14" customHeight="1" x14ac:dyDescent="0.15">
      <c r="A180" s="98"/>
      <c r="B180" s="239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245"/>
      <c r="O180" s="245"/>
      <c r="P180" s="245"/>
      <c r="Q180" s="245"/>
      <c r="R180" s="245"/>
      <c r="S180" s="101"/>
      <c r="T180" s="101"/>
      <c r="U180" s="101"/>
      <c r="V180" s="101"/>
      <c r="W180" s="101"/>
      <c r="X180" s="101"/>
      <c r="Y180" s="101"/>
      <c r="Z180" s="101"/>
      <c r="AA180" s="101"/>
      <c r="AB180" s="245"/>
      <c r="AC180" s="245"/>
      <c r="AD180" s="101"/>
      <c r="AE180" s="406"/>
      <c r="AF180" s="101"/>
      <c r="AG180" s="101"/>
      <c r="AH180" s="101"/>
      <c r="AI180" s="101"/>
      <c r="AJ180" s="104"/>
    </row>
    <row r="181" spans="1:36" ht="14" customHeight="1" x14ac:dyDescent="0.15">
      <c r="A181" s="98"/>
      <c r="B181" s="239" t="s">
        <v>156</v>
      </c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245"/>
      <c r="O181" s="245"/>
      <c r="P181" s="245"/>
      <c r="Q181" s="245"/>
      <c r="R181" s="245"/>
      <c r="S181" s="101"/>
      <c r="T181" s="101"/>
      <c r="U181" s="101"/>
      <c r="V181" s="101"/>
      <c r="W181" s="101"/>
      <c r="X181" s="101"/>
      <c r="Y181" s="101"/>
      <c r="Z181" s="101"/>
      <c r="AA181" s="101"/>
      <c r="AB181" s="245"/>
      <c r="AC181" s="245"/>
      <c r="AD181" s="101"/>
      <c r="AE181" s="101"/>
      <c r="AF181" s="101"/>
      <c r="AG181" s="101"/>
      <c r="AH181" s="101"/>
      <c r="AI181" s="101"/>
      <c r="AJ181" s="104"/>
    </row>
    <row r="182" spans="1:36" ht="14" customHeight="1" x14ac:dyDescent="0.15">
      <c r="A182" s="98"/>
      <c r="B182" s="101" t="s">
        <v>157</v>
      </c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245"/>
      <c r="O182" s="245"/>
      <c r="P182" s="245"/>
      <c r="Q182" s="245"/>
      <c r="R182" s="245"/>
      <c r="S182" s="101"/>
      <c r="T182" s="101"/>
      <c r="U182" s="101"/>
      <c r="V182" s="101"/>
      <c r="W182" s="217">
        <v>25</v>
      </c>
      <c r="X182" s="218"/>
      <c r="Y182" s="218"/>
      <c r="Z182" s="219"/>
      <c r="AA182" s="120" t="s">
        <v>123</v>
      </c>
      <c r="AB182" s="121"/>
      <c r="AC182" s="122"/>
      <c r="AD182" s="101"/>
      <c r="AE182" s="101"/>
      <c r="AF182" s="101"/>
      <c r="AG182" s="101"/>
      <c r="AH182" s="103"/>
      <c r="AI182" s="101"/>
      <c r="AJ182" s="104"/>
    </row>
    <row r="183" spans="1:36" ht="14" customHeight="1" x14ac:dyDescent="0.15">
      <c r="A183" s="98"/>
      <c r="B183" s="101" t="s">
        <v>124</v>
      </c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245"/>
      <c r="O183" s="245"/>
      <c r="P183" s="245"/>
      <c r="Q183" s="245"/>
      <c r="R183" s="245"/>
      <c r="S183" s="101"/>
      <c r="T183" s="101"/>
      <c r="U183" s="101"/>
      <c r="V183" s="101"/>
      <c r="W183" s="217">
        <v>1</v>
      </c>
      <c r="X183" s="218"/>
      <c r="Y183" s="218"/>
      <c r="Z183" s="219"/>
      <c r="AA183" s="206" t="s">
        <v>125</v>
      </c>
      <c r="AB183" s="374"/>
      <c r="AC183" s="290"/>
      <c r="AD183" s="101"/>
      <c r="AE183" s="101"/>
      <c r="AF183" s="101"/>
      <c r="AG183" s="101"/>
      <c r="AH183" s="103"/>
      <c r="AI183" s="101"/>
      <c r="AJ183" s="104"/>
    </row>
    <row r="184" spans="1:36" ht="14" customHeight="1" x14ac:dyDescent="0.15">
      <c r="A184" s="98"/>
      <c r="B184" s="101" t="s">
        <v>126</v>
      </c>
      <c r="C184" s="162"/>
      <c r="D184" s="162"/>
      <c r="E184" s="162"/>
      <c r="F184" s="162"/>
      <c r="G184" s="162"/>
      <c r="H184" s="162"/>
      <c r="I184" s="101"/>
      <c r="J184" s="101"/>
      <c r="K184" s="101"/>
      <c r="L184" s="101"/>
      <c r="M184" s="101"/>
      <c r="N184" s="245"/>
      <c r="O184" s="245"/>
      <c r="P184" s="245"/>
      <c r="Q184" s="245"/>
      <c r="R184" s="245"/>
      <c r="S184" s="101"/>
      <c r="T184" s="101"/>
      <c r="U184" s="101"/>
      <c r="V184" s="101"/>
      <c r="W184" s="407">
        <f>IF(W166="Select",W167,W166)</f>
        <v>120</v>
      </c>
      <c r="X184" s="171"/>
      <c r="Y184" s="171"/>
      <c r="Z184" s="197"/>
      <c r="AA184" s="120" t="s">
        <v>18</v>
      </c>
      <c r="AB184" s="121"/>
      <c r="AC184" s="122"/>
      <c r="AD184" s="101"/>
      <c r="AE184" s="101"/>
      <c r="AF184" s="101"/>
      <c r="AG184" s="101"/>
      <c r="AH184" s="103"/>
      <c r="AI184" s="101"/>
      <c r="AJ184" s="104"/>
    </row>
    <row r="185" spans="1:36" ht="14" customHeight="1" x14ac:dyDescent="0.15">
      <c r="A185" s="98"/>
      <c r="B185" s="162" t="s">
        <v>63</v>
      </c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245"/>
      <c r="O185" s="245"/>
      <c r="P185" s="245"/>
      <c r="Q185" s="245"/>
      <c r="R185" s="245"/>
      <c r="S185" s="101"/>
      <c r="T185" s="101"/>
      <c r="U185" s="101"/>
      <c r="V185" s="101"/>
      <c r="W185" s="424" t="s">
        <v>158</v>
      </c>
      <c r="X185" s="425"/>
      <c r="Y185" s="425"/>
      <c r="Z185" s="426"/>
      <c r="AA185" s="180"/>
      <c r="AB185" s="181"/>
      <c r="AC185" s="182"/>
      <c r="AD185" s="101"/>
      <c r="AE185" s="101"/>
      <c r="AF185" s="101"/>
      <c r="AG185" s="101"/>
      <c r="AH185" s="103"/>
      <c r="AI185" s="101"/>
      <c r="AJ185" s="104"/>
    </row>
    <row r="186" spans="1:36" ht="14" customHeight="1" x14ac:dyDescent="0.15">
      <c r="A186" s="98"/>
      <c r="B186" s="162" t="s">
        <v>127</v>
      </c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245"/>
      <c r="O186" s="245"/>
      <c r="P186" s="245"/>
      <c r="Q186" s="245"/>
      <c r="R186" s="245"/>
      <c r="S186" s="101"/>
      <c r="T186" s="101"/>
      <c r="U186" s="101"/>
      <c r="V186" s="101"/>
      <c r="W186" s="170" t="s">
        <v>68</v>
      </c>
      <c r="X186" s="171"/>
      <c r="Y186" s="171"/>
      <c r="Z186" s="197"/>
      <c r="AA186" s="209"/>
      <c r="AB186" s="207"/>
      <c r="AC186" s="208"/>
      <c r="AD186" s="101"/>
      <c r="AE186" s="101"/>
      <c r="AF186" s="101"/>
      <c r="AG186" s="101"/>
      <c r="AH186" s="103"/>
      <c r="AI186" s="101"/>
      <c r="AJ186" s="104"/>
    </row>
    <row r="187" spans="1:36" ht="14" customHeight="1" x14ac:dyDescent="0.15">
      <c r="A187" s="98"/>
      <c r="B187" s="162" t="s">
        <v>159</v>
      </c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245"/>
      <c r="O187" s="245"/>
      <c r="P187" s="245"/>
      <c r="Q187" s="245"/>
      <c r="R187" s="245"/>
      <c r="S187" s="101"/>
      <c r="T187" s="101"/>
      <c r="U187" s="101"/>
      <c r="V187" s="101"/>
      <c r="W187" s="232">
        <f>W170</f>
        <v>4</v>
      </c>
      <c r="X187" s="171"/>
      <c r="Y187" s="171"/>
      <c r="Z187" s="197"/>
      <c r="AA187" s="209"/>
      <c r="AB187" s="207"/>
      <c r="AC187" s="208"/>
      <c r="AD187" s="101"/>
      <c r="AE187" s="101"/>
      <c r="AF187" s="101"/>
      <c r="AG187" s="101"/>
      <c r="AH187" s="103"/>
      <c r="AI187" s="101"/>
      <c r="AJ187" s="104"/>
    </row>
    <row r="188" spans="1:36" ht="14" customHeight="1" x14ac:dyDescent="0.15">
      <c r="A188" s="98"/>
      <c r="B188" s="162" t="s">
        <v>129</v>
      </c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245"/>
      <c r="O188" s="245"/>
      <c r="P188" s="245"/>
      <c r="Q188" s="245"/>
      <c r="R188" s="245"/>
      <c r="S188" s="101"/>
      <c r="T188" s="101"/>
      <c r="U188" s="101"/>
      <c r="V188" s="101"/>
      <c r="W188" s="424">
        <v>40</v>
      </c>
      <c r="X188" s="425"/>
      <c r="Y188" s="425"/>
      <c r="Z188" s="426"/>
      <c r="AA188" s="209" t="s">
        <v>160</v>
      </c>
      <c r="AB188" s="207"/>
      <c r="AC188" s="208"/>
      <c r="AD188" s="101"/>
      <c r="AE188" s="101"/>
      <c r="AF188" s="101"/>
      <c r="AG188" s="101"/>
      <c r="AH188" s="103"/>
      <c r="AI188" s="101"/>
      <c r="AJ188" s="104"/>
    </row>
    <row r="189" spans="1:36" ht="14" customHeight="1" x14ac:dyDescent="0.15">
      <c r="A189" s="98"/>
      <c r="B189" s="162" t="s">
        <v>131</v>
      </c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245"/>
      <c r="O189" s="245"/>
      <c r="P189" s="245"/>
      <c r="Q189" s="245"/>
      <c r="R189" s="245"/>
      <c r="S189" s="101"/>
      <c r="T189" s="101"/>
      <c r="U189" s="101"/>
      <c r="V189" s="101"/>
      <c r="W189" s="170">
        <f>IF(W185="PVC-V90",IF(W184&lt;301,160,140),IF(W185="XLPE",250,"False"))</f>
        <v>160</v>
      </c>
      <c r="X189" s="171"/>
      <c r="Y189" s="171"/>
      <c r="Z189" s="197"/>
      <c r="AA189" s="209" t="s">
        <v>160</v>
      </c>
      <c r="AB189" s="207"/>
      <c r="AC189" s="208"/>
      <c r="AD189" s="101" t="s">
        <v>40</v>
      </c>
      <c r="AE189" s="101"/>
      <c r="AF189" s="101"/>
      <c r="AG189" s="101" t="s">
        <v>132</v>
      </c>
      <c r="AH189" s="103"/>
      <c r="AI189" s="101"/>
      <c r="AJ189" s="104"/>
    </row>
    <row r="190" spans="1:36" ht="14" customHeight="1" x14ac:dyDescent="0.15">
      <c r="A190" s="98"/>
      <c r="B190" s="101" t="s">
        <v>133</v>
      </c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245"/>
      <c r="O190" s="245"/>
      <c r="P190" s="245"/>
      <c r="Q190" s="245"/>
      <c r="R190" s="245"/>
      <c r="S190" s="101"/>
      <c r="T190" s="101"/>
      <c r="U190" s="101"/>
      <c r="V190" s="101"/>
      <c r="W190" s="170">
        <f>IF(W186="Cu",IF(W188=25,VLOOKUP(W189,K_Factor,2,FALSE),IF(W188=40,VLOOKUP(W189,K_Factor,3,FALSE),IF(W188=75,VLOOKUP(W189,K_Factor,4,FALSE),IF(W188=75,VLOOKUP(W189,K_Factor,4,FALSE),IF(W188=90,VLOOKUP(W189,K_Factor,5,FALSE),"ERROR"))))))</f>
        <v>136</v>
      </c>
      <c r="X190" s="171"/>
      <c r="Y190" s="171"/>
      <c r="Z190" s="197"/>
      <c r="AA190" s="180"/>
      <c r="AB190" s="181"/>
      <c r="AC190" s="182"/>
      <c r="AD190" s="101" t="s">
        <v>40</v>
      </c>
      <c r="AE190" s="101"/>
      <c r="AF190" s="101"/>
      <c r="AG190" s="101" t="s">
        <v>134</v>
      </c>
      <c r="AH190" s="103"/>
      <c r="AI190" s="101"/>
      <c r="AJ190" s="104"/>
    </row>
    <row r="191" spans="1:36" ht="14" customHeight="1" x14ac:dyDescent="0.15">
      <c r="A191" s="98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245"/>
      <c r="O191" s="245"/>
      <c r="P191" s="245"/>
      <c r="Q191" s="245"/>
      <c r="R191" s="245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4"/>
    </row>
    <row r="192" spans="1:36" ht="14" customHeight="1" x14ac:dyDescent="0.15">
      <c r="A192" s="98"/>
      <c r="B192" s="101"/>
      <c r="C192" s="101"/>
      <c r="D192" s="101"/>
      <c r="E192" s="101"/>
      <c r="F192" s="101"/>
      <c r="G192" s="101"/>
      <c r="H192" s="101"/>
      <c r="I192" s="101"/>
      <c r="J192" s="133"/>
      <c r="K192" s="133"/>
      <c r="L192" s="101"/>
      <c r="M192" s="101"/>
      <c r="N192" s="245"/>
      <c r="O192" s="245"/>
      <c r="P192" s="245"/>
      <c r="Q192" s="378"/>
      <c r="R192" s="245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4"/>
    </row>
    <row r="193" spans="1:36" ht="20.25" customHeight="1" thickBot="1" x14ac:dyDescent="0.2">
      <c r="A193" s="98"/>
      <c r="B193" s="379" t="s">
        <v>135</v>
      </c>
      <c r="C193" s="380"/>
      <c r="D193" s="380"/>
      <c r="E193" s="380"/>
      <c r="F193" s="380"/>
      <c r="G193" s="380"/>
      <c r="H193" s="381"/>
      <c r="I193" s="300" t="s">
        <v>24</v>
      </c>
      <c r="J193" s="427"/>
      <c r="K193" s="428"/>
      <c r="L193" s="383"/>
      <c r="M193" s="383"/>
      <c r="N193" s="383"/>
      <c r="O193" s="383"/>
      <c r="P193" s="384" t="s">
        <v>136</v>
      </c>
      <c r="Q193" s="429">
        <v>2</v>
      </c>
      <c r="R193" s="383" t="s">
        <v>137</v>
      </c>
      <c r="S193" s="383" t="s">
        <v>138</v>
      </c>
      <c r="T193" s="383"/>
      <c r="U193" s="383"/>
      <c r="V193" s="383"/>
      <c r="W193" s="383"/>
      <c r="X193" s="386"/>
      <c r="Y193" s="101"/>
      <c r="Z193" s="101"/>
      <c r="AA193" s="101"/>
      <c r="AB193" s="101"/>
      <c r="AC193" s="101"/>
      <c r="AD193" s="101" t="s">
        <v>161</v>
      </c>
      <c r="AE193" s="101"/>
      <c r="AF193" s="101"/>
      <c r="AG193" s="101"/>
      <c r="AH193" s="101"/>
      <c r="AI193" s="101"/>
      <c r="AJ193" s="104"/>
    </row>
    <row r="194" spans="1:36" ht="18.75" customHeight="1" x14ac:dyDescent="0.15">
      <c r="A194" s="98"/>
      <c r="B194" s="387"/>
      <c r="C194" s="388"/>
      <c r="D194" s="388"/>
      <c r="E194" s="388"/>
      <c r="F194" s="388"/>
      <c r="G194" s="388"/>
      <c r="H194" s="389"/>
      <c r="I194" s="430"/>
      <c r="J194" s="147" t="s">
        <v>162</v>
      </c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8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4"/>
    </row>
    <row r="195" spans="1:36" ht="14" customHeight="1" x14ac:dyDescent="0.15">
      <c r="A195" s="98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245"/>
      <c r="O195" s="245"/>
      <c r="P195" s="245"/>
      <c r="Q195" s="245"/>
      <c r="R195" s="245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4"/>
    </row>
    <row r="196" spans="1:36" ht="14" customHeight="1" x14ac:dyDescent="0.15">
      <c r="A196" s="98"/>
      <c r="B196" s="101"/>
      <c r="C196" s="101"/>
      <c r="D196" s="101"/>
      <c r="E196" s="101"/>
      <c r="F196" s="101"/>
      <c r="G196" s="101"/>
      <c r="H196" s="101"/>
      <c r="I196" s="309" t="s">
        <v>24</v>
      </c>
      <c r="J196" s="101"/>
      <c r="K196" s="101"/>
      <c r="L196" s="101"/>
      <c r="M196" s="101"/>
      <c r="N196" s="245"/>
      <c r="O196" s="245"/>
      <c r="P196" s="245"/>
      <c r="Q196" s="245"/>
      <c r="R196" s="152">
        <f>SQRT((W182*1000)^2*W183/W190^2)</f>
        <v>183.8235294117647</v>
      </c>
      <c r="S196" s="153"/>
      <c r="T196" s="153"/>
      <c r="U196" s="154"/>
      <c r="V196" s="120" t="s">
        <v>65</v>
      </c>
      <c r="W196" s="121"/>
      <c r="X196" s="122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4"/>
    </row>
    <row r="197" spans="1:36" ht="14" customHeight="1" x14ac:dyDescent="0.15">
      <c r="A197" s="98"/>
      <c r="B197" s="133"/>
      <c r="C197" s="133"/>
      <c r="D197" s="133"/>
      <c r="E197" s="133"/>
      <c r="F197" s="133"/>
      <c r="G197" s="133"/>
      <c r="H197" s="133"/>
      <c r="J197" s="133"/>
      <c r="K197" s="133"/>
      <c r="L197" s="133"/>
      <c r="M197" s="133"/>
      <c r="N197" s="431"/>
      <c r="O197" s="431"/>
      <c r="P197" s="431"/>
      <c r="Q197" s="431"/>
      <c r="R197" s="431"/>
      <c r="S197" s="133"/>
      <c r="T197" s="133"/>
      <c r="U197" s="133"/>
      <c r="V197" s="133"/>
      <c r="W197" s="133"/>
      <c r="X197" s="133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4"/>
    </row>
    <row r="198" spans="1:36" ht="18.75" customHeight="1" thickBot="1" x14ac:dyDescent="0.2">
      <c r="A198" s="98"/>
      <c r="B198" s="379" t="s">
        <v>163</v>
      </c>
      <c r="C198" s="380"/>
      <c r="D198" s="380"/>
      <c r="E198" s="380"/>
      <c r="F198" s="380"/>
      <c r="G198" s="380"/>
      <c r="H198" s="381"/>
      <c r="I198" s="300" t="s">
        <v>24</v>
      </c>
      <c r="J198" s="432"/>
      <c r="K198" s="433"/>
      <c r="L198" s="383" t="s">
        <v>141</v>
      </c>
      <c r="M198" s="383"/>
      <c r="N198" s="434"/>
      <c r="O198" s="434"/>
      <c r="P198" s="434"/>
      <c r="Q198" s="434"/>
      <c r="R198" s="434"/>
      <c r="S198" s="383"/>
      <c r="T198" s="383"/>
      <c r="U198" s="433"/>
      <c r="V198" s="433"/>
      <c r="W198" s="433"/>
      <c r="X198" s="435"/>
      <c r="Y198" s="102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4"/>
    </row>
    <row r="199" spans="1:36" ht="18.75" customHeight="1" x14ac:dyDescent="0.15">
      <c r="A199" s="98"/>
      <c r="B199" s="387"/>
      <c r="C199" s="388"/>
      <c r="D199" s="388"/>
      <c r="E199" s="388"/>
      <c r="F199" s="388"/>
      <c r="G199" s="388"/>
      <c r="H199" s="389"/>
      <c r="I199" s="430"/>
      <c r="J199" s="436"/>
      <c r="K199" s="437"/>
      <c r="L199" s="438" t="s">
        <v>164</v>
      </c>
      <c r="M199" s="438"/>
      <c r="N199" s="439"/>
      <c r="O199" s="439"/>
      <c r="P199" s="439"/>
      <c r="Q199" s="439"/>
      <c r="R199" s="439"/>
      <c r="S199" s="438"/>
      <c r="T199" s="438"/>
      <c r="U199" s="437"/>
      <c r="V199" s="437"/>
      <c r="W199" s="437"/>
      <c r="X199" s="440"/>
      <c r="Y199" s="102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4"/>
    </row>
    <row r="200" spans="1:36" ht="14" customHeight="1" x14ac:dyDescent="0.15">
      <c r="A200" s="98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441"/>
      <c r="O200" s="441"/>
      <c r="P200" s="441"/>
      <c r="Q200" s="441"/>
      <c r="R200" s="441"/>
      <c r="S200" s="103"/>
      <c r="T200" s="103"/>
      <c r="U200" s="103"/>
      <c r="V200" s="103"/>
      <c r="W200" s="103"/>
      <c r="X200" s="103"/>
      <c r="Y200" s="101"/>
      <c r="Z200" s="410" t="s">
        <v>165</v>
      </c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4"/>
    </row>
    <row r="201" spans="1:36" ht="14" customHeight="1" x14ac:dyDescent="0.15">
      <c r="A201" s="98"/>
      <c r="B201" s="101"/>
      <c r="C201" s="101"/>
      <c r="D201" s="101"/>
      <c r="E201" s="101"/>
      <c r="F201" s="101"/>
      <c r="G201" s="101"/>
      <c r="H201" s="101"/>
      <c r="I201" s="309" t="s">
        <v>24</v>
      </c>
      <c r="J201" s="101"/>
      <c r="K201" s="101"/>
      <c r="L201" s="101"/>
      <c r="M201" s="101"/>
      <c r="N201" s="245"/>
      <c r="O201" s="245"/>
      <c r="P201" s="245"/>
      <c r="Q201" s="245"/>
      <c r="R201" s="152">
        <f>R196/(W187+IF(W172="Yes",IF(W173&gt;=W167,1,0),0))</f>
        <v>45.955882352941174</v>
      </c>
      <c r="S201" s="153"/>
      <c r="T201" s="153"/>
      <c r="U201" s="154"/>
      <c r="V201" s="120" t="s">
        <v>65</v>
      </c>
      <c r="W201" s="121"/>
      <c r="X201" s="122"/>
      <c r="Y201" s="101"/>
      <c r="Z201" s="410" t="s">
        <v>166</v>
      </c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4"/>
    </row>
    <row r="202" spans="1:36" ht="14" customHeight="1" x14ac:dyDescent="0.15">
      <c r="A202" s="98"/>
      <c r="B202" s="101"/>
      <c r="C202" s="101"/>
      <c r="D202" s="101"/>
      <c r="E202" s="101"/>
      <c r="F202" s="101"/>
      <c r="G202" s="101"/>
      <c r="H202" s="101"/>
      <c r="I202" s="309"/>
      <c r="J202" s="101"/>
      <c r="K202" s="101"/>
      <c r="L202" s="101"/>
      <c r="M202" s="101"/>
      <c r="N202" s="245"/>
      <c r="O202" s="245"/>
      <c r="P202" s="245"/>
      <c r="Q202" s="245"/>
      <c r="R202" s="101"/>
      <c r="S202" s="309"/>
      <c r="T202" s="101"/>
      <c r="U202" s="101"/>
      <c r="V202" s="101"/>
      <c r="W202" s="101"/>
      <c r="X202" s="245"/>
      <c r="Y202" s="101"/>
      <c r="Z202" s="442" t="s">
        <v>167</v>
      </c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4"/>
    </row>
    <row r="203" spans="1:36" ht="14" customHeight="1" x14ac:dyDescent="0.15">
      <c r="A203" s="98"/>
      <c r="B203" s="101"/>
      <c r="C203" s="101"/>
      <c r="D203" s="101"/>
      <c r="E203" s="101"/>
      <c r="F203" s="101"/>
      <c r="G203" s="101"/>
      <c r="H203" s="101"/>
      <c r="I203" s="309"/>
      <c r="J203" s="101"/>
      <c r="K203" s="101"/>
      <c r="L203" s="101"/>
      <c r="M203" s="101"/>
      <c r="N203" s="245"/>
      <c r="O203" s="245"/>
      <c r="P203" s="245"/>
      <c r="Q203" s="245"/>
      <c r="R203" s="101"/>
      <c r="S203" s="309"/>
      <c r="T203" s="101"/>
      <c r="U203" s="101"/>
      <c r="V203" s="101"/>
      <c r="W203" s="101"/>
      <c r="X203" s="245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4"/>
    </row>
    <row r="204" spans="1:36" ht="14" customHeight="1" x14ac:dyDescent="0.15">
      <c r="A204" s="98"/>
      <c r="B204" s="101"/>
      <c r="C204" s="101"/>
      <c r="D204" s="101"/>
      <c r="E204" s="101"/>
      <c r="F204" s="101"/>
      <c r="G204" s="101"/>
      <c r="H204" s="101"/>
      <c r="I204" s="309"/>
      <c r="J204" s="101"/>
      <c r="K204" s="101"/>
      <c r="L204" s="101"/>
      <c r="M204" s="101"/>
      <c r="N204" s="245"/>
      <c r="O204" s="245"/>
      <c r="P204" s="245"/>
      <c r="Q204" s="245"/>
      <c r="R204" s="101"/>
      <c r="S204" s="309"/>
      <c r="T204" s="101"/>
      <c r="U204" s="101"/>
      <c r="V204" s="101"/>
      <c r="W204" s="101"/>
      <c r="X204" s="245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4"/>
    </row>
    <row r="205" spans="1:36" ht="14" customHeight="1" x14ac:dyDescent="0.15">
      <c r="A205" s="98"/>
      <c r="B205" s="101"/>
      <c r="C205" s="101"/>
      <c r="D205" s="101"/>
      <c r="E205" s="101"/>
      <c r="F205" s="101"/>
      <c r="G205" s="101"/>
      <c r="H205" s="101"/>
      <c r="I205" s="309"/>
      <c r="J205" s="101"/>
      <c r="K205" s="101"/>
      <c r="L205" s="101"/>
      <c r="M205" s="101"/>
      <c r="N205" s="245"/>
      <c r="O205" s="245"/>
      <c r="P205" s="245"/>
      <c r="Q205" s="245"/>
      <c r="R205" s="101"/>
      <c r="S205" s="309"/>
      <c r="T205" s="101"/>
      <c r="U205" s="101"/>
      <c r="V205" s="101"/>
      <c r="W205" s="101"/>
      <c r="X205" s="245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4"/>
    </row>
    <row r="206" spans="1:36" ht="14" customHeight="1" x14ac:dyDescent="0.15">
      <c r="A206" s="98"/>
      <c r="B206" s="101"/>
      <c r="C206" s="101"/>
      <c r="D206" s="101"/>
      <c r="E206" s="101"/>
      <c r="F206" s="101"/>
      <c r="G206" s="101"/>
      <c r="H206" s="101"/>
      <c r="I206" s="309"/>
      <c r="J206" s="101"/>
      <c r="K206" s="101"/>
      <c r="L206" s="101"/>
      <c r="M206" s="101"/>
      <c r="N206" s="245"/>
      <c r="O206" s="245"/>
      <c r="P206" s="245"/>
      <c r="Q206" s="245"/>
      <c r="R206" s="101"/>
      <c r="S206" s="309"/>
      <c r="T206" s="101"/>
      <c r="U206" s="101"/>
      <c r="V206" s="101"/>
      <c r="W206" s="101"/>
      <c r="X206" s="245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4"/>
    </row>
    <row r="207" spans="1:36" ht="14" customHeight="1" x14ac:dyDescent="0.15">
      <c r="A207" s="98"/>
      <c r="B207" s="239" t="s">
        <v>168</v>
      </c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245"/>
      <c r="O207" s="245"/>
      <c r="P207" s="245"/>
      <c r="Q207" s="245"/>
      <c r="R207" s="245"/>
      <c r="S207" s="101"/>
      <c r="T207" s="101"/>
      <c r="U207" s="101"/>
      <c r="V207" s="101"/>
      <c r="W207" s="101"/>
      <c r="X207" s="101"/>
      <c r="Y207" s="101"/>
      <c r="Z207" s="101"/>
      <c r="AA207" s="101"/>
      <c r="AB207" s="245"/>
      <c r="AC207" s="245"/>
      <c r="AD207" s="101"/>
      <c r="AE207" s="101"/>
      <c r="AF207" s="101"/>
      <c r="AG207" s="101"/>
      <c r="AH207" s="101"/>
      <c r="AI207" s="101"/>
      <c r="AJ207" s="104"/>
    </row>
    <row r="208" spans="1:36" ht="14" customHeight="1" x14ac:dyDescent="0.15">
      <c r="A208" s="98"/>
      <c r="B208" s="162" t="s">
        <v>169</v>
      </c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245"/>
      <c r="O208" s="245"/>
      <c r="P208" s="245"/>
      <c r="Q208" s="245"/>
      <c r="R208" s="245"/>
      <c r="S208" s="101"/>
      <c r="T208" s="101"/>
      <c r="U208" s="101"/>
      <c r="V208" s="101"/>
      <c r="W208" s="393" t="s">
        <v>68</v>
      </c>
      <c r="X208" s="394"/>
      <c r="Y208" s="394"/>
      <c r="Z208" s="395"/>
      <c r="AA208" s="155"/>
      <c r="AB208" s="274"/>
      <c r="AC208" s="274"/>
      <c r="AD208" s="274"/>
      <c r="AE208" s="274"/>
      <c r="AF208" s="274"/>
      <c r="AG208" s="274"/>
      <c r="AH208" s="274"/>
      <c r="AI208" s="274"/>
      <c r="AJ208" s="104"/>
    </row>
    <row r="209" spans="1:36" ht="14" customHeight="1" x14ac:dyDescent="0.2">
      <c r="A209" s="98"/>
      <c r="B209" s="101" t="s">
        <v>170</v>
      </c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245"/>
      <c r="O209" s="245"/>
      <c r="P209" s="245"/>
      <c r="Q209" s="245"/>
      <c r="R209" s="245"/>
      <c r="S209" s="101"/>
      <c r="T209" s="101"/>
      <c r="U209" s="101"/>
      <c r="V209" s="101"/>
      <c r="W209" s="393">
        <f>X15/(SQRT(3))</f>
        <v>239.6003617136947</v>
      </c>
      <c r="X209" s="394"/>
      <c r="Y209" s="394"/>
      <c r="Z209" s="395"/>
      <c r="AA209" s="155" t="s">
        <v>171</v>
      </c>
      <c r="AB209" s="274"/>
      <c r="AC209" s="274"/>
      <c r="AD209" s="274"/>
      <c r="AE209" s="274"/>
      <c r="AF209" s="274"/>
      <c r="AG209" s="274"/>
      <c r="AH209" s="274"/>
      <c r="AI209" s="274"/>
      <c r="AJ209" s="104"/>
    </row>
    <row r="210" spans="1:36" ht="14" customHeight="1" x14ac:dyDescent="0.15">
      <c r="A210" s="98"/>
      <c r="B210" s="101" t="s">
        <v>172</v>
      </c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245"/>
      <c r="O210" s="245"/>
      <c r="P210" s="245"/>
      <c r="Q210" s="245"/>
      <c r="R210" s="245"/>
      <c r="S210" s="101"/>
      <c r="T210" s="101"/>
      <c r="U210" s="101"/>
      <c r="V210" s="101"/>
      <c r="W210" s="443">
        <f>VLOOKUP(W208, Conductor_Resistivity, 2, FALSE)</f>
        <v>2.2499999999999999E-2</v>
      </c>
      <c r="X210" s="444"/>
      <c r="Y210" s="444"/>
      <c r="Z210" s="445"/>
      <c r="AA210" s="446" t="s">
        <v>173</v>
      </c>
      <c r="AB210" s="274"/>
      <c r="AC210" s="274"/>
      <c r="AD210" s="274"/>
      <c r="AE210" s="274"/>
      <c r="AF210" s="274"/>
      <c r="AG210" s="274"/>
      <c r="AH210" s="274"/>
      <c r="AI210" s="274"/>
      <c r="AJ210" s="104"/>
    </row>
    <row r="211" spans="1:36" ht="14" customHeight="1" x14ac:dyDescent="0.15">
      <c r="A211" s="98"/>
      <c r="B211" s="101" t="s">
        <v>174</v>
      </c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245"/>
      <c r="O211" s="245"/>
      <c r="P211" s="245"/>
      <c r="Q211" s="245"/>
      <c r="R211" s="245"/>
      <c r="S211" s="101"/>
      <c r="T211" s="101"/>
      <c r="U211" s="184" t="s">
        <v>175</v>
      </c>
      <c r="V211" s="447"/>
      <c r="W211" s="447"/>
      <c r="X211" s="447"/>
      <c r="Y211" s="447"/>
      <c r="Z211" s="448"/>
      <c r="AA211" s="155"/>
      <c r="AB211" s="274"/>
      <c r="AC211" s="274"/>
      <c r="AD211" s="274"/>
      <c r="AE211" s="274"/>
      <c r="AF211" s="274"/>
      <c r="AG211" s="274"/>
      <c r="AH211" s="274"/>
      <c r="AI211" s="274"/>
      <c r="AJ211" s="104"/>
    </row>
    <row r="212" spans="1:36" ht="14" customHeight="1" x14ac:dyDescent="0.15">
      <c r="A212" s="98"/>
      <c r="B212" s="14" t="str">
        <f>IF(U211="Circuit Breaker", "Circuit Breaker Type", "Fuse Type")</f>
        <v>Circuit Breaker Type</v>
      </c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245"/>
      <c r="O212" s="245"/>
      <c r="P212" s="245"/>
      <c r="Q212" s="245"/>
      <c r="R212" s="245"/>
      <c r="S212" s="101"/>
      <c r="T212" s="101"/>
      <c r="U212" s="101"/>
      <c r="V212" s="101"/>
      <c r="W212" s="424" t="s">
        <v>176</v>
      </c>
      <c r="X212" s="425"/>
      <c r="Y212" s="425"/>
      <c r="Z212" s="426"/>
      <c r="AA212" s="155" t="str">
        <f>IF(U211="Fuse","Not Used","")</f>
        <v/>
      </c>
      <c r="AB212" s="274"/>
      <c r="AC212" s="274"/>
      <c r="AD212" s="274"/>
      <c r="AE212" s="274"/>
      <c r="AF212" s="274"/>
      <c r="AG212" s="274"/>
      <c r="AH212" s="274"/>
      <c r="AI212" s="274"/>
      <c r="AJ212" s="104"/>
    </row>
    <row r="213" spans="1:36" ht="14" customHeight="1" x14ac:dyDescent="0.15">
      <c r="A213" s="98"/>
      <c r="B213" s="101" t="str">
        <f>IF(U211="Circuit Breaker", "Circuit Breaker Rating", "Fuse Rating")</f>
        <v>Circuit Breaker Rating</v>
      </c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76" t="s">
        <v>177</v>
      </c>
      <c r="O213" s="245"/>
      <c r="P213" s="245"/>
      <c r="Q213" s="245"/>
      <c r="R213" s="245"/>
      <c r="S213" s="101"/>
      <c r="T213" s="101"/>
      <c r="U213" s="101"/>
      <c r="V213" s="101"/>
      <c r="W213" s="217">
        <v>200</v>
      </c>
      <c r="X213" s="218"/>
      <c r="Y213" s="218"/>
      <c r="Z213" s="219"/>
      <c r="AA213" s="155" t="s">
        <v>178</v>
      </c>
      <c r="AB213" s="274"/>
      <c r="AC213" s="274"/>
      <c r="AD213" s="274"/>
      <c r="AE213" s="274"/>
      <c r="AF213" s="274"/>
      <c r="AG213" s="274"/>
      <c r="AH213" s="274"/>
      <c r="AI213" s="274"/>
      <c r="AJ213" s="104"/>
    </row>
    <row r="214" spans="1:36" ht="14" customHeight="1" x14ac:dyDescent="0.15">
      <c r="A214" s="98"/>
      <c r="B214" s="101" t="str">
        <f>IF(U211="Circuit Breaker", "Miniature Circuit Breaker Curve", "Fuse Type")</f>
        <v>Miniature Circuit Breaker Curve</v>
      </c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76" t="s">
        <v>179</v>
      </c>
      <c r="O214" s="245"/>
      <c r="P214" s="245"/>
      <c r="Q214" s="245"/>
      <c r="R214" s="245"/>
      <c r="S214" s="101"/>
      <c r="T214" s="101"/>
      <c r="U214" s="101"/>
      <c r="V214" s="101"/>
      <c r="W214" s="449" t="s">
        <v>180</v>
      </c>
      <c r="X214" s="450"/>
      <c r="Y214" s="450"/>
      <c r="Z214" s="451"/>
      <c r="AA214" s="452" t="str">
        <f>IF(W212="MCB","",IF(U211="Fuse","","Not MCB, Use curve C"))</f>
        <v>Not MCB, Use curve C</v>
      </c>
      <c r="AB214" s="274"/>
      <c r="AC214" s="274"/>
      <c r="AD214" s="274"/>
      <c r="AE214" s="274"/>
      <c r="AF214" s="274"/>
      <c r="AG214" s="274"/>
      <c r="AH214" s="274"/>
      <c r="AI214" s="274"/>
      <c r="AJ214" s="104"/>
    </row>
    <row r="215" spans="1:36" ht="14" customHeight="1" x14ac:dyDescent="0.15">
      <c r="A215" s="98"/>
      <c r="B215" s="101" t="str">
        <f>IF(U211="Circuit Breaker", "Mean Tripping Current Factor", "")</f>
        <v>Mean Tripping Current Factor</v>
      </c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O215" s="245"/>
      <c r="P215" s="245"/>
      <c r="Q215" s="245"/>
      <c r="R215" s="245"/>
      <c r="S215" s="101"/>
      <c r="T215" s="101"/>
      <c r="U215" s="101"/>
      <c r="V215" s="101"/>
      <c r="W215" s="418">
        <f>IF(U211="Circuit Breaker", IF(W212="MCB",VLOOKUP(W214, Breaker_Tripping_Current, 2, FALSE), 7.5),"")</f>
        <v>7.5</v>
      </c>
      <c r="X215" s="419"/>
      <c r="Y215" s="419"/>
      <c r="Z215" s="420"/>
      <c r="AA215" s="452" t="str">
        <f>IF(U211="Circuit Breaker", " x rated current", "")</f>
        <v xml:space="preserve"> x rated current</v>
      </c>
      <c r="AB215" s="453"/>
      <c r="AC215" s="453"/>
      <c r="AD215" s="274"/>
      <c r="AE215" s="274"/>
      <c r="AF215" s="453" t="str">
        <f>IF(U211="Circuit Breaker","AS3000 B.4")</f>
        <v>AS3000 B.4</v>
      </c>
      <c r="AG215" s="274"/>
      <c r="AH215" s="274"/>
      <c r="AI215" s="274"/>
      <c r="AJ215" s="104"/>
    </row>
    <row r="216" spans="1:36" ht="14" customHeight="1" x14ac:dyDescent="0.15">
      <c r="A216" s="98"/>
      <c r="B216" s="101" t="s">
        <v>181</v>
      </c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245"/>
      <c r="O216" s="245"/>
      <c r="P216" s="245"/>
      <c r="Q216" s="245"/>
      <c r="R216" s="245"/>
      <c r="S216" s="101"/>
      <c r="T216" s="101"/>
      <c r="U216" s="101"/>
      <c r="V216" s="454"/>
      <c r="W216" s="418">
        <f>IF(U211="Circuit Breaker", W213*W215, VLOOKUP(W213, gG_Fuse_Gates, 5, FALSE))</f>
        <v>1500</v>
      </c>
      <c r="X216" s="419"/>
      <c r="Y216" s="419"/>
      <c r="Z216" s="420"/>
      <c r="AA216" s="155" t="str">
        <f>IF(U211="Circuit Breaker", "A", "A")</f>
        <v>A</v>
      </c>
      <c r="AB216" s="274"/>
      <c r="AC216" s="274"/>
      <c r="AD216" s="274"/>
      <c r="AE216" s="274"/>
      <c r="AF216" s="274"/>
      <c r="AG216" s="274"/>
      <c r="AH216" s="274"/>
      <c r="AI216" s="274"/>
      <c r="AJ216" s="104"/>
    </row>
    <row r="217" spans="1:36" ht="16" x14ac:dyDescent="0.2">
      <c r="A217" s="98"/>
      <c r="B217" s="101" t="s">
        <v>182</v>
      </c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245"/>
      <c r="O217" s="245"/>
      <c r="P217" s="245"/>
      <c r="Q217" s="245"/>
      <c r="R217" s="245"/>
      <c r="S217" s="101"/>
      <c r="T217" s="101"/>
      <c r="U217" s="101"/>
      <c r="V217" s="101"/>
      <c r="W217" s="393">
        <f>W164</f>
        <v>300</v>
      </c>
      <c r="X217" s="394"/>
      <c r="Y217" s="394"/>
      <c r="Z217" s="395"/>
      <c r="AA217" s="155" t="s">
        <v>65</v>
      </c>
      <c r="AB217" s="274"/>
      <c r="AC217" s="274"/>
      <c r="AD217" s="274"/>
      <c r="AE217" s="274"/>
      <c r="AF217" s="274"/>
      <c r="AG217" s="274"/>
      <c r="AH217" s="274"/>
      <c r="AI217" s="274"/>
      <c r="AJ217" s="104"/>
    </row>
    <row r="218" spans="1:36" ht="16" x14ac:dyDescent="0.2">
      <c r="A218" s="98"/>
      <c r="B218" s="101" t="s">
        <v>183</v>
      </c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245"/>
      <c r="O218" s="245"/>
      <c r="P218" s="245"/>
      <c r="Q218" s="245"/>
      <c r="R218" s="245"/>
      <c r="S218" s="101"/>
      <c r="T218" s="101"/>
      <c r="U218" s="101"/>
      <c r="V218" s="101"/>
      <c r="W218" s="393">
        <f>W175</f>
        <v>120</v>
      </c>
      <c r="X218" s="394"/>
      <c r="Y218" s="394"/>
      <c r="Z218" s="395"/>
      <c r="AA218" s="155" t="s">
        <v>65</v>
      </c>
      <c r="AB218" s="274"/>
      <c r="AC218" s="274"/>
      <c r="AD218" s="274"/>
      <c r="AE218" s="274"/>
      <c r="AF218" s="274"/>
      <c r="AG218" s="274"/>
      <c r="AH218" s="274"/>
      <c r="AI218" s="274"/>
      <c r="AJ218" s="104"/>
    </row>
    <row r="219" spans="1:36" ht="14" customHeight="1" x14ac:dyDescent="0.15">
      <c r="A219" s="98"/>
      <c r="B219" s="101" t="s">
        <v>184</v>
      </c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245"/>
      <c r="O219" s="245"/>
      <c r="P219" s="245"/>
      <c r="Q219" s="245"/>
      <c r="R219" s="245"/>
      <c r="S219" s="101"/>
      <c r="T219" s="101"/>
      <c r="U219" s="101"/>
      <c r="V219" s="101"/>
      <c r="W219" s="455">
        <f>R89</f>
        <v>150</v>
      </c>
      <c r="X219" s="456"/>
      <c r="Y219" s="456"/>
      <c r="Z219" s="457"/>
      <c r="AA219" s="155" t="s">
        <v>185</v>
      </c>
      <c r="AB219" s="274"/>
      <c r="AC219" s="274"/>
      <c r="AD219" s="274"/>
      <c r="AE219" s="274"/>
      <c r="AF219" s="274"/>
      <c r="AG219" s="274"/>
      <c r="AH219" s="274"/>
      <c r="AI219" s="274"/>
      <c r="AJ219" s="104"/>
    </row>
    <row r="220" spans="1:36" ht="14" customHeight="1" x14ac:dyDescent="0.15">
      <c r="A220" s="98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431"/>
      <c r="O220" s="431"/>
      <c r="P220" s="431"/>
      <c r="Q220" s="431"/>
      <c r="R220" s="431"/>
      <c r="S220" s="133"/>
      <c r="T220" s="133"/>
      <c r="U220" s="133"/>
      <c r="V220" s="133"/>
      <c r="W220" s="133"/>
      <c r="X220" s="133"/>
      <c r="Y220" s="101"/>
      <c r="Z220" s="101"/>
      <c r="AA220" s="101"/>
      <c r="AB220" s="245"/>
      <c r="AC220" s="245"/>
      <c r="AD220" s="101"/>
      <c r="AE220" s="101"/>
      <c r="AF220" s="101"/>
      <c r="AG220" s="101"/>
      <c r="AH220" s="101"/>
      <c r="AI220" s="101"/>
      <c r="AJ220" s="104"/>
    </row>
    <row r="221" spans="1:36" ht="18.75" customHeight="1" thickBot="1" x14ac:dyDescent="0.25">
      <c r="A221" s="98"/>
      <c r="B221" s="458" t="s">
        <v>186</v>
      </c>
      <c r="C221" s="459"/>
      <c r="D221" s="459"/>
      <c r="E221" s="459"/>
      <c r="F221" s="459"/>
      <c r="G221" s="459"/>
      <c r="H221" s="460"/>
      <c r="I221" s="300" t="s">
        <v>24</v>
      </c>
      <c r="J221" s="317"/>
      <c r="K221" s="317"/>
      <c r="L221" s="461" t="s">
        <v>187</v>
      </c>
      <c r="M221" s="461"/>
      <c r="N221" s="462"/>
      <c r="O221" s="462"/>
      <c r="P221" s="462"/>
      <c r="Q221" s="462"/>
      <c r="R221" s="462"/>
      <c r="S221" s="461"/>
      <c r="T221" s="461"/>
      <c r="U221" s="317"/>
      <c r="V221" s="317"/>
      <c r="W221" s="317"/>
      <c r="X221" s="463"/>
      <c r="Y221" s="102"/>
      <c r="Z221" s="101"/>
      <c r="AA221" s="101" t="s">
        <v>188</v>
      </c>
      <c r="AB221" s="245"/>
      <c r="AC221" s="245"/>
      <c r="AD221" s="101"/>
      <c r="AE221" s="101"/>
      <c r="AF221" s="101" t="s">
        <v>189</v>
      </c>
      <c r="AG221" s="101"/>
      <c r="AH221" s="101"/>
      <c r="AI221" s="101"/>
      <c r="AJ221" s="104"/>
    </row>
    <row r="222" spans="1:36" ht="18.75" customHeight="1" x14ac:dyDescent="0.2">
      <c r="A222" s="98"/>
      <c r="B222" s="464"/>
      <c r="C222" s="465"/>
      <c r="D222" s="465"/>
      <c r="E222" s="465"/>
      <c r="F222" s="465"/>
      <c r="G222" s="465"/>
      <c r="H222" s="466"/>
      <c r="I222" s="430"/>
      <c r="J222" s="467"/>
      <c r="K222" s="467"/>
      <c r="L222" s="468" t="s">
        <v>190</v>
      </c>
      <c r="M222" s="468"/>
      <c r="N222" s="469"/>
      <c r="O222" s="469"/>
      <c r="P222" s="469"/>
      <c r="Q222" s="469"/>
      <c r="R222" s="469"/>
      <c r="S222" s="468"/>
      <c r="T222" s="468"/>
      <c r="U222" s="467"/>
      <c r="V222" s="467"/>
      <c r="W222" s="467"/>
      <c r="X222" s="351"/>
      <c r="Y222" s="102"/>
      <c r="Z222" s="101"/>
      <c r="AA222" s="101"/>
      <c r="AB222" s="245"/>
      <c r="AC222" s="245"/>
      <c r="AD222" s="101"/>
      <c r="AE222" s="101"/>
      <c r="AF222" s="101"/>
      <c r="AG222" s="101"/>
      <c r="AH222" s="101"/>
      <c r="AI222" s="101"/>
      <c r="AJ222" s="104"/>
    </row>
    <row r="223" spans="1:36" ht="14" customHeight="1" x14ac:dyDescent="0.15">
      <c r="A223" s="98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441"/>
      <c r="O223" s="441"/>
      <c r="P223" s="441"/>
      <c r="Q223" s="441"/>
      <c r="R223" s="441"/>
      <c r="S223" s="103"/>
      <c r="T223" s="103"/>
      <c r="U223" s="103"/>
      <c r="V223" s="103"/>
      <c r="W223" s="103"/>
      <c r="X223" s="103"/>
      <c r="Y223" s="101"/>
      <c r="Z223" s="101"/>
      <c r="AA223" s="101"/>
      <c r="AB223" s="245"/>
      <c r="AC223" s="245"/>
      <c r="AD223" s="101"/>
      <c r="AE223" s="101"/>
      <c r="AF223" s="101"/>
      <c r="AG223" s="101"/>
      <c r="AH223" s="101"/>
      <c r="AI223" s="101"/>
      <c r="AJ223" s="104"/>
    </row>
    <row r="224" spans="1:36" ht="14" customHeight="1" x14ac:dyDescent="0.15">
      <c r="A224" s="98"/>
      <c r="B224" s="101"/>
      <c r="C224" s="101"/>
      <c r="D224" s="101"/>
      <c r="E224" s="101"/>
      <c r="F224" s="101"/>
      <c r="G224" s="101"/>
      <c r="H224" s="101"/>
      <c r="I224" s="101" t="s">
        <v>24</v>
      </c>
      <c r="J224" s="101"/>
      <c r="K224" s="101"/>
      <c r="L224" s="101"/>
      <c r="M224" s="101"/>
      <c r="N224" s="245"/>
      <c r="O224" s="245"/>
      <c r="P224" s="245"/>
      <c r="Q224" s="245"/>
      <c r="R224" s="152">
        <f>(0.8*W209*W217*W218)/(W216*W210*(W217+W218))</f>
        <v>486.80708411671304</v>
      </c>
      <c r="S224" s="153"/>
      <c r="T224" s="153"/>
      <c r="U224" s="154"/>
      <c r="V224" s="120" t="s">
        <v>185</v>
      </c>
      <c r="W224" s="121"/>
      <c r="X224" s="122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4"/>
    </row>
    <row r="225" spans="1:36" ht="14" customHeight="1" x14ac:dyDescent="0.15">
      <c r="A225" s="98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245"/>
      <c r="O225" s="245"/>
      <c r="P225" s="245"/>
      <c r="Q225" s="245"/>
      <c r="R225" s="245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4"/>
    </row>
    <row r="226" spans="1:36" ht="14" customHeight="1" x14ac:dyDescent="0.15">
      <c r="A226" s="98"/>
      <c r="B226" s="269" t="s">
        <v>191</v>
      </c>
      <c r="C226" s="270"/>
      <c r="D226" s="270"/>
      <c r="E226" s="270"/>
      <c r="F226" s="270"/>
      <c r="G226" s="270"/>
      <c r="H226" s="271"/>
      <c r="I226" s="272" t="s">
        <v>24</v>
      </c>
      <c r="J226" s="352" t="str">
        <f>IF(W159= "No", "Earth conductor not required", IF(W175&lt;(0.25*W164), "Please revise earth cable selection - Earth conductor size is less than 25%","Earth Conductor Sizing is Satisfactory"))</f>
        <v>Earth Conductor Sizing is Satisfactory</v>
      </c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52"/>
      <c r="Z226" s="352"/>
      <c r="AA226" s="352"/>
      <c r="AB226" s="352"/>
      <c r="AC226" s="352"/>
      <c r="AD226" s="352"/>
      <c r="AE226" s="352"/>
      <c r="AF226" s="352"/>
      <c r="AG226" s="352"/>
      <c r="AH226" s="352"/>
      <c r="AI226" s="352"/>
      <c r="AJ226" s="104"/>
    </row>
    <row r="227" spans="1:36" ht="14" customHeight="1" x14ac:dyDescent="0.15">
      <c r="A227" s="98"/>
      <c r="B227" s="470"/>
      <c r="C227" s="471"/>
      <c r="D227" s="471"/>
      <c r="E227" s="471"/>
      <c r="F227" s="471"/>
      <c r="G227" s="471"/>
      <c r="H227" s="472"/>
      <c r="I227" s="272"/>
      <c r="J227" s="352" t="str">
        <f>IF(W159= "No", "", IF(W175&lt;(0.25*W164), "     of associated active conductor size",""))</f>
        <v/>
      </c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52"/>
      <c r="Z227" s="352"/>
      <c r="AA227" s="352"/>
      <c r="AB227" s="352"/>
      <c r="AC227" s="352"/>
      <c r="AD227" s="352"/>
      <c r="AE227" s="352"/>
      <c r="AF227" s="352"/>
      <c r="AG227" s="352"/>
      <c r="AH227" s="352"/>
      <c r="AI227" s="352"/>
      <c r="AJ227" s="104"/>
    </row>
    <row r="228" spans="1:36" ht="5.25" customHeight="1" x14ac:dyDescent="0.15">
      <c r="A228" s="98"/>
      <c r="B228" s="470"/>
      <c r="C228" s="471"/>
      <c r="D228" s="471"/>
      <c r="E228" s="471"/>
      <c r="F228" s="471"/>
      <c r="G228" s="471"/>
      <c r="H228" s="472"/>
      <c r="I228" s="272"/>
      <c r="J228" s="352"/>
      <c r="K228" s="352"/>
      <c r="L228" s="352"/>
      <c r="M228" s="352"/>
      <c r="N228" s="352"/>
      <c r="O228" s="352"/>
      <c r="P228" s="352"/>
      <c r="Q228" s="352"/>
      <c r="R228" s="352"/>
      <c r="S228" s="352"/>
      <c r="T228" s="352"/>
      <c r="U228" s="352"/>
      <c r="V228" s="352"/>
      <c r="W228" s="352"/>
      <c r="X228" s="352"/>
      <c r="Y228" s="352"/>
      <c r="Z228" s="352"/>
      <c r="AA228" s="352"/>
      <c r="AB228" s="352"/>
      <c r="AC228" s="352"/>
      <c r="AD228" s="352"/>
      <c r="AE228" s="352"/>
      <c r="AF228" s="352"/>
      <c r="AG228" s="352"/>
      <c r="AH228" s="352"/>
      <c r="AI228" s="352"/>
      <c r="AJ228" s="104"/>
    </row>
    <row r="229" spans="1:36" ht="14" customHeight="1" x14ac:dyDescent="0.15">
      <c r="A229" s="98"/>
      <c r="B229" s="470"/>
      <c r="C229" s="471"/>
      <c r="D229" s="471"/>
      <c r="E229" s="471"/>
      <c r="F229" s="471"/>
      <c r="G229" s="471"/>
      <c r="H229" s="472"/>
      <c r="I229" s="272"/>
      <c r="J229" s="352" t="str">
        <f>IF(W159= "No", "", IF(W175&gt;=R196,"Earth cable selection is satisfactory for fault level","Please revise earth cable selection - Earth conductor size cannot handle"))</f>
        <v>Please revise earth cable selection - Earth conductor size cannot handle</v>
      </c>
      <c r="K229" s="352"/>
      <c r="L229" s="352"/>
      <c r="M229" s="352"/>
      <c r="N229" s="352"/>
      <c r="O229" s="352"/>
      <c r="P229" s="352"/>
      <c r="Q229" s="352"/>
      <c r="R229" s="352"/>
      <c r="S229" s="352"/>
      <c r="T229" s="352"/>
      <c r="U229" s="352"/>
      <c r="V229" s="352"/>
      <c r="W229" s="352"/>
      <c r="X229" s="352"/>
      <c r="Y229" s="352"/>
      <c r="Z229" s="352"/>
      <c r="AA229" s="352"/>
      <c r="AB229" s="352"/>
      <c r="AC229" s="352"/>
      <c r="AD229" s="352"/>
      <c r="AE229" s="352"/>
      <c r="AF229" s="352"/>
      <c r="AG229" s="352"/>
      <c r="AH229" s="352"/>
      <c r="AI229" s="352"/>
      <c r="AJ229" s="104"/>
    </row>
    <row r="230" spans="1:36" ht="14" customHeight="1" x14ac:dyDescent="0.15">
      <c r="A230" s="98"/>
      <c r="B230" s="470"/>
      <c r="C230" s="471"/>
      <c r="D230" s="471"/>
      <c r="E230" s="471"/>
      <c r="F230" s="471"/>
      <c r="G230" s="471"/>
      <c r="H230" s="472"/>
      <c r="I230" s="272"/>
      <c r="J230" s="352" t="str">
        <f>IF(W159= "No", "", IF(W175&gt;=R201,"","     short circuit fault level"))</f>
        <v/>
      </c>
      <c r="K230" s="352"/>
      <c r="L230" s="352"/>
      <c r="M230" s="352"/>
      <c r="N230" s="352"/>
      <c r="O230" s="352"/>
      <c r="P230" s="352"/>
      <c r="Q230" s="352"/>
      <c r="R230" s="352"/>
      <c r="S230" s="352"/>
      <c r="T230" s="352"/>
      <c r="U230" s="352"/>
      <c r="V230" s="352"/>
      <c r="W230" s="352"/>
      <c r="X230" s="352"/>
      <c r="Y230" s="352"/>
      <c r="Z230" s="352"/>
      <c r="AA230" s="352"/>
      <c r="AB230" s="352"/>
      <c r="AC230" s="352"/>
      <c r="AD230" s="352"/>
      <c r="AE230" s="352"/>
      <c r="AF230" s="352"/>
      <c r="AG230" s="352"/>
      <c r="AH230" s="352"/>
      <c r="AI230" s="352"/>
      <c r="AJ230" s="104"/>
    </row>
    <row r="231" spans="1:36" ht="5.25" customHeight="1" x14ac:dyDescent="0.15">
      <c r="A231" s="98"/>
      <c r="B231" s="470"/>
      <c r="C231" s="471"/>
      <c r="D231" s="471"/>
      <c r="E231" s="471"/>
      <c r="F231" s="471"/>
      <c r="G231" s="471"/>
      <c r="H231" s="472"/>
      <c r="I231" s="272"/>
      <c r="J231" s="352"/>
      <c r="K231" s="352"/>
      <c r="L231" s="352"/>
      <c r="M231" s="352"/>
      <c r="N231" s="352"/>
      <c r="O231" s="352"/>
      <c r="P231" s="352"/>
      <c r="Q231" s="352"/>
      <c r="R231" s="352"/>
      <c r="S231" s="352"/>
      <c r="T231" s="352"/>
      <c r="U231" s="352"/>
      <c r="V231" s="352"/>
      <c r="W231" s="352"/>
      <c r="X231" s="352"/>
      <c r="Y231" s="352"/>
      <c r="Z231" s="352"/>
      <c r="AA231" s="352"/>
      <c r="AB231" s="352"/>
      <c r="AC231" s="352"/>
      <c r="AD231" s="352"/>
      <c r="AE231" s="352"/>
      <c r="AF231" s="352"/>
      <c r="AG231" s="352"/>
      <c r="AH231" s="352"/>
      <c r="AI231" s="352"/>
      <c r="AJ231" s="104"/>
    </row>
    <row r="232" spans="1:36" ht="14" customHeight="1" x14ac:dyDescent="0.15">
      <c r="A232" s="98"/>
      <c r="B232" s="470"/>
      <c r="C232" s="471"/>
      <c r="D232" s="471"/>
      <c r="E232" s="471"/>
      <c r="F232" s="471"/>
      <c r="G232" s="471"/>
      <c r="H232" s="472"/>
      <c r="I232" s="272"/>
      <c r="J232" s="352" t="str">
        <f>IF(W160= "Yes", "Circuit has Earth Leakage Protection - Earth Fault Loop Impedance is", IF(W159= "No", "", IF(R224&gt;=W219,"Earth cable earth fault loop impedance is satisfactory for route length","Please revise earth cable selection - Earth conductor size has")))</f>
        <v>Earth cable earth fault loop impedance is satisfactory for route length</v>
      </c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352"/>
      <c r="AB232" s="352"/>
      <c r="AC232" s="352"/>
      <c r="AD232" s="352"/>
      <c r="AE232" s="352"/>
      <c r="AF232" s="352"/>
      <c r="AG232" s="352"/>
      <c r="AH232" s="352"/>
      <c r="AI232" s="352"/>
      <c r="AJ232" s="104"/>
    </row>
    <row r="233" spans="1:36" ht="14" customHeight="1" x14ac:dyDescent="0.15">
      <c r="A233" s="98"/>
      <c r="B233" s="470"/>
      <c r="C233" s="471"/>
      <c r="D233" s="471"/>
      <c r="E233" s="471"/>
      <c r="F233" s="471"/>
      <c r="G233" s="471"/>
      <c r="H233" s="472"/>
      <c r="I233" s="272"/>
      <c r="J233" s="352" t="str">
        <f>IF(W160="Yes", "     satisfactory", IF(W159= "No", "", IF(R224&gt;=W219,"","     unsatisfactory earth fault loop Impedance")))</f>
        <v/>
      </c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  <c r="AA233" s="352"/>
      <c r="AB233" s="352"/>
      <c r="AC233" s="352"/>
      <c r="AD233" s="352"/>
      <c r="AE233" s="352"/>
      <c r="AF233" s="352"/>
      <c r="AG233" s="352"/>
      <c r="AH233" s="352"/>
      <c r="AI233" s="352"/>
      <c r="AJ233" s="104"/>
    </row>
    <row r="234" spans="1:36" ht="14" customHeight="1" x14ac:dyDescent="0.15">
      <c r="A234" s="98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04"/>
    </row>
    <row r="235" spans="1:36" ht="14" customHeight="1" x14ac:dyDescent="0.15">
      <c r="A235" s="98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245"/>
      <c r="O235" s="245"/>
      <c r="P235" s="245"/>
      <c r="Q235" s="245"/>
      <c r="R235" s="245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4"/>
    </row>
    <row r="236" spans="1:36" ht="14" customHeight="1" x14ac:dyDescent="0.15">
      <c r="A236" s="98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245"/>
      <c r="O236" s="245"/>
      <c r="P236" s="245"/>
      <c r="Q236" s="245"/>
      <c r="R236" s="245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4"/>
    </row>
    <row r="237" spans="1:36" ht="14" customHeight="1" x14ac:dyDescent="0.15">
      <c r="A237" s="98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4"/>
    </row>
    <row r="238" spans="1:36" ht="14" customHeight="1" x14ac:dyDescent="0.15">
      <c r="A238" s="98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4"/>
    </row>
    <row r="239" spans="1:36" ht="14" customHeight="1" x14ac:dyDescent="0.15">
      <c r="A239" s="98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4"/>
    </row>
    <row r="240" spans="1:36" ht="14" customHeight="1" x14ac:dyDescent="0.15">
      <c r="A240" s="98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4"/>
    </row>
    <row r="241" spans="1:36" ht="14" customHeight="1" x14ac:dyDescent="0.15">
      <c r="A241" s="98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4"/>
    </row>
    <row r="242" spans="1:36" ht="14" customHeight="1" x14ac:dyDescent="0.15">
      <c r="A242" s="98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4"/>
    </row>
    <row r="243" spans="1:36" ht="14" customHeight="1" x14ac:dyDescent="0.15">
      <c r="A243" s="98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4"/>
    </row>
    <row r="244" spans="1:36" ht="14" customHeight="1" x14ac:dyDescent="0.15">
      <c r="A244" s="98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4"/>
    </row>
    <row r="245" spans="1:36" ht="14" customHeight="1" x14ac:dyDescent="0.15">
      <c r="A245" s="98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4"/>
    </row>
    <row r="246" spans="1:36" ht="14" customHeight="1" x14ac:dyDescent="0.15">
      <c r="A246" s="98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4"/>
    </row>
    <row r="247" spans="1:36" ht="14" customHeight="1" x14ac:dyDescent="0.15">
      <c r="A247" s="98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4"/>
    </row>
    <row r="248" spans="1:36" ht="14" customHeight="1" x14ac:dyDescent="0.15">
      <c r="A248" s="98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4"/>
    </row>
    <row r="249" spans="1:36" ht="14" customHeight="1" x14ac:dyDescent="0.15">
      <c r="A249" s="98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4"/>
    </row>
    <row r="250" spans="1:36" ht="14" customHeight="1" x14ac:dyDescent="0.15">
      <c r="A250" s="98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4"/>
    </row>
    <row r="251" spans="1:36" ht="14" customHeight="1" x14ac:dyDescent="0.15">
      <c r="A251" s="98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4"/>
    </row>
    <row r="252" spans="1:36" ht="14" customHeight="1" x14ac:dyDescent="0.15">
      <c r="A252" s="98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4"/>
    </row>
    <row r="253" spans="1:36" ht="14" customHeight="1" x14ac:dyDescent="0.15">
      <c r="A253" s="98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4"/>
    </row>
    <row r="254" spans="1:36" ht="14" customHeight="1" x14ac:dyDescent="0.15">
      <c r="A254" s="98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4"/>
    </row>
    <row r="255" spans="1:36" ht="14" customHeight="1" x14ac:dyDescent="0.15">
      <c r="A255" s="98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4"/>
    </row>
    <row r="256" spans="1:36" ht="14" customHeight="1" x14ac:dyDescent="0.15">
      <c r="A256" s="98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4"/>
    </row>
    <row r="257" spans="1:36" ht="14" customHeight="1" x14ac:dyDescent="0.15">
      <c r="A257" s="98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4"/>
    </row>
    <row r="258" spans="1:36" ht="14" customHeight="1" x14ac:dyDescent="0.15">
      <c r="A258" s="98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4"/>
    </row>
    <row r="259" spans="1:36" ht="14" customHeight="1" x14ac:dyDescent="0.15">
      <c r="A259" s="98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4"/>
    </row>
    <row r="260" spans="1:36" ht="14" customHeight="1" x14ac:dyDescent="0.15">
      <c r="A260" s="98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4"/>
    </row>
    <row r="261" spans="1:36" ht="14" customHeight="1" x14ac:dyDescent="0.15">
      <c r="A261" s="98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4"/>
    </row>
    <row r="262" spans="1:36" ht="14" customHeight="1" x14ac:dyDescent="0.15">
      <c r="A262" s="98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4"/>
    </row>
    <row r="263" spans="1:36" ht="14" customHeight="1" x14ac:dyDescent="0.15">
      <c r="A263" s="98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4"/>
    </row>
    <row r="264" spans="1:36" ht="14" customHeight="1" x14ac:dyDescent="0.15">
      <c r="A264" s="98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4"/>
    </row>
    <row r="265" spans="1:36" ht="14" customHeight="1" x14ac:dyDescent="0.15">
      <c r="A265" s="98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4"/>
    </row>
    <row r="266" spans="1:36" ht="14" customHeight="1" x14ac:dyDescent="0.15">
      <c r="A266" s="98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4"/>
    </row>
    <row r="267" spans="1:36" ht="14" customHeight="1" x14ac:dyDescent="0.15">
      <c r="A267" s="98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4"/>
    </row>
    <row r="268" spans="1:36" ht="14" customHeight="1" x14ac:dyDescent="0.15">
      <c r="A268" s="98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4"/>
    </row>
    <row r="269" spans="1:36" ht="14" customHeight="1" x14ac:dyDescent="0.15">
      <c r="A269" s="98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4"/>
    </row>
    <row r="270" spans="1:36" ht="14" customHeight="1" x14ac:dyDescent="0.15">
      <c r="A270" s="98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4"/>
    </row>
    <row r="271" spans="1:36" ht="14" customHeight="1" x14ac:dyDescent="0.15">
      <c r="A271" s="98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4"/>
    </row>
    <row r="272" spans="1:36" ht="14" customHeight="1" x14ac:dyDescent="0.15">
      <c r="A272" s="98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4"/>
    </row>
    <row r="273" spans="1:36" ht="14" customHeight="1" x14ac:dyDescent="0.15">
      <c r="A273" s="98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4"/>
    </row>
    <row r="274" spans="1:36" ht="14" customHeight="1" x14ac:dyDescent="0.15">
      <c r="A274" s="98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4"/>
    </row>
    <row r="275" spans="1:36" ht="14" customHeight="1" x14ac:dyDescent="0.15">
      <c r="A275" s="98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4"/>
    </row>
    <row r="276" spans="1:36" ht="14" customHeight="1" x14ac:dyDescent="0.15">
      <c r="A276" s="98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4"/>
    </row>
    <row r="277" spans="1:36" ht="14" customHeight="1" x14ac:dyDescent="0.15">
      <c r="A277" s="98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4"/>
    </row>
    <row r="278" spans="1:36" ht="14" customHeight="1" x14ac:dyDescent="0.15">
      <c r="A278" s="98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4"/>
    </row>
    <row r="279" spans="1:36" ht="14" customHeight="1" x14ac:dyDescent="0.15">
      <c r="A279" s="98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4"/>
    </row>
    <row r="280" spans="1:36" ht="14" customHeight="1" x14ac:dyDescent="0.15">
      <c r="A280" s="98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4"/>
    </row>
    <row r="281" spans="1:36" ht="14" customHeight="1" x14ac:dyDescent="0.15">
      <c r="A281" s="98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4"/>
    </row>
    <row r="282" spans="1:36" ht="14" customHeight="1" x14ac:dyDescent="0.15">
      <c r="A282" s="98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4"/>
    </row>
    <row r="283" spans="1:36" ht="14" customHeight="1" x14ac:dyDescent="0.15">
      <c r="A283" s="98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4"/>
    </row>
    <row r="284" spans="1:36" ht="14" customHeight="1" x14ac:dyDescent="0.15">
      <c r="A284" s="98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4"/>
    </row>
    <row r="285" spans="1:36" ht="14" customHeight="1" x14ac:dyDescent="0.15">
      <c r="A285" s="98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4"/>
    </row>
    <row r="286" spans="1:36" ht="14" customHeight="1" x14ac:dyDescent="0.15">
      <c r="A286" s="473"/>
      <c r="B286" s="474"/>
      <c r="C286" s="474"/>
      <c r="D286" s="474"/>
      <c r="E286" s="474"/>
      <c r="F286" s="474"/>
      <c r="G286" s="474"/>
      <c r="H286" s="474"/>
      <c r="I286" s="474"/>
      <c r="J286" s="474"/>
      <c r="K286" s="474"/>
      <c r="L286" s="474"/>
      <c r="M286" s="474"/>
      <c r="N286" s="474"/>
      <c r="O286" s="474"/>
      <c r="P286" s="474"/>
      <c r="Q286" s="474"/>
      <c r="R286" s="474"/>
      <c r="S286" s="474"/>
      <c r="T286" s="474"/>
      <c r="U286" s="474"/>
      <c r="V286" s="474"/>
      <c r="W286" s="474"/>
      <c r="X286" s="474"/>
      <c r="Y286" s="474"/>
      <c r="Z286" s="474"/>
      <c r="AA286" s="474"/>
      <c r="AB286" s="474"/>
      <c r="AC286" s="474"/>
      <c r="AD286" s="474"/>
      <c r="AE286" s="474"/>
      <c r="AF286" s="474"/>
      <c r="AG286" s="474"/>
      <c r="AH286" s="474"/>
      <c r="AI286" s="474"/>
      <c r="AJ286" s="475"/>
    </row>
  </sheetData>
  <dataConsolidate/>
  <mergeCells count="219">
    <mergeCell ref="R224:U224"/>
    <mergeCell ref="V224:X224"/>
    <mergeCell ref="B226:H226"/>
    <mergeCell ref="W216:Z216"/>
    <mergeCell ref="W217:Z217"/>
    <mergeCell ref="W218:Z218"/>
    <mergeCell ref="W219:Z219"/>
    <mergeCell ref="B221:H222"/>
    <mergeCell ref="I221:I222"/>
    <mergeCell ref="W210:Z210"/>
    <mergeCell ref="U211:Z211"/>
    <mergeCell ref="W212:Z212"/>
    <mergeCell ref="W213:Z213"/>
    <mergeCell ref="W214:Z214"/>
    <mergeCell ref="W215:Z215"/>
    <mergeCell ref="B198:H199"/>
    <mergeCell ref="I198:I199"/>
    <mergeCell ref="R201:U201"/>
    <mergeCell ref="V201:X201"/>
    <mergeCell ref="W208:Z208"/>
    <mergeCell ref="W209:Z209"/>
    <mergeCell ref="W190:Z190"/>
    <mergeCell ref="AA190:AC190"/>
    <mergeCell ref="B193:H194"/>
    <mergeCell ref="I193:I194"/>
    <mergeCell ref="J194:X194"/>
    <mergeCell ref="R196:U196"/>
    <mergeCell ref="V196:X196"/>
    <mergeCell ref="W185:Z185"/>
    <mergeCell ref="AA185:AC185"/>
    <mergeCell ref="W186:Z186"/>
    <mergeCell ref="W187:Z187"/>
    <mergeCell ref="W188:Z188"/>
    <mergeCell ref="W189:Z189"/>
    <mergeCell ref="W178:Z178"/>
    <mergeCell ref="AA178:AC178"/>
    <mergeCell ref="W182:Z182"/>
    <mergeCell ref="AA182:AC182"/>
    <mergeCell ref="W183:Z183"/>
    <mergeCell ref="W184:Z184"/>
    <mergeCell ref="AA184:AC184"/>
    <mergeCell ref="W169:Z169"/>
    <mergeCell ref="W170:Z170"/>
    <mergeCell ref="W172:Z172"/>
    <mergeCell ref="W173:Z173"/>
    <mergeCell ref="W175:Z175"/>
    <mergeCell ref="AA175:AC175"/>
    <mergeCell ref="W163:Z163"/>
    <mergeCell ref="AA163:AC163"/>
    <mergeCell ref="W164:Z164"/>
    <mergeCell ref="AA164:AC164"/>
    <mergeCell ref="W166:Z166"/>
    <mergeCell ref="W167:Z167"/>
    <mergeCell ref="B153:H153"/>
    <mergeCell ref="W159:Z159"/>
    <mergeCell ref="AA159:AC159"/>
    <mergeCell ref="W160:Z160"/>
    <mergeCell ref="W162:Z162"/>
    <mergeCell ref="AA162:AC162"/>
    <mergeCell ref="R146:U146"/>
    <mergeCell ref="V146:X146"/>
    <mergeCell ref="B148:H149"/>
    <mergeCell ref="I148:I149"/>
    <mergeCell ref="R151:U151"/>
    <mergeCell ref="V151:X151"/>
    <mergeCell ref="R137:U137"/>
    <mergeCell ref="R138:U138"/>
    <mergeCell ref="R139:U139"/>
    <mergeCell ref="R140:U140"/>
    <mergeCell ref="V140:X140"/>
    <mergeCell ref="B143:H144"/>
    <mergeCell ref="I143:I144"/>
    <mergeCell ref="R133:U133"/>
    <mergeCell ref="R134:U134"/>
    <mergeCell ref="V134:X134"/>
    <mergeCell ref="R135:U135"/>
    <mergeCell ref="V135:X135"/>
    <mergeCell ref="R136:U136"/>
    <mergeCell ref="A119:AJ119"/>
    <mergeCell ref="B123:H124"/>
    <mergeCell ref="I123:I124"/>
    <mergeCell ref="J126:L126"/>
    <mergeCell ref="M126:O126"/>
    <mergeCell ref="R132:U132"/>
    <mergeCell ref="V132:X132"/>
    <mergeCell ref="AF112:AG112"/>
    <mergeCell ref="J113:S113"/>
    <mergeCell ref="M115:O115"/>
    <mergeCell ref="Z115:AB115"/>
    <mergeCell ref="AC115:AD115"/>
    <mergeCell ref="B117:H117"/>
    <mergeCell ref="J110:L110"/>
    <mergeCell ref="M110:O110"/>
    <mergeCell ref="Z110:AB110"/>
    <mergeCell ref="AC110:AE110"/>
    <mergeCell ref="B112:H113"/>
    <mergeCell ref="I112:I113"/>
    <mergeCell ref="J112:S112"/>
    <mergeCell ref="AF102:AG102"/>
    <mergeCell ref="J103:S103"/>
    <mergeCell ref="M105:O105"/>
    <mergeCell ref="Z105:AB105"/>
    <mergeCell ref="AC105:AD105"/>
    <mergeCell ref="B107:H108"/>
    <mergeCell ref="I107:I108"/>
    <mergeCell ref="J107:AI107"/>
    <mergeCell ref="J108:AI108"/>
    <mergeCell ref="J100:L100"/>
    <mergeCell ref="M100:O100"/>
    <mergeCell ref="Z100:AB100"/>
    <mergeCell ref="AC100:AE100"/>
    <mergeCell ref="B102:H103"/>
    <mergeCell ref="I102:I103"/>
    <mergeCell ref="J102:S102"/>
    <mergeCell ref="V94:X94"/>
    <mergeCell ref="R95:U95"/>
    <mergeCell ref="V95:X95"/>
    <mergeCell ref="B97:H98"/>
    <mergeCell ref="I97:I98"/>
    <mergeCell ref="J97:AF97"/>
    <mergeCell ref="J98:AF98"/>
    <mergeCell ref="R90:U90"/>
    <mergeCell ref="V90:X90"/>
    <mergeCell ref="R91:U91"/>
    <mergeCell ref="R92:U92"/>
    <mergeCell ref="V92:X92"/>
    <mergeCell ref="R93:U93"/>
    <mergeCell ref="V93:X93"/>
    <mergeCell ref="R74:U74"/>
    <mergeCell ref="R80:U80"/>
    <mergeCell ref="Z80:AB80"/>
    <mergeCell ref="B82:I82"/>
    <mergeCell ref="B84:U84"/>
    <mergeCell ref="AC87:AI87"/>
    <mergeCell ref="R58:U58"/>
    <mergeCell ref="R59:U59"/>
    <mergeCell ref="V59:X59"/>
    <mergeCell ref="B63:S66"/>
    <mergeCell ref="R70:U70"/>
    <mergeCell ref="R72:U72"/>
    <mergeCell ref="R55:U55"/>
    <mergeCell ref="V55:X55"/>
    <mergeCell ref="R56:U56"/>
    <mergeCell ref="V56:X56"/>
    <mergeCell ref="R57:U57"/>
    <mergeCell ref="V57:X57"/>
    <mergeCell ref="R49:U49"/>
    <mergeCell ref="V49:X49"/>
    <mergeCell ref="R50:U50"/>
    <mergeCell ref="R51:U51"/>
    <mergeCell ref="V51:X51"/>
    <mergeCell ref="R54:U54"/>
    <mergeCell ref="V54:X54"/>
    <mergeCell ref="R45:U45"/>
    <mergeCell ref="R46:U46"/>
    <mergeCell ref="V46:X46"/>
    <mergeCell ref="R47:U47"/>
    <mergeCell ref="V47:X47"/>
    <mergeCell ref="R48:U48"/>
    <mergeCell ref="V48:X48"/>
    <mergeCell ref="R40:U40"/>
    <mergeCell ref="V40:X40"/>
    <mergeCell ref="R41:U41"/>
    <mergeCell ref="V41:X41"/>
    <mergeCell ref="R42:X43"/>
    <mergeCell ref="R44:U44"/>
    <mergeCell ref="R36:U36"/>
    <mergeCell ref="V36:X36"/>
    <mergeCell ref="R37:U37"/>
    <mergeCell ref="V37:X37"/>
    <mergeCell ref="R38:U38"/>
    <mergeCell ref="R39:U39"/>
    <mergeCell ref="V39:X39"/>
    <mergeCell ref="R33:U33"/>
    <mergeCell ref="V33:X33"/>
    <mergeCell ref="R34:U34"/>
    <mergeCell ref="V34:X34"/>
    <mergeCell ref="R35:U35"/>
    <mergeCell ref="V35:X35"/>
    <mergeCell ref="B24:Z24"/>
    <mergeCell ref="R28:Z28"/>
    <mergeCell ref="R29:U29"/>
    <mergeCell ref="R30:U30"/>
    <mergeCell ref="R31:U31"/>
    <mergeCell ref="R32:U32"/>
    <mergeCell ref="B19:I20"/>
    <mergeCell ref="J19:J20"/>
    <mergeCell ref="K19:AF19"/>
    <mergeCell ref="K20:AF20"/>
    <mergeCell ref="K22:M22"/>
    <mergeCell ref="X22:AA22"/>
    <mergeCell ref="AB12:AD12"/>
    <mergeCell ref="X13:AA13"/>
    <mergeCell ref="AB13:AD13"/>
    <mergeCell ref="X14:AA14"/>
    <mergeCell ref="AB14:AD14"/>
    <mergeCell ref="AB15:AD15"/>
    <mergeCell ref="AC7:AD7"/>
    <mergeCell ref="AE7:AJ7"/>
    <mergeCell ref="B9:AI9"/>
    <mergeCell ref="X11:AA11"/>
    <mergeCell ref="AB11:AD11"/>
    <mergeCell ref="AE11:AF11"/>
    <mergeCell ref="E4:L4"/>
    <mergeCell ref="N4:U4"/>
    <mergeCell ref="V4:AB4"/>
    <mergeCell ref="AC4:AJ4"/>
    <mergeCell ref="B5:M7"/>
    <mergeCell ref="N5:U7"/>
    <mergeCell ref="V5:AB6"/>
    <mergeCell ref="AC5:AJ6"/>
    <mergeCell ref="V7:W7"/>
    <mergeCell ref="X7:AB7"/>
    <mergeCell ref="A1:J3"/>
    <mergeCell ref="K1:S3"/>
    <mergeCell ref="AC1:AJ1"/>
    <mergeCell ref="T2:AB2"/>
    <mergeCell ref="AC2:AJ2"/>
    <mergeCell ref="U3:AB3"/>
  </mergeCells>
  <conditionalFormatting sqref="R55:U55">
    <cfRule type="cellIs" dxfId="0" priority="1" stopIfTrue="1" operator="equal">
      <formula>0</formula>
    </cfRule>
  </conditionalFormatting>
  <dataValidations count="26">
    <dataValidation type="list" allowBlank="1" showInputMessage="1" showErrorMessage="1" sqref="R31:U31" xr:uid="{5B56FF61-2100-B348-8864-3AF505EA6C8E}">
      <formula1>IF(R29="Air",Temperature,Soil_Temp)</formula1>
    </dataValidation>
    <dataValidation type="list" allowBlank="1" showInputMessage="1" showErrorMessage="1" sqref="R94:U94" xr:uid="{4CE9B1C9-046C-3F4B-8919-FEA9F0B41542}">
      <formula1>IF(AB11="TNF",N_A,Motor_Start)</formula1>
    </dataValidation>
    <dataValidation type="list" allowBlank="1" showInputMessage="1" showErrorMessage="1" sqref="X12:AA12" xr:uid="{0278E204-93A3-444C-8302-AF1436D9F554}">
      <formula1>IF($AB$11 = "TNF", TNF_Sizes,IF($AB$11="EDB",FDR_Rating,IF($AB$11="MCC",FDR_Rating,IF(X15&lt;700,Drive_Sizes,HV_Sizes))))</formula1>
    </dataValidation>
    <dataValidation type="list" allowBlank="1" showInputMessage="1" showErrorMessage="1" sqref="R47:U47" xr:uid="{71F9FE3C-F895-EF46-9F5F-ECD3D045B56E}">
      <formula1>IF(X15&lt;1000,Cable_Size_LV,Cable_Size_HV)</formula1>
    </dataValidation>
    <dataValidation type="list" allowBlank="1" showInputMessage="1" showErrorMessage="1" sqref="R49:U49" xr:uid="{EBF2B408-EE19-5143-9CD3-D0885F157960}">
      <formula1>IF(X15&gt;1000,HV_Cond,Conductor)</formula1>
    </dataValidation>
    <dataValidation type="list" allowBlank="1" showInputMessage="1" showErrorMessage="1" error="Valid selctions are in the Pull Down menu" promptTitle="Use Pull Down menu to select typ" sqref="W214:Z214" xr:uid="{76D38F31-7E16-8147-B89E-114717251BE3}">
      <formula1>IF($U$211="Circuit Breaker", Breaker_Type, Fuse_Type)</formula1>
    </dataValidation>
    <dataValidation type="list" allowBlank="1" showInputMessage="1" showErrorMessage="1" sqref="U211" xr:uid="{55049D0A-87B8-244D-83D0-05C6872B8E7B}">
      <formula1>CB_Fuse</formula1>
    </dataValidation>
    <dataValidation type="list" allowBlank="1" showInputMessage="1" showErrorMessage="1" sqref="W212:Z212" xr:uid="{1BC1FAF0-FE81-7A44-A9EB-7E40B798FD81}">
      <formula1>IF($U$211="Circuit Breaker", CB_Type, "N/A")</formula1>
    </dataValidation>
    <dataValidation type="list" allowBlank="1" showInputMessage="1" showErrorMessage="1" sqref="W167:Z167 W173:Z173" xr:uid="{3CD0543E-DD62-714A-B463-4A4CF705B553}">
      <formula1>Cable_Size_LV</formula1>
    </dataValidation>
    <dataValidation type="list" allowBlank="1" showInputMessage="1" showErrorMessage="1" sqref="R56:U56" xr:uid="{05EE4E99-FE64-4C41-8C3A-ACD31FE4257D}">
      <formula1>Yes_No</formula1>
    </dataValidation>
    <dataValidation type="whole" allowBlank="1" showInputMessage="1" showErrorMessage="1" sqref="W170:Z170" xr:uid="{CF258869-BFD2-AA4A-B2CB-2C84E8894FE7}">
      <formula1>0</formula1>
      <formula2>10</formula2>
    </dataValidation>
    <dataValidation type="list" allowBlank="1" showInputMessage="1" showErrorMessage="1" sqref="R42" xr:uid="{EA321B03-0EA2-F04C-B5C6-B3811DE9D79B}">
      <formula1>SoilCond</formula1>
    </dataValidation>
    <dataValidation type="list" allowBlank="1" showInputMessage="1" showErrorMessage="1" sqref="R46:U46" xr:uid="{8509B506-71AA-874C-B99B-ACDCD89FB09E}">
      <formula1>Cond_type</formula1>
    </dataValidation>
    <dataValidation type="list" allowBlank="1" showInputMessage="1" showErrorMessage="1" sqref="R41:U41" xr:uid="{7A86D4B5-0802-1441-9F39-0A38627EBFAC}">
      <formula1>Single_Multi_Core</formula1>
    </dataValidation>
    <dataValidation type="list" showInputMessage="1" showErrorMessage="1" sqref="R33:U33" xr:uid="{3A262479-56ED-AD4D-B35A-C40F871DF692}">
      <formula1>Circuits</formula1>
    </dataValidation>
    <dataValidation type="list" allowBlank="1" showInputMessage="1" showErrorMessage="1" sqref="R38:U38" xr:uid="{657B78E3-50BF-2849-9940-90FA5CFE4F72}">
      <formula1>depth</formula1>
    </dataValidation>
    <dataValidation type="list" allowBlank="1" showInputMessage="1" showErrorMessage="1" sqref="R28:W28" xr:uid="{EE4D625D-F979-FB47-9D07-E686C09FFA70}">
      <formula1>Installation</formula1>
    </dataValidation>
    <dataValidation type="list" allowBlank="1" showInputMessage="1" showErrorMessage="1" sqref="X15:AA15" xr:uid="{C4946B85-121A-7E4A-90BB-A009718A1222}">
      <formula1>Voltage</formula1>
    </dataValidation>
    <dataValidation type="list" allowBlank="1" showInputMessage="1" showErrorMessage="1" sqref="AB11:AD11" xr:uid="{0886FB60-1952-1741-BFFC-6E8738CA195B}">
      <formula1>Load_Type</formula1>
    </dataValidation>
    <dataValidation type="list" allowBlank="1" showInputMessage="1" showErrorMessage="1" sqref="R34:U34" xr:uid="{DB834959-C5CE-344B-AB42-EA85ADEE8D59}">
      <formula1>IF(LEFT($R$28,12) = "Cable Ladder", Spacing_Ladder, IF($R$28 = "Direct Buried", Spacing_Direct, Spacing_Conduit))</formula1>
    </dataValidation>
    <dataValidation type="list" allowBlank="1" showInputMessage="1" showErrorMessage="1" sqref="R36:U36" xr:uid="{64E98164-A781-D946-AE40-70DD839684F6}">
      <formula1>"1, 2"</formula1>
    </dataValidation>
    <dataValidation type="whole" allowBlank="1" showInputMessage="1" showErrorMessage="1" sqref="R57:U57" xr:uid="{229AB4F5-23C2-2C40-9FCF-7B06BC9AB0D1}">
      <formula1>0</formula1>
      <formula2>100</formula2>
    </dataValidation>
    <dataValidation type="list" allowBlank="1" showInputMessage="1" showErrorMessage="1" sqref="R30:U30" xr:uid="{E25809E0-716F-0747-8B35-511077DC22B4}">
      <formula1>Cable_Type</formula1>
    </dataValidation>
    <dataValidation type="list" allowBlank="1" showInputMessage="1" showErrorMessage="1" sqref="W185:Z185" xr:uid="{78F96E5F-2752-9B4C-B646-B5AE0D6AD26C}">
      <formula1>"PVC-V90,XLPE"</formula1>
    </dataValidation>
    <dataValidation type="list" allowBlank="1" showInputMessage="1" showErrorMessage="1" sqref="W159:Z160 W172:Z172" xr:uid="{8F8453A6-1E55-F140-8AE6-396BF418745A}">
      <formula1>"Yes,No"</formula1>
    </dataValidation>
    <dataValidation type="list" allowBlank="1" showInputMessage="1" showErrorMessage="1" sqref="W188:Z188" xr:uid="{C14BD76E-4FC2-274A-80BE-AD0B40013F63}">
      <formula1>"25,40,75,90"</formula1>
    </dataValidation>
  </dataValidations>
  <pageMargins left="0.82677165354330717" right="0.23622047244094491" top="0.35433070866141736" bottom="0.47244094488188981" header="0.27559055118110237" footer="0.11811023622047245"/>
  <pageSetup paperSize="9" scale="77" orientation="portrait" r:id="rId1"/>
  <headerFooter alignWithMargins="0">
    <oddFooter>&amp;L&amp;8&amp;Z&amp;F
Printed: &amp;D&amp;R&amp;8Page &amp;P of &amp;N
 Form Rev 0</oddFooter>
  </headerFooter>
  <rowBreaks count="3" manualBreakCount="3">
    <brk id="156" max="35" man="1"/>
    <brk id="206" max="35" man="1"/>
    <brk id="23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Cable Calculator</vt:lpstr>
      <vt:lpstr>'Cable Calculator'!Print_Area</vt:lpstr>
      <vt:lpstr>'Cable Calculator'!Print_Titles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2020-10-05T02:17:22Z</dcterms:created>
  <dcterms:modified xsi:type="dcterms:W3CDTF">2020-10-05T02:18:37Z</dcterms:modified>
</cp:coreProperties>
</file>